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worksheets/sheet5.xml" ContentType="application/vnd.openxmlformats-officedocument.spreadsheetml.workshee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omments20.xml" ContentType="application/vnd.openxmlformats-officedocument.spreadsheetml.comments+xml"/>
  <Override PartName="/xl/customProperty10.bin" ContentType="application/vnd.openxmlformats-officedocument.spreadsheetml.customProperty"/>
  <Override PartName="/xl/customProperty1.bin" ContentType="application/vnd.openxmlformats-officedocument.spreadsheetml.customProperty"/>
  <Override PartName="/xl/comments19.xml" ContentType="application/vnd.openxmlformats-officedocument.spreadsheetml.comments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0.bin" ContentType="application/vnd.openxmlformats-officedocument.spreadsheetml.customProperty"/>
  <Override PartName="/xl/comments18.xml" ContentType="application/vnd.openxmlformats-officedocument.spreadsheetml.comments+xml"/>
  <Override PartName="/xl/comments17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ustomProperty19.bin" ContentType="application/vnd.openxmlformats-officedocument.spreadsheetml.customProperty"/>
  <Override PartName="/xl/customProperty14.bin" ContentType="application/vnd.openxmlformats-officedocument.spreadsheetml.customProperty"/>
  <Override PartName="/xl/comments12.xml" ContentType="application/vnd.openxmlformats-officedocument.spreadsheetml.comments+xml"/>
  <Override PartName="/xl/customProperty15.bin" ContentType="application/vnd.openxmlformats-officedocument.spreadsheetml.customProperty"/>
  <Override PartName="/xl/comments11.xml" ContentType="application/vnd.openxmlformats-officedocument.spreadsheetml.comments+xml"/>
  <Override PartName="/xl/customProperty12.bin" ContentType="application/vnd.openxmlformats-officedocument.spreadsheetml.customProperty"/>
  <Override PartName="/xl/comments10.xml" ContentType="application/vnd.openxmlformats-officedocument.spreadsheetml.comments+xml"/>
  <Override PartName="/xl/customProperty13.bin" ContentType="application/vnd.openxmlformats-officedocument.spreadsheetml.customProperty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xl/customProperty18.bin" ContentType="application/vnd.openxmlformats-officedocument.spreadsheetml.customProperty"/>
  <Override PartName="/xl/comments16.xml" ContentType="application/vnd.openxmlformats-officedocument.spreadsheetml.comments+xml"/>
  <Override PartName="/xl/comments15.xml" ContentType="application/vnd.openxmlformats-officedocument.spreadsheetml.comments+xml"/>
  <Override PartName="/xl/customProperty11.bin" ContentType="application/vnd.openxmlformats-officedocument.spreadsheetml.customProperty"/>
  <Override PartName="/xl/customProperty16.bin" ContentType="application/vnd.openxmlformats-officedocument.spreadsheetml.customProperty"/>
  <Override PartName="/xl/comments14.xml" ContentType="application/vnd.openxmlformats-officedocument.spreadsheetml.comments+xml"/>
  <Override PartName="/xl/customProperty17.bin" ContentType="application/vnd.openxmlformats-officedocument.spreadsheetml.customProperty"/>
  <Override PartName="/xl/comments2.xml" ContentType="application/vnd.openxmlformats-officedocument.spreadsheetml.comments+xml"/>
  <Override PartName="/xl/customProperty40.bin" ContentType="application/vnd.openxmlformats-officedocument.spreadsheetml.customProperty"/>
  <Override PartName="/xl/comments25.xml" ContentType="application/vnd.openxmlformats-officedocument.spreadsheetml.comments+xml"/>
  <Override PartName="/xl/customProperty28.bin" ContentType="application/vnd.openxmlformats-officedocument.spreadsheetml.customProperty"/>
  <Override PartName="/xl/comments24.xml" ContentType="application/vnd.openxmlformats-officedocument.spreadsheetml.comments+xml"/>
  <Override PartName="/xl/customProperty29.bin" ContentType="application/vnd.openxmlformats-officedocument.spreadsheetml.customProperty"/>
  <Override PartName="/xl/customProperty7.bin" ContentType="application/vnd.openxmlformats-officedocument.spreadsheetml.customProperty"/>
  <Override PartName="/xl/customProperty30.bin" ContentType="application/vnd.openxmlformats-officedocument.spreadsheetml.customProperty"/>
  <Override PartName="/xl/comments26.xml" ContentType="application/vnd.openxmlformats-officedocument.spreadsheetml.comments+xml"/>
  <Override PartName="/xl/comments5.xml" ContentType="application/vnd.openxmlformats-officedocument.spreadsheetml.comments+xml"/>
  <Override PartName="/xl/customProperty27.bin" ContentType="application/vnd.openxmlformats-officedocument.spreadsheetml.customProperty"/>
  <Override PartName="/xl/comments21.xml" ContentType="application/vnd.openxmlformats-officedocument.spreadsheetml.comments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8.bin" ContentType="application/vnd.openxmlformats-officedocument.spreadsheetml.customProperty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ustomProperty26.bin" ContentType="application/vnd.openxmlformats-officedocument.spreadsheetml.customProperty"/>
  <Override PartName="/xl/comments27.xml" ContentType="application/vnd.openxmlformats-officedocument.spreadsheetml.comments+xml"/>
  <Override PartName="/xl/customProperty31.bin" ContentType="application/vnd.openxmlformats-officedocument.spreadsheetml.customProperty"/>
  <Override PartName="/xl/customProperty37.bin" ContentType="application/vnd.openxmlformats-officedocument.spreadsheetml.customProperty"/>
  <Override PartName="/xl/customProperty36.bin" ContentType="application/vnd.openxmlformats-officedocument.spreadsheetml.customProperty"/>
  <Override PartName="/xl/customProperty35.bin" ContentType="application/vnd.openxmlformats-officedocument.spreadsheetml.customProperty"/>
  <Override PartName="/xl/customProperty38.bin" ContentType="application/vnd.openxmlformats-officedocument.spreadsheetml.customProperty"/>
  <Override PartName="/xl/comments29.xml" ContentType="application/vnd.openxmlformats-officedocument.spreadsheetml.comments+xml"/>
  <Override PartName="/xl/customProperty5.bin" ContentType="application/vnd.openxmlformats-officedocument.spreadsheetml.customProperty"/>
  <Override PartName="/xl/customProperty39.bin" ContentType="application/vnd.openxmlformats-officedocument.spreadsheetml.customProperty"/>
  <Override PartName="/xl/customProperty34.bin" ContentType="application/vnd.openxmlformats-officedocument.spreadsheetml.customProperty"/>
  <Override PartName="/xl/customProperty32.bin" ContentType="application/vnd.openxmlformats-officedocument.spreadsheetml.customProperty"/>
  <Override PartName="/xl/comments28.xml" ContentType="application/vnd.openxmlformats-officedocument.spreadsheetml.comments+xml"/>
  <Override PartName="/xl/comments4.xml" ContentType="application/vnd.openxmlformats-officedocument.spreadsheetml.comments+xml"/>
  <Override PartName="/xl/customProperty6.bin" ContentType="application/vnd.openxmlformats-officedocument.spreadsheetml.customProperty"/>
  <Override PartName="/xl/customProperty33.bin" ContentType="application/vnd.openxmlformats-officedocument.spreadsheetml.customProperty"/>
  <Override PartName="/xl/customProperty9.bin" ContentType="application/vnd.openxmlformats-officedocument.spreadsheetml.customProperty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:\Natural Gas Accounting\Gas Deferrals\2016 WA-ID Deferrals\"/>
    </mc:Choice>
  </mc:AlternateContent>
  <bookViews>
    <workbookView xWindow="-180" yWindow="-36" windowWidth="9720" windowHeight="7008" tabRatio="772" firstSheet="7" activeTab="8"/>
  </bookViews>
  <sheets>
    <sheet name="PGA Graphs 2012-13" sheetId="13" state="hidden" r:id="rId1"/>
    <sheet name="JE" sheetId="18" r:id="rId2"/>
    <sheet name="Jan" sheetId="5" r:id="rId3"/>
    <sheet name="Feb" sheetId="19" r:id="rId4"/>
    <sheet name="Mar" sheetId="21" r:id="rId5"/>
    <sheet name="Apr" sheetId="20" r:id="rId6"/>
    <sheet name="May" sheetId="23" r:id="rId7"/>
    <sheet name="Jun" sheetId="22" r:id="rId8"/>
    <sheet name="Jul" sheetId="24" r:id="rId9"/>
    <sheet name="Aug" sheetId="25" r:id="rId10"/>
    <sheet name="Sep" sheetId="26" r:id="rId11"/>
    <sheet name="Oct" sheetId="27" r:id="rId12"/>
    <sheet name="Nov" sheetId="28" r:id="rId13"/>
    <sheet name="Dec" sheetId="29" r:id="rId14"/>
    <sheet name="WA - Def-Amtz (current)" sheetId="16" r:id="rId15"/>
    <sheet name="ID - Def-Amtz (current)" sheetId="17" r:id="rId16"/>
    <sheet name="WA - Def-Amtz (June)" sheetId="46" r:id="rId17"/>
    <sheet name="ID - Def-Amtz (June)" sheetId="45" r:id="rId18"/>
    <sheet name="WA - Def-Amtz (May final)" sheetId="43" r:id="rId19"/>
    <sheet name="ID - Def-Amtz (May final)" sheetId="44" r:id="rId20"/>
    <sheet name="WA - Def-Amtz (old)" sheetId="41" r:id="rId21"/>
    <sheet name="PGA Graphs 2013-14" sheetId="30" state="hidden" r:id="rId22"/>
    <sheet name="ID - Def-Amtz  (old)" sheetId="42" r:id="rId23"/>
    <sheet name="04 WA - Def-Amtz" sheetId="38" r:id="rId24"/>
    <sheet name="03 WA - Def-Amtz" sheetId="37" r:id="rId25"/>
    <sheet name="04 ID - Def-Amtz" sheetId="39" r:id="rId26"/>
    <sheet name="03 ID - Def-Amtz" sheetId="36" r:id="rId27"/>
    <sheet name="02 WA - Def-Amtz" sheetId="34" r:id="rId28"/>
    <sheet name="02 ID - Def-Amtz" sheetId="35" r:id="rId29"/>
    <sheet name="01 WA - Def-Amtz" sheetId="33" r:id="rId30"/>
    <sheet name="01 ID - Def-Amtz" sheetId="32" r:id="rId31"/>
    <sheet name="Deferral Graphs 2015-16 " sheetId="15" r:id="rId32"/>
    <sheet name="ID Amort 191015" sheetId="14" state="hidden" r:id="rId33"/>
    <sheet name="ID Amort 191000" sheetId="7" state="hidden" r:id="rId34"/>
    <sheet name="WA Def 191010" sheetId="3" state="hidden" r:id="rId35"/>
    <sheet name="ID Def 191010" sheetId="6" state="hidden" r:id="rId36"/>
    <sheet name="ID Holdback 191015" sheetId="12" state="hidden" r:id="rId37"/>
    <sheet name="Amortization of JP Deferral" sheetId="9" state="hidden" r:id="rId38"/>
    <sheet name="WA Amort 191000" sheetId="10" state="hidden" r:id="rId39"/>
    <sheet name="Sheet1" sheetId="31" r:id="rId40"/>
  </sheets>
  <definedNames>
    <definedName name="_xlnm.Print_Area" localSheetId="30">'01 ID - Def-Amtz'!$A$1:$AY$85</definedName>
    <definedName name="_xlnm.Print_Area" localSheetId="29">'01 WA - Def-Amtz'!$A$2:$AZ$84</definedName>
    <definedName name="_xlnm.Print_Area" localSheetId="28">'02 ID - Def-Amtz'!$A$1:$AY$85</definedName>
    <definedName name="_xlnm.Print_Area" localSheetId="27">'02 WA - Def-Amtz'!$A$1:$AY$84</definedName>
    <definedName name="_xlnm.Print_Area" localSheetId="26">'03 ID - Def-Amtz'!$A$1:$AY$85</definedName>
    <definedName name="_xlnm.Print_Area" localSheetId="24">'03 WA - Def-Amtz'!$A$1:$AY$84</definedName>
    <definedName name="_xlnm.Print_Area" localSheetId="25">'04 ID - Def-Amtz'!$A$1:$AY$85</definedName>
    <definedName name="_xlnm.Print_Area" localSheetId="23">'04 WA - Def-Amtz'!$A$1:$AY$84</definedName>
    <definedName name="_xlnm.Print_Area" localSheetId="37">'Amortization of JP Deferral'!$A$1:$J$197</definedName>
    <definedName name="_xlnm.Print_Area" localSheetId="5">Apr!$A$1:$M$68</definedName>
    <definedName name="_xlnm.Print_Area" localSheetId="9">Aug!$A$1:$M$68</definedName>
    <definedName name="_xlnm.Print_Area" localSheetId="13">Dec!$A$1:$M$68</definedName>
    <definedName name="_xlnm.Print_Area" localSheetId="31">'Deferral Graphs 2015-16 '!$P$2:$X$53</definedName>
    <definedName name="_xlnm.Print_Area" localSheetId="3">Feb!$A$1:$M$68</definedName>
    <definedName name="_xlnm.Print_Area" localSheetId="22">'ID - Def-Amtz  (old)'!$A$1:$AY$85</definedName>
    <definedName name="_xlnm.Print_Area" localSheetId="15">'ID - Def-Amtz (current)'!$A$1:$AY$85</definedName>
    <definedName name="_xlnm.Print_Area" localSheetId="17">'ID - Def-Amtz (June)'!$A$1:$AY$85</definedName>
    <definedName name="_xlnm.Print_Area" localSheetId="19">'ID - Def-Amtz (May final)'!$A$1:$AY$85</definedName>
    <definedName name="_xlnm.Print_Area" localSheetId="33">'ID Amort 191000'!$A$1:$J$300</definedName>
    <definedName name="_xlnm.Print_Area" localSheetId="32">'ID Amort 191015'!$A$1:$J$63</definedName>
    <definedName name="_xlnm.Print_Area" localSheetId="35">'ID Def 191010'!$A$1:$T$180</definedName>
    <definedName name="_xlnm.Print_Area" localSheetId="36">'ID Holdback 191015'!$A$1:$T$104</definedName>
    <definedName name="_xlnm.Print_Area" localSheetId="2">Jan!$A$1:$M$68</definedName>
    <definedName name="_xlnm.Print_Area" localSheetId="1">JE!$A$1:$M$32</definedName>
    <definedName name="_xlnm.Print_Area" localSheetId="8">Jul!$A$1:$M$68</definedName>
    <definedName name="_xlnm.Print_Area" localSheetId="7">Jun!$A$1:$M$68</definedName>
    <definedName name="_xlnm.Print_Area" localSheetId="4">Mar!$A$1:$M$68</definedName>
    <definedName name="_xlnm.Print_Area" localSheetId="6">May!$A$1:$M$68</definedName>
    <definedName name="_xlnm.Print_Area" localSheetId="12">Nov!$A$1:$M$68</definedName>
    <definedName name="_xlnm.Print_Area" localSheetId="11">Oct!$A$1:$M$68</definedName>
    <definedName name="_xlnm.Print_Area" localSheetId="0">'PGA Graphs 2012-13'!$P$2:$X$53</definedName>
    <definedName name="_xlnm.Print_Area" localSheetId="21">'PGA Graphs 2013-14'!$A$1:$N$66</definedName>
    <definedName name="_xlnm.Print_Area" localSheetId="10">Sep!$A$1:$M$68</definedName>
    <definedName name="_xlnm.Print_Area" localSheetId="39">Sheet1!$A$1:$T$12</definedName>
    <definedName name="_xlnm.Print_Area" localSheetId="14">'WA - Def-Amtz (current)'!$A$1:$AY$84</definedName>
    <definedName name="_xlnm.Print_Area" localSheetId="16">'WA - Def-Amtz (June)'!$A$1:$AY$84</definedName>
    <definedName name="_xlnm.Print_Area" localSheetId="18">'WA - Def-Amtz (May final)'!$A$1:$AY$84</definedName>
    <definedName name="_xlnm.Print_Area" localSheetId="20">'WA - Def-Amtz (old)'!$A$1:$AY$84</definedName>
    <definedName name="_xlnm.Print_Area" localSheetId="38">'WA Amort 191000'!$A$1:$J$310</definedName>
    <definedName name="_xlnm.Print_Area" localSheetId="34">'WA Def 191010'!$A$1:$R$143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3">Feb!$1:$2</definedName>
    <definedName name="_xlnm.Print_Titles" localSheetId="35">'ID Def 191010'!$1:$7</definedName>
    <definedName name="_xlnm.Print_Titles" localSheetId="36">'ID Holdback 191015'!$1:$7</definedName>
    <definedName name="_xlnm.Print_Titles" localSheetId="2">Jan!$1:$2</definedName>
    <definedName name="_xlnm.Print_Titles" localSheetId="8">Jul!$1:$2</definedName>
    <definedName name="_xlnm.Print_Titles" localSheetId="7">Jun!$1:$2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34">'WA Def 191010'!$1:$5</definedName>
  </definedNames>
  <calcPr calcId="152511"/>
</workbook>
</file>

<file path=xl/calcChain.xml><?xml version="1.0" encoding="utf-8"?>
<calcChain xmlns="http://schemas.openxmlformats.org/spreadsheetml/2006/main">
  <c r="C15" i="24" l="1"/>
  <c r="C12" i="24" l="1"/>
  <c r="C6" i="24"/>
  <c r="C5" i="24"/>
  <c r="C9" i="24"/>
  <c r="C18" i="24"/>
  <c r="C21" i="24"/>
  <c r="AE82" i="46"/>
  <c r="AD82" i="46"/>
  <c r="AC82" i="46"/>
  <c r="AB82" i="46"/>
  <c r="AA82" i="46"/>
  <c r="Z82" i="46"/>
  <c r="Y82" i="46"/>
  <c r="X82" i="46"/>
  <c r="W82" i="46"/>
  <c r="V82" i="46"/>
  <c r="C81" i="46"/>
  <c r="AR80" i="46"/>
  <c r="AQ80" i="46"/>
  <c r="AP80" i="46"/>
  <c r="AO80" i="46"/>
  <c r="AN80" i="46"/>
  <c r="F80" i="46"/>
  <c r="E80" i="46"/>
  <c r="E82" i="46" s="1"/>
  <c r="F79" i="46" s="1"/>
  <c r="F82" i="46" s="1"/>
  <c r="AH78" i="46"/>
  <c r="AI78" i="46" s="1"/>
  <c r="AJ78" i="46" s="1"/>
  <c r="AK78" i="46" s="1"/>
  <c r="AL78" i="46" s="1"/>
  <c r="AM78" i="46" s="1"/>
  <c r="AN78" i="46" s="1"/>
  <c r="AO78" i="46" s="1"/>
  <c r="AP78" i="46" s="1"/>
  <c r="AQ78" i="46" s="1"/>
  <c r="AR78" i="46" s="1"/>
  <c r="V78" i="46"/>
  <c r="W78" i="46" s="1"/>
  <c r="X78" i="46" s="1"/>
  <c r="Y78" i="46" s="1"/>
  <c r="Z78" i="46" s="1"/>
  <c r="AA78" i="46" s="1"/>
  <c r="AB78" i="46" s="1"/>
  <c r="AC78" i="46" s="1"/>
  <c r="AD78" i="46" s="1"/>
  <c r="AE78" i="46" s="1"/>
  <c r="AF78" i="46" s="1"/>
  <c r="F78" i="46"/>
  <c r="G78" i="46" s="1"/>
  <c r="H78" i="46" s="1"/>
  <c r="AT75" i="46"/>
  <c r="AI67" i="46"/>
  <c r="AJ67" i="46" s="1"/>
  <c r="AK67" i="46" s="1"/>
  <c r="AL67" i="46" s="1"/>
  <c r="AM67" i="46" s="1"/>
  <c r="AN67" i="46" s="1"/>
  <c r="AO67" i="46" s="1"/>
  <c r="AP67" i="46" s="1"/>
  <c r="AQ67" i="46" s="1"/>
  <c r="AR67" i="46" s="1"/>
  <c r="AH67" i="46"/>
  <c r="V67" i="46"/>
  <c r="W67" i="46" s="1"/>
  <c r="X67" i="46" s="1"/>
  <c r="Y67" i="46" s="1"/>
  <c r="Z67" i="46" s="1"/>
  <c r="AA67" i="46" s="1"/>
  <c r="AB67" i="46" s="1"/>
  <c r="AC67" i="46" s="1"/>
  <c r="AD67" i="46" s="1"/>
  <c r="AE67" i="46" s="1"/>
  <c r="AF67" i="46" s="1"/>
  <c r="F67" i="46"/>
  <c r="G67" i="46" s="1"/>
  <c r="H67" i="46" s="1"/>
  <c r="D65" i="46"/>
  <c r="C65" i="46"/>
  <c r="AR64" i="46"/>
  <c r="AQ64" i="46"/>
  <c r="AP64" i="46"/>
  <c r="AO64" i="46"/>
  <c r="AN64" i="46"/>
  <c r="AE64" i="46"/>
  <c r="AD64" i="46"/>
  <c r="AC64" i="46"/>
  <c r="AB64" i="46"/>
  <c r="AA64" i="46"/>
  <c r="Z64" i="46"/>
  <c r="Y64" i="46"/>
  <c r="X64" i="46"/>
  <c r="W64" i="46"/>
  <c r="V64" i="46"/>
  <c r="D64" i="46" s="1"/>
  <c r="H64" i="46"/>
  <c r="G64" i="46"/>
  <c r="F64" i="46"/>
  <c r="E64" i="46"/>
  <c r="AM63" i="46"/>
  <c r="AL63" i="46"/>
  <c r="AK63" i="46"/>
  <c r="AJ63" i="46"/>
  <c r="AI63" i="46"/>
  <c r="AH63" i="46"/>
  <c r="AG63" i="46"/>
  <c r="AF63" i="46"/>
  <c r="AM62" i="46"/>
  <c r="AL62" i="46"/>
  <c r="AK62" i="46"/>
  <c r="AJ62" i="46"/>
  <c r="AI62" i="46"/>
  <c r="AH62" i="46"/>
  <c r="AG62" i="46"/>
  <c r="AF62" i="46"/>
  <c r="AM61" i="46"/>
  <c r="AL61" i="46"/>
  <c r="AK61" i="46"/>
  <c r="AJ61" i="46"/>
  <c r="AI61" i="46"/>
  <c r="AH61" i="46"/>
  <c r="AG61" i="46"/>
  <c r="AF61" i="46"/>
  <c r="AM60" i="46"/>
  <c r="AL60" i="46"/>
  <c r="AK60" i="46"/>
  <c r="AJ60" i="46"/>
  <c r="AI60" i="46"/>
  <c r="AH60" i="46"/>
  <c r="AG60" i="46"/>
  <c r="AF60" i="46"/>
  <c r="AM59" i="46"/>
  <c r="AL59" i="46"/>
  <c r="AK59" i="46"/>
  <c r="AJ59" i="46"/>
  <c r="AI59" i="46"/>
  <c r="AH59" i="46"/>
  <c r="AG59" i="46"/>
  <c r="AF59" i="46"/>
  <c r="AM58" i="46"/>
  <c r="AL58" i="46"/>
  <c r="AK58" i="46"/>
  <c r="AJ58" i="46"/>
  <c r="AI58" i="46"/>
  <c r="AH58" i="46"/>
  <c r="AG58" i="46"/>
  <c r="AF58" i="46"/>
  <c r="AM57" i="46"/>
  <c r="AL57" i="46"/>
  <c r="AK57" i="46"/>
  <c r="AJ57" i="46"/>
  <c r="AI57" i="46"/>
  <c r="AH57" i="46"/>
  <c r="AG57" i="46"/>
  <c r="AF57" i="46"/>
  <c r="AM56" i="46"/>
  <c r="AL56" i="46"/>
  <c r="AK56" i="46"/>
  <c r="AJ56" i="46"/>
  <c r="AI56" i="46"/>
  <c r="AH56" i="46"/>
  <c r="AG56" i="46"/>
  <c r="AF56" i="46"/>
  <c r="AM55" i="46"/>
  <c r="AL55" i="46"/>
  <c r="AK55" i="46"/>
  <c r="AJ55" i="46"/>
  <c r="AI55" i="46"/>
  <c r="AH55" i="46"/>
  <c r="AG55" i="46"/>
  <c r="AF55" i="46"/>
  <c r="AH54" i="46"/>
  <c r="AI54" i="46" s="1"/>
  <c r="AJ54" i="46" s="1"/>
  <c r="AK54" i="46" s="1"/>
  <c r="AL54" i="46" s="1"/>
  <c r="AM54" i="46" s="1"/>
  <c r="AN54" i="46" s="1"/>
  <c r="AO54" i="46" s="1"/>
  <c r="AP54" i="46" s="1"/>
  <c r="AQ54" i="46" s="1"/>
  <c r="AR54" i="46" s="1"/>
  <c r="V54" i="46"/>
  <c r="W54" i="46" s="1"/>
  <c r="X54" i="46" s="1"/>
  <c r="Y54" i="46" s="1"/>
  <c r="Z54" i="46" s="1"/>
  <c r="AA54" i="46" s="1"/>
  <c r="AB54" i="46" s="1"/>
  <c r="AC54" i="46" s="1"/>
  <c r="AD54" i="46" s="1"/>
  <c r="AE54" i="46" s="1"/>
  <c r="AF54" i="46" s="1"/>
  <c r="G54" i="46"/>
  <c r="H54" i="46" s="1"/>
  <c r="F54" i="46"/>
  <c r="AE49" i="46"/>
  <c r="AD49" i="46"/>
  <c r="AC49" i="46"/>
  <c r="AB49" i="46"/>
  <c r="AA49" i="46"/>
  <c r="Z49" i="46"/>
  <c r="Y49" i="46"/>
  <c r="X49" i="46"/>
  <c r="W49" i="46"/>
  <c r="V49" i="46"/>
  <c r="C48" i="46"/>
  <c r="C47" i="46"/>
  <c r="AY46" i="46"/>
  <c r="AX46" i="46"/>
  <c r="AW46" i="46"/>
  <c r="AV46" i="46"/>
  <c r="AU46" i="46"/>
  <c r="AT46" i="46"/>
  <c r="AW45" i="46"/>
  <c r="AV45" i="46"/>
  <c r="AU45" i="46"/>
  <c r="AR45" i="46"/>
  <c r="AQ45" i="46"/>
  <c r="AP45" i="46"/>
  <c r="AO45" i="46"/>
  <c r="AN45" i="46"/>
  <c r="F45" i="46"/>
  <c r="E45" i="46"/>
  <c r="AF44" i="46"/>
  <c r="AF46" i="46" s="1"/>
  <c r="AJ42" i="46"/>
  <c r="AK42" i="46" s="1"/>
  <c r="AL42" i="46" s="1"/>
  <c r="AM42" i="46" s="1"/>
  <c r="AN42" i="46" s="1"/>
  <c r="AO42" i="46" s="1"/>
  <c r="AP42" i="46" s="1"/>
  <c r="AQ42" i="46" s="1"/>
  <c r="AR42" i="46" s="1"/>
  <c r="AH42" i="46"/>
  <c r="AI42" i="46" s="1"/>
  <c r="W42" i="46"/>
  <c r="X42" i="46" s="1"/>
  <c r="Y42" i="46" s="1"/>
  <c r="Z42" i="46" s="1"/>
  <c r="AA42" i="46" s="1"/>
  <c r="AB42" i="46" s="1"/>
  <c r="AC42" i="46" s="1"/>
  <c r="AD42" i="46" s="1"/>
  <c r="AE42" i="46" s="1"/>
  <c r="AF42" i="46" s="1"/>
  <c r="V42" i="46"/>
  <c r="G42" i="46"/>
  <c r="F42" i="46"/>
  <c r="AT40" i="46"/>
  <c r="AI31" i="46"/>
  <c r="AJ31" i="46" s="1"/>
  <c r="AK31" i="46" s="1"/>
  <c r="AL31" i="46" s="1"/>
  <c r="AM31" i="46" s="1"/>
  <c r="AN31" i="46" s="1"/>
  <c r="AO31" i="46" s="1"/>
  <c r="AP31" i="46" s="1"/>
  <c r="AQ31" i="46" s="1"/>
  <c r="AR31" i="46" s="1"/>
  <c r="AH31" i="46"/>
  <c r="V31" i="46"/>
  <c r="W31" i="46" s="1"/>
  <c r="X31" i="46" s="1"/>
  <c r="Y31" i="46" s="1"/>
  <c r="Z31" i="46" s="1"/>
  <c r="AA31" i="46" s="1"/>
  <c r="AB31" i="46" s="1"/>
  <c r="AC31" i="46" s="1"/>
  <c r="AD31" i="46" s="1"/>
  <c r="AE31" i="46" s="1"/>
  <c r="AF31" i="46" s="1"/>
  <c r="F31" i="46"/>
  <c r="G31" i="46" s="1"/>
  <c r="H31" i="46" s="1"/>
  <c r="D29" i="46"/>
  <c r="C29" i="46"/>
  <c r="AR28" i="46"/>
  <c r="AQ28" i="46"/>
  <c r="AP28" i="46"/>
  <c r="AO28" i="46"/>
  <c r="AN28" i="46"/>
  <c r="AE28" i="46"/>
  <c r="AD28" i="46"/>
  <c r="AC28" i="46"/>
  <c r="AB28" i="46"/>
  <c r="AA28" i="46"/>
  <c r="Z28" i="46"/>
  <c r="Y28" i="46"/>
  <c r="X28" i="46"/>
  <c r="W28" i="46"/>
  <c r="V28" i="46"/>
  <c r="H28" i="46"/>
  <c r="G28" i="46"/>
  <c r="F28" i="46"/>
  <c r="E28" i="46"/>
  <c r="AL27" i="46"/>
  <c r="AK27" i="46"/>
  <c r="AJ27" i="46"/>
  <c r="AI27" i="46"/>
  <c r="AH27" i="46"/>
  <c r="AG27" i="46"/>
  <c r="AF27" i="46"/>
  <c r="D26" i="46"/>
  <c r="C26" i="46"/>
  <c r="AL25" i="46"/>
  <c r="AK25" i="46"/>
  <c r="AJ25" i="46"/>
  <c r="AI25" i="46"/>
  <c r="AH25" i="46"/>
  <c r="AG25" i="46"/>
  <c r="AF25" i="46"/>
  <c r="D24" i="46"/>
  <c r="C24" i="46"/>
  <c r="AL23" i="46"/>
  <c r="AK23" i="46"/>
  <c r="AJ23" i="46"/>
  <c r="AI23" i="46"/>
  <c r="AH23" i="46"/>
  <c r="C23" i="46" s="1"/>
  <c r="AG23" i="46"/>
  <c r="AF23" i="46"/>
  <c r="AL21" i="46"/>
  <c r="AK21" i="46"/>
  <c r="AJ21" i="46"/>
  <c r="AI21" i="46"/>
  <c r="AH21" i="46"/>
  <c r="AG21" i="46"/>
  <c r="AF21" i="46"/>
  <c r="AL20" i="46"/>
  <c r="AK20" i="46"/>
  <c r="AJ20" i="46"/>
  <c r="AI20" i="46"/>
  <c r="AH20" i="46"/>
  <c r="AG20" i="46"/>
  <c r="AF20" i="46"/>
  <c r="AL19" i="46"/>
  <c r="AK19" i="46"/>
  <c r="AJ19" i="46"/>
  <c r="AI19" i="46"/>
  <c r="AH19" i="46"/>
  <c r="AG19" i="46"/>
  <c r="AF19" i="46"/>
  <c r="AH18" i="46"/>
  <c r="AI18" i="46" s="1"/>
  <c r="AJ18" i="46" s="1"/>
  <c r="AK18" i="46" s="1"/>
  <c r="AL18" i="46" s="1"/>
  <c r="AM18" i="46" s="1"/>
  <c r="AN18" i="46" s="1"/>
  <c r="AO18" i="46" s="1"/>
  <c r="AP18" i="46" s="1"/>
  <c r="AQ18" i="46" s="1"/>
  <c r="AR18" i="46" s="1"/>
  <c r="V18" i="46"/>
  <c r="W18" i="46" s="1"/>
  <c r="X18" i="46" s="1"/>
  <c r="Y18" i="46" s="1"/>
  <c r="Z18" i="46" s="1"/>
  <c r="AA18" i="46" s="1"/>
  <c r="AB18" i="46" s="1"/>
  <c r="AC18" i="46" s="1"/>
  <c r="AD18" i="46" s="1"/>
  <c r="AE18" i="46" s="1"/>
  <c r="AF18" i="46" s="1"/>
  <c r="F18" i="46"/>
  <c r="G18" i="46" s="1"/>
  <c r="H18" i="46" s="1"/>
  <c r="AE13" i="46"/>
  <c r="AF5" i="46" s="1"/>
  <c r="AD13" i="46"/>
  <c r="AC13" i="46"/>
  <c r="AB13" i="46"/>
  <c r="AA13" i="46"/>
  <c r="Z13" i="46"/>
  <c r="Y13" i="46"/>
  <c r="X13" i="46"/>
  <c r="W13" i="46"/>
  <c r="V13" i="46"/>
  <c r="AF12" i="46"/>
  <c r="C12" i="46"/>
  <c r="C11" i="46"/>
  <c r="AY10" i="46"/>
  <c r="AW10" i="46"/>
  <c r="AV10" i="46"/>
  <c r="AU10" i="46"/>
  <c r="AT10" i="46"/>
  <c r="C10" i="46"/>
  <c r="C9" i="46"/>
  <c r="E8" i="46"/>
  <c r="AH3" i="46"/>
  <c r="AI3" i="46" s="1"/>
  <c r="AJ3" i="46" s="1"/>
  <c r="AK3" i="46" s="1"/>
  <c r="AL3" i="46" s="1"/>
  <c r="AM3" i="46" s="1"/>
  <c r="AN3" i="46" s="1"/>
  <c r="AO3" i="46" s="1"/>
  <c r="AP3" i="46" s="1"/>
  <c r="AQ3" i="46" s="1"/>
  <c r="AR3" i="46" s="1"/>
  <c r="V3" i="46"/>
  <c r="W3" i="46" s="1"/>
  <c r="X3" i="46" s="1"/>
  <c r="Y3" i="46" s="1"/>
  <c r="Z3" i="46" s="1"/>
  <c r="AA3" i="46" s="1"/>
  <c r="AB3" i="46" s="1"/>
  <c r="AC3" i="46" s="1"/>
  <c r="AD3" i="46" s="1"/>
  <c r="AE3" i="46" s="1"/>
  <c r="AF3" i="46" s="1"/>
  <c r="F3" i="46"/>
  <c r="G3" i="46" s="1"/>
  <c r="H3" i="46" s="1"/>
  <c r="AA79" i="45"/>
  <c r="Z79" i="45"/>
  <c r="Y79" i="45"/>
  <c r="X79" i="45"/>
  <c r="W79" i="45"/>
  <c r="V79" i="45"/>
  <c r="C78" i="45"/>
  <c r="F77" i="45"/>
  <c r="U76" i="45"/>
  <c r="D76" i="45" s="1"/>
  <c r="H76" i="45"/>
  <c r="H77" i="45" s="1"/>
  <c r="E76" i="45"/>
  <c r="E77" i="45" s="1"/>
  <c r="AX75" i="45"/>
  <c r="AB75" i="45"/>
  <c r="AB77" i="45" s="1"/>
  <c r="X75" i="45"/>
  <c r="X77" i="45" s="1"/>
  <c r="AT74" i="45"/>
  <c r="AH73" i="45"/>
  <c r="AI73" i="45" s="1"/>
  <c r="AJ73" i="45" s="1"/>
  <c r="AK73" i="45" s="1"/>
  <c r="AL73" i="45" s="1"/>
  <c r="AM73" i="45" s="1"/>
  <c r="AN73" i="45" s="1"/>
  <c r="AO73" i="45" s="1"/>
  <c r="AP73" i="45" s="1"/>
  <c r="AQ73" i="45" s="1"/>
  <c r="AR73" i="45" s="1"/>
  <c r="V73" i="45"/>
  <c r="W73" i="45" s="1"/>
  <c r="X73" i="45" s="1"/>
  <c r="Y73" i="45" s="1"/>
  <c r="Z73" i="45" s="1"/>
  <c r="AA73" i="45" s="1"/>
  <c r="AB73" i="45" s="1"/>
  <c r="AC73" i="45" s="1"/>
  <c r="AD73" i="45" s="1"/>
  <c r="AE73" i="45" s="1"/>
  <c r="AF73" i="45" s="1"/>
  <c r="F73" i="45"/>
  <c r="G73" i="45" s="1"/>
  <c r="H73" i="45" s="1"/>
  <c r="AH63" i="45"/>
  <c r="AI63" i="45" s="1"/>
  <c r="AJ63" i="45" s="1"/>
  <c r="AK63" i="45" s="1"/>
  <c r="AL63" i="45" s="1"/>
  <c r="AM63" i="45" s="1"/>
  <c r="AN63" i="45" s="1"/>
  <c r="AO63" i="45" s="1"/>
  <c r="AP63" i="45" s="1"/>
  <c r="AQ63" i="45" s="1"/>
  <c r="AR63" i="45" s="1"/>
  <c r="V63" i="45"/>
  <c r="W63" i="45" s="1"/>
  <c r="X63" i="45" s="1"/>
  <c r="Y63" i="45" s="1"/>
  <c r="Z63" i="45" s="1"/>
  <c r="AA63" i="45" s="1"/>
  <c r="AB63" i="45" s="1"/>
  <c r="AC63" i="45" s="1"/>
  <c r="AD63" i="45" s="1"/>
  <c r="AE63" i="45" s="1"/>
  <c r="AF63" i="45" s="1"/>
  <c r="F63" i="45"/>
  <c r="G63" i="45" s="1"/>
  <c r="H63" i="45" s="1"/>
  <c r="D61" i="45"/>
  <c r="C61" i="45"/>
  <c r="AE60" i="45"/>
  <c r="AD60" i="45"/>
  <c r="AC60" i="45"/>
  <c r="AB60" i="45"/>
  <c r="AA60" i="45"/>
  <c r="Z60" i="45"/>
  <c r="Y60" i="45"/>
  <c r="X60" i="45"/>
  <c r="W60" i="45"/>
  <c r="V60" i="45"/>
  <c r="U60" i="45"/>
  <c r="H60" i="45"/>
  <c r="G60" i="45"/>
  <c r="F60" i="45"/>
  <c r="D59" i="45"/>
  <c r="C59" i="45"/>
  <c r="AS58" i="45"/>
  <c r="AL58" i="45"/>
  <c r="AK58" i="45"/>
  <c r="AJ58" i="45"/>
  <c r="AI58" i="45"/>
  <c r="AH58" i="45"/>
  <c r="AG58" i="45"/>
  <c r="AF58" i="45"/>
  <c r="C58" i="45" s="1"/>
  <c r="D58" i="45"/>
  <c r="D57" i="45"/>
  <c r="C57" i="45"/>
  <c r="D56" i="45"/>
  <c r="C56" i="45"/>
  <c r="D55" i="45"/>
  <c r="D54" i="45"/>
  <c r="D53" i="45"/>
  <c r="D52" i="45"/>
  <c r="AH51" i="45"/>
  <c r="AI51" i="45" s="1"/>
  <c r="AJ51" i="45" s="1"/>
  <c r="AK51" i="45" s="1"/>
  <c r="AL51" i="45" s="1"/>
  <c r="AM51" i="45" s="1"/>
  <c r="AN51" i="45" s="1"/>
  <c r="AO51" i="45" s="1"/>
  <c r="AP51" i="45" s="1"/>
  <c r="AQ51" i="45" s="1"/>
  <c r="AR51" i="45" s="1"/>
  <c r="V51" i="45"/>
  <c r="W51" i="45" s="1"/>
  <c r="X51" i="45" s="1"/>
  <c r="Y51" i="45" s="1"/>
  <c r="Z51" i="45" s="1"/>
  <c r="AA51" i="45" s="1"/>
  <c r="AB51" i="45" s="1"/>
  <c r="AC51" i="45" s="1"/>
  <c r="AD51" i="45" s="1"/>
  <c r="AE51" i="45" s="1"/>
  <c r="AF51" i="45" s="1"/>
  <c r="F51" i="45"/>
  <c r="G51" i="45" s="1"/>
  <c r="H51" i="45" s="1"/>
  <c r="AS49" i="45"/>
  <c r="AY47" i="45"/>
  <c r="AW47" i="45"/>
  <c r="AV47" i="45"/>
  <c r="AU47" i="45"/>
  <c r="AT47" i="45"/>
  <c r="AB47" i="45"/>
  <c r="AA47" i="45"/>
  <c r="Z47" i="45"/>
  <c r="U47" i="45"/>
  <c r="S47" i="45"/>
  <c r="AW46" i="45"/>
  <c r="AV46" i="45"/>
  <c r="AU46" i="45"/>
  <c r="T46" i="45"/>
  <c r="C46" i="45"/>
  <c r="C45" i="45"/>
  <c r="S44" i="45"/>
  <c r="AR43" i="45"/>
  <c r="AQ43" i="45"/>
  <c r="AP43" i="45"/>
  <c r="AO43" i="45"/>
  <c r="AN43" i="45"/>
  <c r="AM43" i="45"/>
  <c r="AD43" i="45"/>
  <c r="AC43" i="45"/>
  <c r="W43" i="45"/>
  <c r="V43" i="45"/>
  <c r="H43" i="45"/>
  <c r="E43" i="45"/>
  <c r="AC42" i="45"/>
  <c r="T42" i="45"/>
  <c r="T47" i="45" s="1"/>
  <c r="AT41" i="45"/>
  <c r="AH40" i="45"/>
  <c r="AI40" i="45" s="1"/>
  <c r="AJ40" i="45" s="1"/>
  <c r="AK40" i="45" s="1"/>
  <c r="AL40" i="45" s="1"/>
  <c r="AM40" i="45" s="1"/>
  <c r="AN40" i="45" s="1"/>
  <c r="AO40" i="45" s="1"/>
  <c r="AP40" i="45" s="1"/>
  <c r="AQ40" i="45" s="1"/>
  <c r="AR40" i="45" s="1"/>
  <c r="V40" i="45"/>
  <c r="W40" i="45" s="1"/>
  <c r="X40" i="45" s="1"/>
  <c r="Y40" i="45" s="1"/>
  <c r="Z40" i="45" s="1"/>
  <c r="AA40" i="45" s="1"/>
  <c r="AB40" i="45" s="1"/>
  <c r="AC40" i="45" s="1"/>
  <c r="AD40" i="45" s="1"/>
  <c r="AE40" i="45" s="1"/>
  <c r="AF40" i="45" s="1"/>
  <c r="F40" i="45"/>
  <c r="G40" i="45" s="1"/>
  <c r="H40" i="45" s="1"/>
  <c r="AH30" i="45"/>
  <c r="AI30" i="45" s="1"/>
  <c r="AJ30" i="45" s="1"/>
  <c r="AK30" i="45" s="1"/>
  <c r="AL30" i="45" s="1"/>
  <c r="AM30" i="45" s="1"/>
  <c r="AN30" i="45" s="1"/>
  <c r="AO30" i="45" s="1"/>
  <c r="AP30" i="45" s="1"/>
  <c r="AQ30" i="45" s="1"/>
  <c r="AR30" i="45" s="1"/>
  <c r="V30" i="45"/>
  <c r="W30" i="45" s="1"/>
  <c r="X30" i="45" s="1"/>
  <c r="Y30" i="45" s="1"/>
  <c r="Z30" i="45" s="1"/>
  <c r="AA30" i="45" s="1"/>
  <c r="AB30" i="45" s="1"/>
  <c r="AC30" i="45" s="1"/>
  <c r="AD30" i="45" s="1"/>
  <c r="AE30" i="45" s="1"/>
  <c r="AF30" i="45" s="1"/>
  <c r="G30" i="45"/>
  <c r="H30" i="45" s="1"/>
  <c r="F30" i="45"/>
  <c r="D28" i="45"/>
  <c r="C28" i="45"/>
  <c r="AR27" i="45"/>
  <c r="AQ27" i="45"/>
  <c r="AP27" i="45"/>
  <c r="AO27" i="45"/>
  <c r="AN27" i="45"/>
  <c r="AE27" i="45"/>
  <c r="AD27" i="45"/>
  <c r="AC27" i="45"/>
  <c r="AB27" i="45"/>
  <c r="Z27" i="45"/>
  <c r="Y27" i="45"/>
  <c r="X27" i="45"/>
  <c r="W27" i="45"/>
  <c r="V27" i="45"/>
  <c r="U27" i="45"/>
  <c r="H27" i="45"/>
  <c r="G27" i="45"/>
  <c r="E27" i="45"/>
  <c r="D26" i="45"/>
  <c r="C26" i="45"/>
  <c r="D25" i="45"/>
  <c r="C25" i="45"/>
  <c r="AL24" i="45"/>
  <c r="AK24" i="45"/>
  <c r="AJ24" i="45"/>
  <c r="AI24" i="45"/>
  <c r="AH24" i="45"/>
  <c r="AG24" i="45"/>
  <c r="AF24" i="45"/>
  <c r="AA24" i="45"/>
  <c r="D23" i="45"/>
  <c r="C23" i="45"/>
  <c r="D22" i="45"/>
  <c r="C22" i="45"/>
  <c r="D21" i="45"/>
  <c r="C21" i="45"/>
  <c r="AM27" i="45"/>
  <c r="AH18" i="45"/>
  <c r="AI18" i="45" s="1"/>
  <c r="AJ18" i="45" s="1"/>
  <c r="AK18" i="45" s="1"/>
  <c r="AL18" i="45" s="1"/>
  <c r="AM18" i="45" s="1"/>
  <c r="AN18" i="45" s="1"/>
  <c r="AO18" i="45" s="1"/>
  <c r="AP18" i="45" s="1"/>
  <c r="AQ18" i="45" s="1"/>
  <c r="AR18" i="45" s="1"/>
  <c r="AS18" i="45" s="1"/>
  <c r="V18" i="45"/>
  <c r="W18" i="45" s="1"/>
  <c r="X18" i="45" s="1"/>
  <c r="Y18" i="45" s="1"/>
  <c r="Z18" i="45" s="1"/>
  <c r="AA18" i="45" s="1"/>
  <c r="AB18" i="45" s="1"/>
  <c r="AC18" i="45" s="1"/>
  <c r="AD18" i="45" s="1"/>
  <c r="AE18" i="45" s="1"/>
  <c r="AF18" i="45" s="1"/>
  <c r="F18" i="45"/>
  <c r="G18" i="45" s="1"/>
  <c r="H18" i="45" s="1"/>
  <c r="AE13" i="45"/>
  <c r="AF5" i="45" s="1"/>
  <c r="AD13" i="45"/>
  <c r="AC13" i="45"/>
  <c r="AB13" i="45"/>
  <c r="AA13" i="45"/>
  <c r="Z13" i="45"/>
  <c r="Y13" i="45"/>
  <c r="X13" i="45"/>
  <c r="W13" i="45"/>
  <c r="V13" i="45"/>
  <c r="U13" i="45"/>
  <c r="S13" i="45"/>
  <c r="C12" i="45"/>
  <c r="C11" i="45"/>
  <c r="AY10" i="45"/>
  <c r="AW10" i="45"/>
  <c r="AV10" i="45"/>
  <c r="AU10" i="45"/>
  <c r="AT10" i="45"/>
  <c r="C10" i="45"/>
  <c r="C9" i="45"/>
  <c r="E8" i="45"/>
  <c r="E13" i="45" s="1"/>
  <c r="F5" i="45" s="1"/>
  <c r="T5" i="45"/>
  <c r="T13" i="45" s="1"/>
  <c r="AI3" i="45"/>
  <c r="AJ3" i="45" s="1"/>
  <c r="AK3" i="45" s="1"/>
  <c r="AL3" i="45" s="1"/>
  <c r="AM3" i="45" s="1"/>
  <c r="AN3" i="45" s="1"/>
  <c r="AO3" i="45" s="1"/>
  <c r="AP3" i="45" s="1"/>
  <c r="AQ3" i="45" s="1"/>
  <c r="AR3" i="45" s="1"/>
  <c r="AH3" i="45"/>
  <c r="V3" i="45"/>
  <c r="F3" i="45"/>
  <c r="G3" i="45" s="1"/>
  <c r="H3" i="45" s="1"/>
  <c r="AN80" i="45"/>
  <c r="X80" i="45"/>
  <c r="AE48" i="45"/>
  <c r="E48" i="45"/>
  <c r="AD80" i="45"/>
  <c r="AK48" i="45"/>
  <c r="U48" i="45"/>
  <c r="AA80" i="45"/>
  <c r="F48" i="45"/>
  <c r="T14" i="45"/>
  <c r="Y80" i="45"/>
  <c r="AM80" i="45"/>
  <c r="AJ48" i="45"/>
  <c r="AL14" i="45"/>
  <c r="AC80" i="45"/>
  <c r="G14" i="45"/>
  <c r="AQ14" i="45"/>
  <c r="AK80" i="45"/>
  <c r="AJ80" i="45"/>
  <c r="AQ48" i="45"/>
  <c r="AA48" i="45"/>
  <c r="AP80" i="45"/>
  <c r="Z80" i="45"/>
  <c r="AG48" i="45"/>
  <c r="G48" i="45"/>
  <c r="AR14" i="45"/>
  <c r="F14" i="45"/>
  <c r="AL48" i="45"/>
  <c r="AE80" i="45"/>
  <c r="AB48" i="45"/>
  <c r="AH14" i="45"/>
  <c r="H48" i="45"/>
  <c r="AP48" i="45"/>
  <c r="AH48" i="45"/>
  <c r="Z48" i="45"/>
  <c r="AM48" i="45"/>
  <c r="AL80" i="45"/>
  <c r="V80" i="45"/>
  <c r="AQ80" i="45"/>
  <c r="AN14" i="45"/>
  <c r="AD48" i="45"/>
  <c r="T48" i="45"/>
  <c r="AO14" i="45"/>
  <c r="AK14" i="45"/>
  <c r="S48" i="45"/>
  <c r="AO48" i="45"/>
  <c r="AI80" i="45"/>
  <c r="AJ14" i="45"/>
  <c r="V48" i="45"/>
  <c r="AP14" i="45"/>
  <c r="AG14" i="45"/>
  <c r="U14" i="45"/>
  <c r="AN48" i="45"/>
  <c r="AF80" i="45"/>
  <c r="W48" i="45"/>
  <c r="AC48" i="45"/>
  <c r="AF48" i="45"/>
  <c r="AO80" i="45"/>
  <c r="W80" i="45"/>
  <c r="V14" i="45"/>
  <c r="AM14" i="45"/>
  <c r="AI14" i="45"/>
  <c r="AR80" i="45"/>
  <c r="AB80" i="45"/>
  <c r="AI48" i="45"/>
  <c r="AH80" i="45"/>
  <c r="Y48" i="45"/>
  <c r="X48" i="45"/>
  <c r="AG80" i="45"/>
  <c r="AR48" i="45"/>
  <c r="H14" i="45"/>
  <c r="E14" i="45"/>
  <c r="S14" i="45"/>
  <c r="AQ83" i="46"/>
  <c r="AA83" i="46"/>
  <c r="AN50" i="46"/>
  <c r="X50" i="46"/>
  <c r="AG83" i="46"/>
  <c r="AI50" i="46"/>
  <c r="AQ14" i="46"/>
  <c r="AA14" i="46"/>
  <c r="AK83" i="46"/>
  <c r="AM50" i="46"/>
  <c r="E50" i="46"/>
  <c r="AA50" i="46"/>
  <c r="AB14" i="46"/>
  <c r="AK50" i="46"/>
  <c r="AF14" i="46"/>
  <c r="AD83" i="46"/>
  <c r="V50" i="46"/>
  <c r="Y14" i="46"/>
  <c r="E83" i="46"/>
  <c r="AH14" i="46"/>
  <c r="AE83" i="46"/>
  <c r="AL83" i="46"/>
  <c r="F50" i="46"/>
  <c r="W50" i="46"/>
  <c r="X83" i="46"/>
  <c r="AG50" i="46"/>
  <c r="AN14" i="46"/>
  <c r="AM83" i="46"/>
  <c r="W83" i="46"/>
  <c r="AJ50" i="46"/>
  <c r="G50" i="46"/>
  <c r="AB83" i="46"/>
  <c r="AD50" i="46"/>
  <c r="AM14" i="46"/>
  <c r="W14" i="46"/>
  <c r="AF83" i="46"/>
  <c r="AH50" i="46"/>
  <c r="AJ83" i="46"/>
  <c r="AR14" i="46"/>
  <c r="V14" i="46"/>
  <c r="Z50" i="46"/>
  <c r="Z14" i="46"/>
  <c r="G83" i="46"/>
  <c r="AO14" i="46"/>
  <c r="G14" i="46"/>
  <c r="AP50" i="46"/>
  <c r="AC14" i="46"/>
  <c r="AL14" i="46"/>
  <c r="AP14" i="46"/>
  <c r="AQ50" i="46"/>
  <c r="AJ14" i="46"/>
  <c r="AE50" i="46"/>
  <c r="X14" i="46"/>
  <c r="AB50" i="46"/>
  <c r="AP83" i="46"/>
  <c r="AL50" i="46"/>
  <c r="AK14" i="46"/>
  <c r="AO83" i="46"/>
  <c r="AC83" i="46"/>
  <c r="E14" i="46"/>
  <c r="AI83" i="46"/>
  <c r="F83" i="46"/>
  <c r="AF50" i="46"/>
  <c r="AR83" i="46"/>
  <c r="V83" i="46"/>
  <c r="Y50" i="46"/>
  <c r="AI14" i="46"/>
  <c r="F14" i="46"/>
  <c r="Z83" i="46"/>
  <c r="AC50" i="46"/>
  <c r="Y83" i="46"/>
  <c r="AH83" i="46"/>
  <c r="H14" i="46"/>
  <c r="AN83" i="46"/>
  <c r="AR50" i="46"/>
  <c r="AO50" i="46"/>
  <c r="AE14" i="46"/>
  <c r="H83" i="46"/>
  <c r="AG14" i="46"/>
  <c r="AD14" i="46"/>
  <c r="AB79" i="45" l="1"/>
  <c r="C76" i="45"/>
  <c r="D60" i="45"/>
  <c r="D28" i="46"/>
  <c r="AF49" i="46"/>
  <c r="AG44" i="46" s="1"/>
  <c r="C33" i="24"/>
  <c r="D27" i="46"/>
  <c r="AL45" i="46"/>
  <c r="AK45" i="46"/>
  <c r="D21" i="46"/>
  <c r="C25" i="46"/>
  <c r="D25" i="46"/>
  <c r="AJ28" i="46"/>
  <c r="C20" i="46"/>
  <c r="C27" i="46"/>
  <c r="D59" i="46"/>
  <c r="AJ45" i="46"/>
  <c r="D24" i="45"/>
  <c r="C56" i="46"/>
  <c r="D61" i="46"/>
  <c r="AI64" i="46"/>
  <c r="AH45" i="46"/>
  <c r="C21" i="46"/>
  <c r="C19" i="46"/>
  <c r="C58" i="46"/>
  <c r="C61" i="46"/>
  <c r="C24" i="45"/>
  <c r="C60" i="46"/>
  <c r="C53" i="24"/>
  <c r="D57" i="46"/>
  <c r="D63" i="46"/>
  <c r="C63" i="46"/>
  <c r="D56" i="46"/>
  <c r="AM80" i="46"/>
  <c r="C62" i="46"/>
  <c r="AC15" i="46"/>
  <c r="AE51" i="46"/>
  <c r="AC84" i="46"/>
  <c r="Y15" i="46"/>
  <c r="AD15" i="46"/>
  <c r="V51" i="46"/>
  <c r="AD84" i="46"/>
  <c r="Z15" i="46"/>
  <c r="Z51" i="46"/>
  <c r="V15" i="46"/>
  <c r="AA51" i="46"/>
  <c r="Y84" i="46"/>
  <c r="W51" i="46"/>
  <c r="Z84" i="46"/>
  <c r="W15" i="46"/>
  <c r="V84" i="46"/>
  <c r="W84" i="46"/>
  <c r="AF51" i="46"/>
  <c r="AA15" i="46"/>
  <c r="F84" i="46"/>
  <c r="G79" i="46"/>
  <c r="G82" i="46" s="1"/>
  <c r="AF28" i="46"/>
  <c r="AL28" i="46"/>
  <c r="AI45" i="46"/>
  <c r="AD51" i="46"/>
  <c r="AM64" i="46"/>
  <c r="AX77" i="46"/>
  <c r="AI80" i="46"/>
  <c r="D19" i="46"/>
  <c r="AI28" i="46"/>
  <c r="AM45" i="46"/>
  <c r="AG28" i="46"/>
  <c r="AM28" i="46"/>
  <c r="H42" i="46"/>
  <c r="AF64" i="46"/>
  <c r="D55" i="46"/>
  <c r="AJ80" i="46"/>
  <c r="AJ64" i="46"/>
  <c r="C55" i="46"/>
  <c r="X15" i="46"/>
  <c r="AB15" i="46"/>
  <c r="AE15" i="46"/>
  <c r="D23" i="46"/>
  <c r="AH28" i="46"/>
  <c r="E46" i="46"/>
  <c r="E49" i="46" s="1"/>
  <c r="X51" i="46"/>
  <c r="AB51" i="46"/>
  <c r="AG64" i="46"/>
  <c r="AK64" i="46"/>
  <c r="C57" i="46"/>
  <c r="AH64" i="46"/>
  <c r="E84" i="46"/>
  <c r="E13" i="46"/>
  <c r="AG45" i="46"/>
  <c r="D20" i="46"/>
  <c r="Y51" i="46"/>
  <c r="AC51" i="46"/>
  <c r="AL80" i="46"/>
  <c r="AX76" i="46" s="1"/>
  <c r="AG80" i="46"/>
  <c r="AK80" i="46"/>
  <c r="D58" i="46"/>
  <c r="C59" i="46"/>
  <c r="AH80" i="46"/>
  <c r="AA84" i="46"/>
  <c r="AF79" i="46"/>
  <c r="AF82" i="46" s="1"/>
  <c r="AE84" i="46"/>
  <c r="D62" i="46"/>
  <c r="X84" i="46"/>
  <c r="AB84" i="46"/>
  <c r="AK28" i="46"/>
  <c r="D60" i="46"/>
  <c r="AL64" i="46"/>
  <c r="U15" i="45"/>
  <c r="V81" i="45"/>
  <c r="S49" i="45"/>
  <c r="E15" i="45"/>
  <c r="AA49" i="45"/>
  <c r="S15" i="45"/>
  <c r="T15" i="45"/>
  <c r="X81" i="45"/>
  <c r="AB81" i="45"/>
  <c r="AC75" i="45"/>
  <c r="W3" i="45"/>
  <c r="F8" i="45"/>
  <c r="F13" i="45" s="1"/>
  <c r="AC44" i="45"/>
  <c r="AC47" i="45" s="1"/>
  <c r="V42" i="45"/>
  <c r="V47" i="45" s="1"/>
  <c r="U49" i="45"/>
  <c r="V15" i="45"/>
  <c r="Z81" i="45"/>
  <c r="D27" i="45"/>
  <c r="T49" i="45"/>
  <c r="AB49" i="45"/>
  <c r="AX78" i="45"/>
  <c r="Y81" i="45"/>
  <c r="Z49" i="45"/>
  <c r="W81" i="45"/>
  <c r="AA81" i="45"/>
  <c r="AY78" i="45"/>
  <c r="C41" i="24"/>
  <c r="AM58" i="17"/>
  <c r="AL58" i="17"/>
  <c r="K36" i="22"/>
  <c r="AM56" i="16"/>
  <c r="AM57" i="16"/>
  <c r="AM58" i="16"/>
  <c r="AM59" i="16"/>
  <c r="AM60" i="16"/>
  <c r="AM61" i="16"/>
  <c r="AM62" i="16"/>
  <c r="AM63" i="16"/>
  <c r="AM55" i="16"/>
  <c r="AM27" i="16"/>
  <c r="AM25" i="16"/>
  <c r="AM23" i="16"/>
  <c r="AM21" i="16"/>
  <c r="AM20" i="16"/>
  <c r="AM19" i="16"/>
  <c r="AL58" i="16"/>
  <c r="AL57" i="16"/>
  <c r="AL56" i="16"/>
  <c r="AL55" i="16"/>
  <c r="AL27" i="16"/>
  <c r="AL25" i="16"/>
  <c r="AL23" i="16"/>
  <c r="AL21" i="16"/>
  <c r="AL20" i="16"/>
  <c r="AL19" i="16"/>
  <c r="AL63" i="16"/>
  <c r="AL62" i="16"/>
  <c r="AL61" i="16"/>
  <c r="AL60" i="16"/>
  <c r="AL59" i="16"/>
  <c r="AL24" i="17"/>
  <c r="AL19" i="17"/>
  <c r="W14" i="45"/>
  <c r="H50" i="46"/>
  <c r="AY77" i="46" l="1"/>
  <c r="AL19" i="45"/>
  <c r="AL52" i="45"/>
  <c r="AL52" i="17"/>
  <c r="AY76" i="46"/>
  <c r="AY80" i="46" s="1"/>
  <c r="AM28" i="16"/>
  <c r="E51" i="46"/>
  <c r="F44" i="46"/>
  <c r="D45" i="46"/>
  <c r="C45" i="46"/>
  <c r="AG46" i="46"/>
  <c r="AG49" i="46" s="1"/>
  <c r="AF84" i="46"/>
  <c r="AG79" i="46"/>
  <c r="AG82" i="46" s="1"/>
  <c r="AX44" i="46"/>
  <c r="AY41" i="46"/>
  <c r="E15" i="46"/>
  <c r="F5" i="46"/>
  <c r="AY44" i="46"/>
  <c r="C80" i="46"/>
  <c r="C82" i="46" s="1"/>
  <c r="D80" i="46"/>
  <c r="C64" i="46"/>
  <c r="C28" i="46"/>
  <c r="G84" i="46"/>
  <c r="H79" i="46"/>
  <c r="H82" i="46" s="1"/>
  <c r="H84" i="46" s="1"/>
  <c r="W15" i="45"/>
  <c r="AD42" i="45"/>
  <c r="AC49" i="45"/>
  <c r="G5" i="45"/>
  <c r="F15" i="45"/>
  <c r="V49" i="45"/>
  <c r="W42" i="45"/>
  <c r="W47" i="45" s="1"/>
  <c r="X3" i="45"/>
  <c r="AC77" i="45"/>
  <c r="AM64" i="16"/>
  <c r="C44" i="24"/>
  <c r="I23" i="22"/>
  <c r="AK24" i="17"/>
  <c r="AJ24" i="17"/>
  <c r="X14" i="45"/>
  <c r="F8" i="46" l="1"/>
  <c r="AG51" i="46"/>
  <c r="AH44" i="46"/>
  <c r="AG84" i="46"/>
  <c r="AH79" i="46"/>
  <c r="AH82" i="46" s="1"/>
  <c r="F46" i="46"/>
  <c r="F49" i="46" s="1"/>
  <c r="X15" i="45"/>
  <c r="X42" i="45"/>
  <c r="X47" i="45" s="1"/>
  <c r="W49" i="45"/>
  <c r="G8" i="45"/>
  <c r="AD44" i="45"/>
  <c r="AD47" i="45" s="1"/>
  <c r="AC79" i="45"/>
  <c r="Y3" i="45"/>
  <c r="C44" i="22"/>
  <c r="C53" i="22"/>
  <c r="AL80" i="16"/>
  <c r="AL45" i="16"/>
  <c r="Y14" i="45"/>
  <c r="AH46" i="46" l="1"/>
  <c r="AH84" i="46"/>
  <c r="AI79" i="46"/>
  <c r="AI82" i="46" s="1"/>
  <c r="F51" i="46"/>
  <c r="G44" i="46"/>
  <c r="F13" i="46"/>
  <c r="Y15" i="45"/>
  <c r="AE42" i="45"/>
  <c r="AD49" i="45"/>
  <c r="AC81" i="45"/>
  <c r="AD75" i="45"/>
  <c r="X49" i="45"/>
  <c r="Y42" i="45"/>
  <c r="Y47" i="45" s="1"/>
  <c r="Y49" i="45" s="1"/>
  <c r="G13" i="45"/>
  <c r="Z3" i="45"/>
  <c r="AL28" i="16"/>
  <c r="C21" i="22"/>
  <c r="C18" i="22"/>
  <c r="C15" i="22"/>
  <c r="C12" i="22"/>
  <c r="C9" i="22"/>
  <c r="C8" i="22"/>
  <c r="C6" i="22"/>
  <c r="C5" i="22"/>
  <c r="C4" i="22"/>
  <c r="Z14" i="45"/>
  <c r="F15" i="46" l="1"/>
  <c r="G5" i="46"/>
  <c r="AJ79" i="46"/>
  <c r="AJ82" i="46" s="1"/>
  <c r="AI84" i="46"/>
  <c r="G46" i="46"/>
  <c r="G49" i="46" s="1"/>
  <c r="AH49" i="46"/>
  <c r="Z15" i="45"/>
  <c r="H5" i="45"/>
  <c r="G15" i="45"/>
  <c r="AD77" i="45"/>
  <c r="AA3" i="45"/>
  <c r="AE44" i="45"/>
  <c r="C33" i="22"/>
  <c r="C52" i="22" s="1"/>
  <c r="AA79" i="44"/>
  <c r="AB75" i="44" s="1"/>
  <c r="AB77" i="44" s="1"/>
  <c r="AB79" i="44" s="1"/>
  <c r="AC75" i="44" s="1"/>
  <c r="Z79" i="44"/>
  <c r="Y79" i="44"/>
  <c r="W79" i="44"/>
  <c r="X75" i="44" s="1"/>
  <c r="X77" i="44" s="1"/>
  <c r="V79" i="44"/>
  <c r="C78" i="44"/>
  <c r="F77" i="44"/>
  <c r="U76" i="44"/>
  <c r="D76" i="44" s="1"/>
  <c r="H76" i="44"/>
  <c r="H77" i="44" s="1"/>
  <c r="E76" i="44"/>
  <c r="E77" i="44" s="1"/>
  <c r="AX75" i="44"/>
  <c r="AT74" i="44"/>
  <c r="AH73" i="44"/>
  <c r="AI73" i="44" s="1"/>
  <c r="AJ73" i="44" s="1"/>
  <c r="AK73" i="44" s="1"/>
  <c r="AL73" i="44" s="1"/>
  <c r="AM73" i="44" s="1"/>
  <c r="AN73" i="44" s="1"/>
  <c r="AO73" i="44" s="1"/>
  <c r="AP73" i="44" s="1"/>
  <c r="AQ73" i="44" s="1"/>
  <c r="AR73" i="44" s="1"/>
  <c r="V73" i="44"/>
  <c r="W73" i="44" s="1"/>
  <c r="X73" i="44" s="1"/>
  <c r="Y73" i="44" s="1"/>
  <c r="Z73" i="44" s="1"/>
  <c r="AA73" i="44" s="1"/>
  <c r="AB73" i="44" s="1"/>
  <c r="AC73" i="44" s="1"/>
  <c r="AD73" i="44" s="1"/>
  <c r="AE73" i="44" s="1"/>
  <c r="AF73" i="44" s="1"/>
  <c r="F73" i="44"/>
  <c r="G73" i="44" s="1"/>
  <c r="H73" i="44" s="1"/>
  <c r="AH63" i="44"/>
  <c r="AI63" i="44" s="1"/>
  <c r="AJ63" i="44" s="1"/>
  <c r="AK63" i="44" s="1"/>
  <c r="AL63" i="44" s="1"/>
  <c r="AM63" i="44" s="1"/>
  <c r="AN63" i="44" s="1"/>
  <c r="AO63" i="44" s="1"/>
  <c r="AP63" i="44" s="1"/>
  <c r="AQ63" i="44" s="1"/>
  <c r="AR63" i="44" s="1"/>
  <c r="V63" i="44"/>
  <c r="W63" i="44" s="1"/>
  <c r="X63" i="44" s="1"/>
  <c r="Y63" i="44" s="1"/>
  <c r="Z63" i="44" s="1"/>
  <c r="AA63" i="44" s="1"/>
  <c r="AB63" i="44" s="1"/>
  <c r="AC63" i="44" s="1"/>
  <c r="AD63" i="44" s="1"/>
  <c r="AE63" i="44" s="1"/>
  <c r="AF63" i="44" s="1"/>
  <c r="F63" i="44"/>
  <c r="G63" i="44" s="1"/>
  <c r="H63" i="44" s="1"/>
  <c r="D61" i="44"/>
  <c r="C61" i="44"/>
  <c r="AE60" i="44"/>
  <c r="AD60" i="44"/>
  <c r="AC60" i="44"/>
  <c r="AB60" i="44"/>
  <c r="AA60" i="44"/>
  <c r="Z60" i="44"/>
  <c r="Y60" i="44"/>
  <c r="X60" i="44"/>
  <c r="W60" i="44"/>
  <c r="V60" i="44"/>
  <c r="U60" i="44"/>
  <c r="H60" i="44"/>
  <c r="G60" i="44"/>
  <c r="F60" i="44"/>
  <c r="D59" i="44"/>
  <c r="C59" i="44"/>
  <c r="AS58" i="44"/>
  <c r="AK58" i="44"/>
  <c r="AJ58" i="44"/>
  <c r="AI58" i="44"/>
  <c r="AH58" i="44"/>
  <c r="AG58" i="44"/>
  <c r="AF58" i="44"/>
  <c r="C58" i="44" s="1"/>
  <c r="D58" i="44"/>
  <c r="D57" i="44"/>
  <c r="C57" i="44"/>
  <c r="D56" i="44"/>
  <c r="C56" i="44"/>
  <c r="D55" i="44"/>
  <c r="D54" i="44"/>
  <c r="D53" i="44"/>
  <c r="D52" i="44"/>
  <c r="AH51" i="44"/>
  <c r="AI51" i="44" s="1"/>
  <c r="AJ51" i="44" s="1"/>
  <c r="AK51" i="44" s="1"/>
  <c r="AL51" i="44" s="1"/>
  <c r="AM51" i="44" s="1"/>
  <c r="AN51" i="44" s="1"/>
  <c r="AO51" i="44" s="1"/>
  <c r="AP51" i="44" s="1"/>
  <c r="AQ51" i="44" s="1"/>
  <c r="AR51" i="44" s="1"/>
  <c r="V51" i="44"/>
  <c r="W51" i="44" s="1"/>
  <c r="X51" i="44" s="1"/>
  <c r="Y51" i="44" s="1"/>
  <c r="Z51" i="44" s="1"/>
  <c r="AA51" i="44" s="1"/>
  <c r="AB51" i="44" s="1"/>
  <c r="AC51" i="44" s="1"/>
  <c r="AD51" i="44" s="1"/>
  <c r="AE51" i="44" s="1"/>
  <c r="AF51" i="44" s="1"/>
  <c r="F51" i="44"/>
  <c r="G51" i="44" s="1"/>
  <c r="H51" i="44" s="1"/>
  <c r="AS49" i="44"/>
  <c r="AY47" i="44"/>
  <c r="AW47" i="44"/>
  <c r="AV47" i="44"/>
  <c r="AU47" i="44"/>
  <c r="AT47" i="44"/>
  <c r="AB47" i="44"/>
  <c r="AA47" i="44"/>
  <c r="Z47" i="44"/>
  <c r="U47" i="44"/>
  <c r="V42" i="44" s="1"/>
  <c r="AW46" i="44"/>
  <c r="AV46" i="44"/>
  <c r="AU46" i="44"/>
  <c r="T46" i="44"/>
  <c r="C46" i="44"/>
  <c r="C45" i="44"/>
  <c r="S44" i="44"/>
  <c r="S47" i="44" s="1"/>
  <c r="T42" i="44" s="1"/>
  <c r="AR43" i="44"/>
  <c r="AQ43" i="44"/>
  <c r="AP43" i="44"/>
  <c r="AO43" i="44"/>
  <c r="AN43" i="44"/>
  <c r="AM43" i="44"/>
  <c r="AL43" i="44"/>
  <c r="AD43" i="44"/>
  <c r="AC43" i="44"/>
  <c r="W43" i="44"/>
  <c r="V43" i="44"/>
  <c r="H43" i="44"/>
  <c r="E43" i="44"/>
  <c r="AC42" i="44"/>
  <c r="AT41" i="44"/>
  <c r="AH40" i="44"/>
  <c r="AI40" i="44" s="1"/>
  <c r="AJ40" i="44" s="1"/>
  <c r="AK40" i="44" s="1"/>
  <c r="AL40" i="44" s="1"/>
  <c r="AM40" i="44" s="1"/>
  <c r="AN40" i="44" s="1"/>
  <c r="AO40" i="44" s="1"/>
  <c r="AP40" i="44" s="1"/>
  <c r="AQ40" i="44" s="1"/>
  <c r="AR40" i="44" s="1"/>
  <c r="V40" i="44"/>
  <c r="W40" i="44" s="1"/>
  <c r="X40" i="44" s="1"/>
  <c r="Y40" i="44" s="1"/>
  <c r="Z40" i="44" s="1"/>
  <c r="AA40" i="44" s="1"/>
  <c r="AB40" i="44" s="1"/>
  <c r="AC40" i="44" s="1"/>
  <c r="AD40" i="44" s="1"/>
  <c r="AE40" i="44" s="1"/>
  <c r="AF40" i="44" s="1"/>
  <c r="F40" i="44"/>
  <c r="G40" i="44" s="1"/>
  <c r="H40" i="44" s="1"/>
  <c r="AH30" i="44"/>
  <c r="AI30" i="44" s="1"/>
  <c r="AJ30" i="44" s="1"/>
  <c r="AK30" i="44" s="1"/>
  <c r="AL30" i="44" s="1"/>
  <c r="AM30" i="44" s="1"/>
  <c r="AN30" i="44" s="1"/>
  <c r="AO30" i="44" s="1"/>
  <c r="AP30" i="44" s="1"/>
  <c r="AQ30" i="44" s="1"/>
  <c r="AR30" i="44" s="1"/>
  <c r="V30" i="44"/>
  <c r="W30" i="44" s="1"/>
  <c r="X30" i="44" s="1"/>
  <c r="Y30" i="44" s="1"/>
  <c r="Z30" i="44" s="1"/>
  <c r="AA30" i="44" s="1"/>
  <c r="AB30" i="44" s="1"/>
  <c r="AC30" i="44" s="1"/>
  <c r="AD30" i="44" s="1"/>
  <c r="AE30" i="44" s="1"/>
  <c r="AF30" i="44" s="1"/>
  <c r="F30" i="44"/>
  <c r="G30" i="44" s="1"/>
  <c r="H30" i="44" s="1"/>
  <c r="D28" i="44"/>
  <c r="C28" i="44"/>
  <c r="AR27" i="44"/>
  <c r="AQ27" i="44"/>
  <c r="AP27" i="44"/>
  <c r="AO27" i="44"/>
  <c r="AN27" i="44"/>
  <c r="AM27" i="44"/>
  <c r="AL27" i="44"/>
  <c r="AE27" i="44"/>
  <c r="AD27" i="44"/>
  <c r="AC27" i="44"/>
  <c r="AB27" i="44"/>
  <c r="Z27" i="44"/>
  <c r="Y27" i="44"/>
  <c r="X27" i="44"/>
  <c r="W27" i="44"/>
  <c r="V27" i="44"/>
  <c r="U27" i="44"/>
  <c r="H27" i="44"/>
  <c r="G27" i="44"/>
  <c r="E27" i="44"/>
  <c r="D26" i="44"/>
  <c r="C26" i="44"/>
  <c r="D25" i="44"/>
  <c r="C25" i="44"/>
  <c r="AI24" i="44"/>
  <c r="AH24" i="44"/>
  <c r="AG24" i="44"/>
  <c r="AF24" i="44"/>
  <c r="AA24" i="44"/>
  <c r="D23" i="44"/>
  <c r="C23" i="44"/>
  <c r="D22" i="44"/>
  <c r="C22" i="44"/>
  <c r="D21" i="44"/>
  <c r="C21" i="44"/>
  <c r="AH18" i="44"/>
  <c r="AI18" i="44" s="1"/>
  <c r="AJ18" i="44" s="1"/>
  <c r="AK18" i="44" s="1"/>
  <c r="AL18" i="44" s="1"/>
  <c r="AM18" i="44" s="1"/>
  <c r="AN18" i="44" s="1"/>
  <c r="AO18" i="44" s="1"/>
  <c r="AP18" i="44" s="1"/>
  <c r="AQ18" i="44" s="1"/>
  <c r="AR18" i="44" s="1"/>
  <c r="AS18" i="44" s="1"/>
  <c r="V18" i="44"/>
  <c r="W18" i="44" s="1"/>
  <c r="X18" i="44" s="1"/>
  <c r="Y18" i="44" s="1"/>
  <c r="Z18" i="44" s="1"/>
  <c r="AA18" i="44" s="1"/>
  <c r="AB18" i="44" s="1"/>
  <c r="AC18" i="44" s="1"/>
  <c r="AD18" i="44" s="1"/>
  <c r="AE18" i="44" s="1"/>
  <c r="AF18" i="44" s="1"/>
  <c r="F18" i="44"/>
  <c r="G18" i="44" s="1"/>
  <c r="H18" i="44" s="1"/>
  <c r="AE13" i="44"/>
  <c r="AF5" i="44" s="1"/>
  <c r="AD13" i="44"/>
  <c r="AC13" i="44"/>
  <c r="AB13" i="44"/>
  <c r="AA13" i="44"/>
  <c r="Z13" i="44"/>
  <c r="Y13" i="44"/>
  <c r="X13" i="44"/>
  <c r="W13" i="44"/>
  <c r="V13" i="44"/>
  <c r="U13" i="44"/>
  <c r="S13" i="44"/>
  <c r="T5" i="44" s="1"/>
  <c r="T13" i="44" s="1"/>
  <c r="C12" i="44"/>
  <c r="C11" i="44"/>
  <c r="BI10" i="44"/>
  <c r="AY10" i="44"/>
  <c r="AW10" i="44"/>
  <c r="AV10" i="44"/>
  <c r="AU10" i="44"/>
  <c r="AT10" i="44"/>
  <c r="C10" i="44"/>
  <c r="BI9" i="44"/>
  <c r="C9" i="44"/>
  <c r="E8" i="44"/>
  <c r="E13" i="44" s="1"/>
  <c r="F5" i="44" s="1"/>
  <c r="BI5" i="44"/>
  <c r="AH3" i="44"/>
  <c r="AI3" i="44" s="1"/>
  <c r="AJ3" i="44" s="1"/>
  <c r="AK3" i="44" s="1"/>
  <c r="AL3" i="44" s="1"/>
  <c r="AM3" i="44" s="1"/>
  <c r="AN3" i="44" s="1"/>
  <c r="AO3" i="44" s="1"/>
  <c r="AP3" i="44" s="1"/>
  <c r="AQ3" i="44" s="1"/>
  <c r="AR3" i="44" s="1"/>
  <c r="V3" i="44"/>
  <c r="W3" i="44" s="1"/>
  <c r="F3" i="44"/>
  <c r="G3" i="44" s="1"/>
  <c r="H3" i="44" s="1"/>
  <c r="AE82" i="43"/>
  <c r="AF79" i="43" s="1"/>
  <c r="AF82" i="43" s="1"/>
  <c r="AG79" i="43" s="1"/>
  <c r="AD82" i="43"/>
  <c r="AC82" i="43"/>
  <c r="AB82" i="43"/>
  <c r="AA82" i="43"/>
  <c r="Z82" i="43"/>
  <c r="Y82" i="43"/>
  <c r="X82" i="43"/>
  <c r="W82" i="43"/>
  <c r="V82" i="43"/>
  <c r="C81" i="43"/>
  <c r="AR80" i="43"/>
  <c r="AQ80" i="43"/>
  <c r="AP80" i="43"/>
  <c r="AO80" i="43"/>
  <c r="AN80" i="43"/>
  <c r="AM80" i="43"/>
  <c r="AL80" i="43"/>
  <c r="F80" i="43"/>
  <c r="E80" i="43"/>
  <c r="E82" i="43" s="1"/>
  <c r="F79" i="43" s="1"/>
  <c r="AH78" i="43"/>
  <c r="AI78" i="43" s="1"/>
  <c r="AJ78" i="43" s="1"/>
  <c r="AK78" i="43" s="1"/>
  <c r="AL78" i="43" s="1"/>
  <c r="AM78" i="43" s="1"/>
  <c r="AN78" i="43" s="1"/>
  <c r="AO78" i="43" s="1"/>
  <c r="AP78" i="43" s="1"/>
  <c r="AQ78" i="43" s="1"/>
  <c r="AR78" i="43" s="1"/>
  <c r="V78" i="43"/>
  <c r="W78" i="43" s="1"/>
  <c r="X78" i="43" s="1"/>
  <c r="Y78" i="43" s="1"/>
  <c r="Z78" i="43" s="1"/>
  <c r="AA78" i="43" s="1"/>
  <c r="AB78" i="43" s="1"/>
  <c r="AC78" i="43" s="1"/>
  <c r="AD78" i="43" s="1"/>
  <c r="AE78" i="43" s="1"/>
  <c r="AF78" i="43" s="1"/>
  <c r="F78" i="43"/>
  <c r="G78" i="43" s="1"/>
  <c r="H78" i="43" s="1"/>
  <c r="AT75" i="43"/>
  <c r="AH67" i="43"/>
  <c r="AI67" i="43" s="1"/>
  <c r="AJ67" i="43" s="1"/>
  <c r="AK67" i="43" s="1"/>
  <c r="AL67" i="43" s="1"/>
  <c r="AM67" i="43" s="1"/>
  <c r="AN67" i="43" s="1"/>
  <c r="AO67" i="43" s="1"/>
  <c r="AP67" i="43" s="1"/>
  <c r="AQ67" i="43" s="1"/>
  <c r="AR67" i="43" s="1"/>
  <c r="V67" i="43"/>
  <c r="W67" i="43" s="1"/>
  <c r="X67" i="43" s="1"/>
  <c r="Y67" i="43" s="1"/>
  <c r="Z67" i="43" s="1"/>
  <c r="AA67" i="43" s="1"/>
  <c r="AB67" i="43" s="1"/>
  <c r="AC67" i="43" s="1"/>
  <c r="AD67" i="43" s="1"/>
  <c r="AE67" i="43" s="1"/>
  <c r="AF67" i="43" s="1"/>
  <c r="F67" i="43"/>
  <c r="G67" i="43" s="1"/>
  <c r="H67" i="43" s="1"/>
  <c r="D65" i="43"/>
  <c r="C65" i="43"/>
  <c r="AR64" i="43"/>
  <c r="AQ64" i="43"/>
  <c r="AP64" i="43"/>
  <c r="AO64" i="43"/>
  <c r="AN64" i="43"/>
  <c r="AM64" i="43"/>
  <c r="AL64" i="43"/>
  <c r="AE64" i="43"/>
  <c r="AD64" i="43"/>
  <c r="AC64" i="43"/>
  <c r="AB64" i="43"/>
  <c r="AA64" i="43"/>
  <c r="Z64" i="43"/>
  <c r="Y64" i="43"/>
  <c r="X64" i="43"/>
  <c r="W64" i="43"/>
  <c r="V64" i="43"/>
  <c r="H64" i="43"/>
  <c r="G64" i="43"/>
  <c r="F64" i="43"/>
  <c r="E64" i="43"/>
  <c r="AK63" i="43"/>
  <c r="AJ63" i="43"/>
  <c r="AI63" i="43"/>
  <c r="AH63" i="43"/>
  <c r="AG63" i="43"/>
  <c r="AF63" i="43"/>
  <c r="AK62" i="43"/>
  <c r="AJ62" i="43"/>
  <c r="AI62" i="43"/>
  <c r="AH62" i="43"/>
  <c r="AG62" i="43"/>
  <c r="AF62" i="43"/>
  <c r="AK61" i="43"/>
  <c r="AJ61" i="43"/>
  <c r="AI61" i="43"/>
  <c r="AH61" i="43"/>
  <c r="AG61" i="43"/>
  <c r="AF61" i="43"/>
  <c r="AK60" i="43"/>
  <c r="AJ60" i="43"/>
  <c r="AI60" i="43"/>
  <c r="AH60" i="43"/>
  <c r="AG60" i="43"/>
  <c r="AF60" i="43"/>
  <c r="AK59" i="43"/>
  <c r="AJ59" i="43"/>
  <c r="AI59" i="43"/>
  <c r="AH59" i="43"/>
  <c r="AG59" i="43"/>
  <c r="AF59" i="43"/>
  <c r="AK58" i="43"/>
  <c r="AJ58" i="43"/>
  <c r="AI58" i="43"/>
  <c r="AH58" i="43"/>
  <c r="AG58" i="43"/>
  <c r="AF58" i="43"/>
  <c r="AK57" i="43"/>
  <c r="AJ57" i="43"/>
  <c r="AI57" i="43"/>
  <c r="AH57" i="43"/>
  <c r="AG57" i="43"/>
  <c r="AF57" i="43"/>
  <c r="AK56" i="43"/>
  <c r="AJ56" i="43"/>
  <c r="AI56" i="43"/>
  <c r="AH56" i="43"/>
  <c r="AG56" i="43"/>
  <c r="AF56" i="43"/>
  <c r="AK55" i="43"/>
  <c r="AJ55" i="43"/>
  <c r="AI55" i="43"/>
  <c r="AH55" i="43"/>
  <c r="AG55" i="43"/>
  <c r="AF55" i="43"/>
  <c r="AH54" i="43"/>
  <c r="AI54" i="43" s="1"/>
  <c r="AJ54" i="43" s="1"/>
  <c r="AK54" i="43" s="1"/>
  <c r="AL54" i="43" s="1"/>
  <c r="AM54" i="43" s="1"/>
  <c r="AN54" i="43" s="1"/>
  <c r="AO54" i="43" s="1"/>
  <c r="AP54" i="43" s="1"/>
  <c r="AQ54" i="43" s="1"/>
  <c r="AR54" i="43" s="1"/>
  <c r="V54" i="43"/>
  <c r="W54" i="43" s="1"/>
  <c r="X54" i="43" s="1"/>
  <c r="Y54" i="43" s="1"/>
  <c r="Z54" i="43" s="1"/>
  <c r="AA54" i="43" s="1"/>
  <c r="AB54" i="43" s="1"/>
  <c r="AC54" i="43" s="1"/>
  <c r="AD54" i="43" s="1"/>
  <c r="AE54" i="43" s="1"/>
  <c r="AF54" i="43" s="1"/>
  <c r="F54" i="43"/>
  <c r="G54" i="43" s="1"/>
  <c r="H54" i="43" s="1"/>
  <c r="AE49" i="43"/>
  <c r="AF44" i="43" s="1"/>
  <c r="AD49" i="43"/>
  <c r="AC49" i="43"/>
  <c r="AB49" i="43"/>
  <c r="AA49" i="43"/>
  <c r="Z49" i="43"/>
  <c r="Y49" i="43"/>
  <c r="X49" i="43"/>
  <c r="W49" i="43"/>
  <c r="V49" i="43"/>
  <c r="C48" i="43"/>
  <c r="C47" i="43"/>
  <c r="AY46" i="43"/>
  <c r="AX46" i="43"/>
  <c r="AW46" i="43"/>
  <c r="AV46" i="43"/>
  <c r="AU46" i="43"/>
  <c r="AT46" i="43"/>
  <c r="AW45" i="43"/>
  <c r="AV45" i="43"/>
  <c r="AU45" i="43"/>
  <c r="AR45" i="43"/>
  <c r="AQ45" i="43"/>
  <c r="AP45" i="43"/>
  <c r="AO45" i="43"/>
  <c r="AN45" i="43"/>
  <c r="AM45" i="43"/>
  <c r="AL45" i="43"/>
  <c r="F45" i="43"/>
  <c r="E45" i="43"/>
  <c r="E46" i="43" s="1"/>
  <c r="E49" i="43" s="1"/>
  <c r="AH42" i="43"/>
  <c r="AI42" i="43" s="1"/>
  <c r="AJ42" i="43" s="1"/>
  <c r="AK42" i="43" s="1"/>
  <c r="AL42" i="43" s="1"/>
  <c r="AM42" i="43" s="1"/>
  <c r="AN42" i="43" s="1"/>
  <c r="AO42" i="43" s="1"/>
  <c r="AP42" i="43" s="1"/>
  <c r="AQ42" i="43" s="1"/>
  <c r="AR42" i="43" s="1"/>
  <c r="V42" i="43"/>
  <c r="W42" i="43" s="1"/>
  <c r="X42" i="43" s="1"/>
  <c r="Y42" i="43" s="1"/>
  <c r="Z42" i="43" s="1"/>
  <c r="AA42" i="43" s="1"/>
  <c r="AB42" i="43" s="1"/>
  <c r="AC42" i="43" s="1"/>
  <c r="AD42" i="43" s="1"/>
  <c r="AE42" i="43" s="1"/>
  <c r="AF42" i="43" s="1"/>
  <c r="F42" i="43"/>
  <c r="G42" i="43" s="1"/>
  <c r="H42" i="43" s="1"/>
  <c r="AT40" i="43"/>
  <c r="AH31" i="43"/>
  <c r="AI31" i="43" s="1"/>
  <c r="AJ31" i="43" s="1"/>
  <c r="AK31" i="43" s="1"/>
  <c r="AL31" i="43" s="1"/>
  <c r="AM31" i="43" s="1"/>
  <c r="AN31" i="43" s="1"/>
  <c r="AO31" i="43" s="1"/>
  <c r="AP31" i="43" s="1"/>
  <c r="AQ31" i="43" s="1"/>
  <c r="AR31" i="43" s="1"/>
  <c r="V31" i="43"/>
  <c r="W31" i="43" s="1"/>
  <c r="X31" i="43" s="1"/>
  <c r="Y31" i="43" s="1"/>
  <c r="Z31" i="43" s="1"/>
  <c r="AA31" i="43" s="1"/>
  <c r="AB31" i="43" s="1"/>
  <c r="AC31" i="43" s="1"/>
  <c r="AD31" i="43" s="1"/>
  <c r="AE31" i="43" s="1"/>
  <c r="AF31" i="43" s="1"/>
  <c r="F31" i="43"/>
  <c r="G31" i="43" s="1"/>
  <c r="H31" i="43" s="1"/>
  <c r="D29" i="43"/>
  <c r="C29" i="43"/>
  <c r="AR28" i="43"/>
  <c r="AQ28" i="43"/>
  <c r="AP28" i="43"/>
  <c r="AO28" i="43"/>
  <c r="AN28" i="43"/>
  <c r="AM28" i="43"/>
  <c r="AL28" i="43"/>
  <c r="AE28" i="43"/>
  <c r="AD28" i="43"/>
  <c r="AC28" i="43"/>
  <c r="AB28" i="43"/>
  <c r="AA28" i="43"/>
  <c r="Z28" i="43"/>
  <c r="Y28" i="43"/>
  <c r="X28" i="43"/>
  <c r="W28" i="43"/>
  <c r="V28" i="43"/>
  <c r="H28" i="43"/>
  <c r="G28" i="43"/>
  <c r="F28" i="43"/>
  <c r="E28" i="43"/>
  <c r="AK27" i="43"/>
  <c r="AJ27" i="43"/>
  <c r="AI27" i="43"/>
  <c r="AH27" i="43"/>
  <c r="AG27" i="43"/>
  <c r="AF27" i="43"/>
  <c r="D26" i="43"/>
  <c r="C26" i="43"/>
  <c r="AK25" i="43"/>
  <c r="AJ25" i="43"/>
  <c r="AI25" i="43"/>
  <c r="AH25" i="43"/>
  <c r="AG25" i="43"/>
  <c r="AF25" i="43"/>
  <c r="D24" i="43"/>
  <c r="C24" i="43"/>
  <c r="AK23" i="43"/>
  <c r="AJ23" i="43"/>
  <c r="AI23" i="43"/>
  <c r="AH23" i="43"/>
  <c r="AG23" i="43"/>
  <c r="AF23" i="43"/>
  <c r="AK21" i="43"/>
  <c r="AJ21" i="43"/>
  <c r="AI21" i="43"/>
  <c r="AH21" i="43"/>
  <c r="AG21" i="43"/>
  <c r="AF21" i="43"/>
  <c r="AK20" i="43"/>
  <c r="AJ20" i="43"/>
  <c r="AI20" i="43"/>
  <c r="AH20" i="43"/>
  <c r="AG20" i="43"/>
  <c r="AF20" i="43"/>
  <c r="AK19" i="43"/>
  <c r="AJ19" i="43"/>
  <c r="AI19" i="43"/>
  <c r="AH19" i="43"/>
  <c r="AG19" i="43"/>
  <c r="AF19" i="43"/>
  <c r="AH18" i="43"/>
  <c r="AI18" i="43" s="1"/>
  <c r="AJ18" i="43" s="1"/>
  <c r="AK18" i="43" s="1"/>
  <c r="AL18" i="43" s="1"/>
  <c r="AM18" i="43" s="1"/>
  <c r="AN18" i="43" s="1"/>
  <c r="AO18" i="43" s="1"/>
  <c r="AP18" i="43" s="1"/>
  <c r="AQ18" i="43" s="1"/>
  <c r="AR18" i="43" s="1"/>
  <c r="V18" i="43"/>
  <c r="W18" i="43" s="1"/>
  <c r="X18" i="43" s="1"/>
  <c r="Y18" i="43" s="1"/>
  <c r="Z18" i="43" s="1"/>
  <c r="AA18" i="43" s="1"/>
  <c r="AB18" i="43" s="1"/>
  <c r="AC18" i="43" s="1"/>
  <c r="AD18" i="43" s="1"/>
  <c r="AE18" i="43" s="1"/>
  <c r="AF18" i="43" s="1"/>
  <c r="F18" i="43"/>
  <c r="G18" i="43" s="1"/>
  <c r="H18" i="43" s="1"/>
  <c r="AE13" i="43"/>
  <c r="AF5" i="43" s="1"/>
  <c r="AD13" i="43"/>
  <c r="AC13" i="43"/>
  <c r="AB13" i="43"/>
  <c r="AA13" i="43"/>
  <c r="Z13" i="43"/>
  <c r="Y13" i="43"/>
  <c r="X13" i="43"/>
  <c r="W13" i="43"/>
  <c r="V13" i="43"/>
  <c r="AF12" i="43"/>
  <c r="C12" i="43"/>
  <c r="C11" i="43"/>
  <c r="BM10" i="43"/>
  <c r="AY10" i="43"/>
  <c r="BN10" i="43" s="1"/>
  <c r="AW10" i="43"/>
  <c r="AV10" i="43"/>
  <c r="AU10" i="43"/>
  <c r="AT10" i="43"/>
  <c r="C10" i="43"/>
  <c r="BN9" i="43"/>
  <c r="BM9" i="43"/>
  <c r="C9" i="43"/>
  <c r="E8" i="43"/>
  <c r="E13" i="43" s="1"/>
  <c r="BN6" i="43"/>
  <c r="BM5" i="43"/>
  <c r="AH3" i="43"/>
  <c r="AI3" i="43" s="1"/>
  <c r="AJ3" i="43" s="1"/>
  <c r="AK3" i="43" s="1"/>
  <c r="AL3" i="43" s="1"/>
  <c r="AM3" i="43" s="1"/>
  <c r="AN3" i="43" s="1"/>
  <c r="AO3" i="43" s="1"/>
  <c r="AP3" i="43" s="1"/>
  <c r="AQ3" i="43" s="1"/>
  <c r="AR3" i="43" s="1"/>
  <c r="V3" i="43"/>
  <c r="W3" i="43" s="1"/>
  <c r="F3" i="43"/>
  <c r="G3" i="43" s="1"/>
  <c r="H3" i="43" s="1"/>
  <c r="AB48" i="44"/>
  <c r="W80" i="44"/>
  <c r="H14" i="44"/>
  <c r="AD48" i="44"/>
  <c r="AL80" i="44"/>
  <c r="E14" i="44"/>
  <c r="G14" i="44"/>
  <c r="G48" i="44"/>
  <c r="AQ48" i="44"/>
  <c r="AR14" i="44"/>
  <c r="AB80" i="44"/>
  <c r="H48" i="44"/>
  <c r="AJ14" i="44"/>
  <c r="Y48" i="44"/>
  <c r="V48" i="44"/>
  <c r="X48" i="44"/>
  <c r="AF48" i="44"/>
  <c r="AN48" i="44"/>
  <c r="AD80" i="44"/>
  <c r="U14" i="44"/>
  <c r="AA48" i="44"/>
  <c r="AH14" i="44"/>
  <c r="AM80" i="44"/>
  <c r="T14" i="44"/>
  <c r="AA80" i="44"/>
  <c r="AI14" i="44"/>
  <c r="AH80" i="44"/>
  <c r="AQ80" i="44"/>
  <c r="AL14" i="44"/>
  <c r="AL48" i="44"/>
  <c r="AH48" i="44"/>
  <c r="X80" i="44"/>
  <c r="Z80" i="44"/>
  <c r="U48" i="44"/>
  <c r="E48" i="44"/>
  <c r="V80" i="44"/>
  <c r="AO48" i="44"/>
  <c r="AG48" i="44"/>
  <c r="S14" i="44"/>
  <c r="AO80" i="44"/>
  <c r="AP14" i="44"/>
  <c r="Z48" i="44"/>
  <c r="AM48" i="44"/>
  <c r="AI48" i="44"/>
  <c r="F48" i="44"/>
  <c r="AK14" i="44"/>
  <c r="AE80" i="44"/>
  <c r="AJ48" i="44"/>
  <c r="AI80" i="44"/>
  <c r="AE48" i="44"/>
  <c r="AR80" i="44"/>
  <c r="AR48" i="44"/>
  <c r="AK80" i="44"/>
  <c r="AP80" i="44"/>
  <c r="Y80" i="44"/>
  <c r="AC80" i="44"/>
  <c r="AC48" i="44"/>
  <c r="F14" i="44"/>
  <c r="AN14" i="44"/>
  <c r="S48" i="44"/>
  <c r="W14" i="44"/>
  <c r="V14" i="44"/>
  <c r="AM14" i="44"/>
  <c r="W48" i="44"/>
  <c r="AP48" i="44"/>
  <c r="AG80" i="44"/>
  <c r="T48" i="44"/>
  <c r="AQ14" i="44"/>
  <c r="AO14" i="44"/>
  <c r="AF80" i="44"/>
  <c r="AJ80" i="44"/>
  <c r="AG14" i="44"/>
  <c r="AN80" i="44"/>
  <c r="AK48" i="44"/>
  <c r="AP50" i="43"/>
  <c r="AN83" i="43"/>
  <c r="H14" i="43"/>
  <c r="AI83" i="43"/>
  <c r="H50" i="43"/>
  <c r="AI14" i="43"/>
  <c r="AP14" i="43"/>
  <c r="AN50" i="43"/>
  <c r="AM14" i="43"/>
  <c r="AO50" i="43"/>
  <c r="W14" i="43"/>
  <c r="AJ14" i="43"/>
  <c r="E83" i="43"/>
  <c r="AE50" i="43"/>
  <c r="AH83" i="43"/>
  <c r="G83" i="43"/>
  <c r="AO83" i="43"/>
  <c r="AC50" i="43"/>
  <c r="AP83" i="43"/>
  <c r="W83" i="43"/>
  <c r="AB50" i="43"/>
  <c r="V14" i="43"/>
  <c r="AN14" i="43"/>
  <c r="AK83" i="43"/>
  <c r="X83" i="43"/>
  <c r="AM50" i="43"/>
  <c r="E50" i="43"/>
  <c r="AM83" i="43"/>
  <c r="G14" i="43"/>
  <c r="AD83" i="43"/>
  <c r="AQ14" i="43"/>
  <c r="F50" i="43"/>
  <c r="E14" i="43"/>
  <c r="AI50" i="43"/>
  <c r="AL83" i="43"/>
  <c r="Y50" i="43"/>
  <c r="AG14" i="43"/>
  <c r="AR50" i="43"/>
  <c r="X50" i="43"/>
  <c r="AJ83" i="43"/>
  <c r="AB83" i="43"/>
  <c r="AG50" i="43"/>
  <c r="F14" i="43"/>
  <c r="AC83" i="43"/>
  <c r="AO14" i="43"/>
  <c r="W50" i="43"/>
  <c r="AH50" i="43"/>
  <c r="AQ50" i="43"/>
  <c r="AF50" i="43"/>
  <c r="AH14" i="43"/>
  <c r="AL50" i="43"/>
  <c r="AG83" i="43"/>
  <c r="AJ50" i="43"/>
  <c r="Z50" i="43"/>
  <c r="AK14" i="43"/>
  <c r="H83" i="43"/>
  <c r="AD50" i="43"/>
  <c r="Y83" i="43"/>
  <c r="V50" i="43"/>
  <c r="F83" i="43"/>
  <c r="AQ83" i="43"/>
  <c r="AL14" i="43"/>
  <c r="AR14" i="43"/>
  <c r="AK50" i="43"/>
  <c r="AR83" i="43"/>
  <c r="AE83" i="43"/>
  <c r="Z83" i="43"/>
  <c r="AA50" i="43"/>
  <c r="AF83" i="43"/>
  <c r="V83" i="43"/>
  <c r="AA83" i="43"/>
  <c r="G50" i="43"/>
  <c r="AA14" i="45"/>
  <c r="G8" i="46" l="1"/>
  <c r="AI44" i="46"/>
  <c r="AH51" i="46"/>
  <c r="H44" i="46"/>
  <c r="G51" i="46"/>
  <c r="AJ84" i="46"/>
  <c r="AK79" i="46"/>
  <c r="AK82" i="46" s="1"/>
  <c r="AA15" i="45"/>
  <c r="D77" i="45"/>
  <c r="AB3" i="45"/>
  <c r="H8" i="45"/>
  <c r="AE47" i="45"/>
  <c r="AD79" i="45"/>
  <c r="D60" i="44"/>
  <c r="AK45" i="43"/>
  <c r="D27" i="44"/>
  <c r="AC44" i="44"/>
  <c r="AC47" i="44" s="1"/>
  <c r="BO9" i="43"/>
  <c r="AK80" i="43"/>
  <c r="AY76" i="43" s="1"/>
  <c r="C27" i="43"/>
  <c r="D28" i="43"/>
  <c r="BO10" i="43"/>
  <c r="AG45" i="43"/>
  <c r="C61" i="43"/>
  <c r="C60" i="43"/>
  <c r="C62" i="43"/>
  <c r="AI80" i="43"/>
  <c r="F8" i="44"/>
  <c r="F13" i="44" s="1"/>
  <c r="C24" i="44"/>
  <c r="D24" i="44"/>
  <c r="D19" i="43"/>
  <c r="AJ80" i="43"/>
  <c r="AH45" i="43"/>
  <c r="F82" i="43"/>
  <c r="G79" i="43" s="1"/>
  <c r="G82" i="43" s="1"/>
  <c r="G84" i="43" s="1"/>
  <c r="AG28" i="43"/>
  <c r="C25" i="43"/>
  <c r="AH80" i="43"/>
  <c r="AF28" i="43"/>
  <c r="D63" i="43"/>
  <c r="D21" i="43"/>
  <c r="C21" i="43"/>
  <c r="AK28" i="43"/>
  <c r="AJ28" i="43"/>
  <c r="C56" i="43"/>
  <c r="C58" i="43"/>
  <c r="D23" i="43"/>
  <c r="D57" i="43"/>
  <c r="C20" i="43"/>
  <c r="D25" i="43"/>
  <c r="C23" i="43"/>
  <c r="AI64" i="43"/>
  <c r="AB49" i="44"/>
  <c r="U49" i="44"/>
  <c r="Z81" i="44"/>
  <c r="T15" i="44"/>
  <c r="E15" i="44"/>
  <c r="W15" i="44"/>
  <c r="S15" i="44"/>
  <c r="AC77" i="44"/>
  <c r="AC79" i="44" s="1"/>
  <c r="AB81" i="44"/>
  <c r="U15" i="44"/>
  <c r="C76" i="44"/>
  <c r="Y81" i="44"/>
  <c r="V15" i="44"/>
  <c r="S49" i="44"/>
  <c r="AX78" i="44"/>
  <c r="X3" i="44"/>
  <c r="T47" i="44"/>
  <c r="T49" i="44" s="1"/>
  <c r="AA49" i="44"/>
  <c r="V81" i="44"/>
  <c r="V47" i="44"/>
  <c r="X79" i="44"/>
  <c r="X81" i="44" s="1"/>
  <c r="Z49" i="44"/>
  <c r="W81" i="44"/>
  <c r="AA81" i="44"/>
  <c r="AY78" i="44"/>
  <c r="AB51" i="43"/>
  <c r="E84" i="43"/>
  <c r="AC84" i="43"/>
  <c r="Y51" i="43"/>
  <c r="Z84" i="43"/>
  <c r="AC51" i="43"/>
  <c r="AD84" i="43"/>
  <c r="V84" i="43"/>
  <c r="V51" i="43"/>
  <c r="AD51" i="43"/>
  <c r="W84" i="43"/>
  <c r="AE84" i="43"/>
  <c r="W15" i="43"/>
  <c r="E51" i="43"/>
  <c r="F44" i="43"/>
  <c r="Z51" i="43"/>
  <c r="AY77" i="43"/>
  <c r="AA84" i="43"/>
  <c r="AI45" i="43"/>
  <c r="AI28" i="43"/>
  <c r="D20" i="43"/>
  <c r="D27" i="43"/>
  <c r="AY41" i="43"/>
  <c r="AX44" i="43"/>
  <c r="X51" i="43"/>
  <c r="D59" i="43"/>
  <c r="Y84" i="43"/>
  <c r="E15" i="43"/>
  <c r="AH28" i="43"/>
  <c r="D55" i="43"/>
  <c r="AF64" i="43"/>
  <c r="V15" i="43"/>
  <c r="AJ45" i="43"/>
  <c r="C57" i="43"/>
  <c r="C59" i="43"/>
  <c r="D61" i="43"/>
  <c r="AJ64" i="43"/>
  <c r="X3" i="43"/>
  <c r="F5" i="43"/>
  <c r="C19" i="43"/>
  <c r="AF46" i="43"/>
  <c r="AF49" i="43" s="1"/>
  <c r="W51" i="43"/>
  <c r="AA51" i="43"/>
  <c r="AE51" i="43"/>
  <c r="C55" i="43"/>
  <c r="C63" i="43"/>
  <c r="AH64" i="43"/>
  <c r="AX77" i="43"/>
  <c r="X84" i="43"/>
  <c r="AB84" i="43"/>
  <c r="AF84" i="43"/>
  <c r="AY44" i="43"/>
  <c r="D56" i="43"/>
  <c r="D60" i="43"/>
  <c r="D64" i="43"/>
  <c r="AG64" i="43"/>
  <c r="AK64" i="43"/>
  <c r="D58" i="43"/>
  <c r="D62" i="43"/>
  <c r="AG80" i="43"/>
  <c r="AG82" i="43" s="1"/>
  <c r="X14" i="44"/>
  <c r="X14" i="43"/>
  <c r="AB14" i="45"/>
  <c r="AI46" i="46" l="1"/>
  <c r="AK84" i="46"/>
  <c r="AL79" i="46"/>
  <c r="AL82" i="46" s="1"/>
  <c r="H46" i="46"/>
  <c r="H49" i="46" s="1"/>
  <c r="H51" i="46" s="1"/>
  <c r="G13" i="46"/>
  <c r="AB15" i="45"/>
  <c r="AE49" i="45"/>
  <c r="AF42" i="45"/>
  <c r="H13" i="45"/>
  <c r="H15" i="45" s="1"/>
  <c r="AE75" i="45"/>
  <c r="AD81" i="45"/>
  <c r="AC3" i="45"/>
  <c r="H79" i="43"/>
  <c r="H82" i="43" s="1"/>
  <c r="H84" i="43" s="1"/>
  <c r="AX76" i="43"/>
  <c r="AY80" i="43" s="1"/>
  <c r="F15" i="44"/>
  <c r="G5" i="44"/>
  <c r="G8" i="44" s="1"/>
  <c r="G13" i="44" s="1"/>
  <c r="F84" i="43"/>
  <c r="C28" i="43"/>
  <c r="D45" i="43"/>
  <c r="X15" i="44"/>
  <c r="AD42" i="44"/>
  <c r="AC49" i="44"/>
  <c r="Y3" i="44"/>
  <c r="AC81" i="44"/>
  <c r="AD75" i="44"/>
  <c r="V49" i="44"/>
  <c r="W42" i="44"/>
  <c r="W47" i="44" s="1"/>
  <c r="X15" i="43"/>
  <c r="AF51" i="43"/>
  <c r="AG44" i="43"/>
  <c r="AG84" i="43"/>
  <c r="AH79" i="43"/>
  <c r="AH82" i="43" s="1"/>
  <c r="C45" i="43"/>
  <c r="F46" i="43"/>
  <c r="F49" i="43" s="1"/>
  <c r="Y3" i="43"/>
  <c r="C80" i="43"/>
  <c r="C82" i="43" s="1"/>
  <c r="D80" i="43"/>
  <c r="C64" i="43"/>
  <c r="F8" i="43"/>
  <c r="F13" i="43" s="1"/>
  <c r="C61" i="23"/>
  <c r="C53" i="23"/>
  <c r="Y14" i="44"/>
  <c r="Y14" i="43"/>
  <c r="AC14" i="45"/>
  <c r="AL84" i="46" l="1"/>
  <c r="AM79" i="46"/>
  <c r="AM82" i="46" s="1"/>
  <c r="G15" i="46"/>
  <c r="H5" i="46"/>
  <c r="AI49" i="46"/>
  <c r="AC15" i="45"/>
  <c r="AE77" i="45"/>
  <c r="AF47" i="45"/>
  <c r="AF44" i="45"/>
  <c r="AD3" i="45"/>
  <c r="Y15" i="44"/>
  <c r="G15" i="44"/>
  <c r="H5" i="44"/>
  <c r="Z3" i="44"/>
  <c r="X42" i="44"/>
  <c r="X47" i="44" s="1"/>
  <c r="W49" i="44"/>
  <c r="AD77" i="44"/>
  <c r="AD79" i="44" s="1"/>
  <c r="AD44" i="44"/>
  <c r="AD47" i="44" s="1"/>
  <c r="Y15" i="43"/>
  <c r="F15" i="43"/>
  <c r="G5" i="43"/>
  <c r="F51" i="43"/>
  <c r="G44" i="43"/>
  <c r="AG46" i="43"/>
  <c r="Z3" i="43"/>
  <c r="AH84" i="43"/>
  <c r="AI79" i="43"/>
  <c r="AI82" i="43" s="1"/>
  <c r="AK58" i="17"/>
  <c r="AK63" i="16"/>
  <c r="AK62" i="16"/>
  <c r="AK61" i="16"/>
  <c r="AK60" i="16"/>
  <c r="AK59" i="16"/>
  <c r="AK58" i="16"/>
  <c r="AK57" i="16"/>
  <c r="AK56" i="16"/>
  <c r="AK55" i="16"/>
  <c r="AK27" i="16"/>
  <c r="AK25" i="16"/>
  <c r="AK23" i="16"/>
  <c r="AK21" i="16"/>
  <c r="AK20" i="16"/>
  <c r="AK19" i="16"/>
  <c r="C44" i="23"/>
  <c r="C12" i="23"/>
  <c r="C21" i="23"/>
  <c r="C19" i="23"/>
  <c r="C18" i="23"/>
  <c r="C15" i="23"/>
  <c r="C9" i="23"/>
  <c r="C8" i="23"/>
  <c r="C6" i="23"/>
  <c r="C5" i="23"/>
  <c r="C4" i="23"/>
  <c r="AA79" i="39"/>
  <c r="AB75" i="39" s="1"/>
  <c r="Z79" i="39"/>
  <c r="Y79" i="39"/>
  <c r="W79" i="39"/>
  <c r="X75" i="39" s="1"/>
  <c r="X77" i="39" s="1"/>
  <c r="V79" i="39"/>
  <c r="C78" i="39"/>
  <c r="F77" i="39"/>
  <c r="U76" i="39"/>
  <c r="D76" i="39" s="1"/>
  <c r="H76" i="39"/>
  <c r="H77" i="39" s="1"/>
  <c r="E76" i="39"/>
  <c r="E77" i="39" s="1"/>
  <c r="AX75" i="39"/>
  <c r="AT74" i="39"/>
  <c r="AH73" i="39"/>
  <c r="AI73" i="39" s="1"/>
  <c r="AJ73" i="39" s="1"/>
  <c r="AK73" i="39" s="1"/>
  <c r="AL73" i="39" s="1"/>
  <c r="AM73" i="39" s="1"/>
  <c r="AN73" i="39" s="1"/>
  <c r="AO73" i="39" s="1"/>
  <c r="AP73" i="39" s="1"/>
  <c r="AQ73" i="39" s="1"/>
  <c r="AR73" i="39" s="1"/>
  <c r="V73" i="39"/>
  <c r="F73" i="39"/>
  <c r="G73" i="39" s="1"/>
  <c r="H73" i="39" s="1"/>
  <c r="AH63" i="39"/>
  <c r="AI63" i="39" s="1"/>
  <c r="AJ63" i="39" s="1"/>
  <c r="AK63" i="39" s="1"/>
  <c r="AL63" i="39" s="1"/>
  <c r="AM63" i="39" s="1"/>
  <c r="AN63" i="39" s="1"/>
  <c r="AO63" i="39" s="1"/>
  <c r="AP63" i="39" s="1"/>
  <c r="AQ63" i="39" s="1"/>
  <c r="AR63" i="39" s="1"/>
  <c r="V63" i="39"/>
  <c r="W63" i="39" s="1"/>
  <c r="X63" i="39" s="1"/>
  <c r="Y63" i="39" s="1"/>
  <c r="Z63" i="39" s="1"/>
  <c r="AA63" i="39" s="1"/>
  <c r="AB63" i="39" s="1"/>
  <c r="AC63" i="39" s="1"/>
  <c r="AD63" i="39" s="1"/>
  <c r="AE63" i="39" s="1"/>
  <c r="AF63" i="39" s="1"/>
  <c r="F63" i="39"/>
  <c r="G63" i="39" s="1"/>
  <c r="H63" i="39" s="1"/>
  <c r="D61" i="39"/>
  <c r="C61" i="39"/>
  <c r="AE60" i="39"/>
  <c r="AD60" i="39"/>
  <c r="AC60" i="39"/>
  <c r="AB60" i="39"/>
  <c r="AA60" i="39"/>
  <c r="Z60" i="39"/>
  <c r="Y60" i="39"/>
  <c r="X60" i="39"/>
  <c r="W60" i="39"/>
  <c r="V60" i="39"/>
  <c r="U60" i="39"/>
  <c r="H60" i="39"/>
  <c r="G60" i="39"/>
  <c r="F60" i="39"/>
  <c r="D59" i="39"/>
  <c r="C59" i="39"/>
  <c r="AS58" i="39"/>
  <c r="AJ58" i="39"/>
  <c r="AI58" i="39"/>
  <c r="AH58" i="39"/>
  <c r="AG58" i="39"/>
  <c r="AF58" i="39"/>
  <c r="C58" i="39" s="1"/>
  <c r="D58" i="39"/>
  <c r="D57" i="39"/>
  <c r="C57" i="39"/>
  <c r="D56" i="39"/>
  <c r="C56" i="39"/>
  <c r="D55" i="39"/>
  <c r="D54" i="39"/>
  <c r="D53" i="39"/>
  <c r="D52" i="39"/>
  <c r="AH51" i="39"/>
  <c r="AI51" i="39" s="1"/>
  <c r="AJ51" i="39" s="1"/>
  <c r="AK51" i="39" s="1"/>
  <c r="AL51" i="39" s="1"/>
  <c r="AM51" i="39" s="1"/>
  <c r="AN51" i="39" s="1"/>
  <c r="AO51" i="39" s="1"/>
  <c r="AP51" i="39" s="1"/>
  <c r="AQ51" i="39" s="1"/>
  <c r="AR51" i="39" s="1"/>
  <c r="V51" i="39"/>
  <c r="W51" i="39" s="1"/>
  <c r="X51" i="39" s="1"/>
  <c r="Y51" i="39" s="1"/>
  <c r="Z51" i="39" s="1"/>
  <c r="AA51" i="39" s="1"/>
  <c r="AB51" i="39" s="1"/>
  <c r="AC51" i="39" s="1"/>
  <c r="AD51" i="39" s="1"/>
  <c r="AE51" i="39" s="1"/>
  <c r="AF51" i="39" s="1"/>
  <c r="F51" i="39"/>
  <c r="G51" i="39" s="1"/>
  <c r="H51" i="39" s="1"/>
  <c r="AS49" i="39"/>
  <c r="AY47" i="39"/>
  <c r="AW47" i="39"/>
  <c r="AV47" i="39"/>
  <c r="AU47" i="39"/>
  <c r="AT47" i="39"/>
  <c r="AB47" i="39"/>
  <c r="AC42" i="39" s="1"/>
  <c r="AA47" i="39"/>
  <c r="Z47" i="39"/>
  <c r="U47" i="39"/>
  <c r="AW46" i="39"/>
  <c r="AV46" i="39"/>
  <c r="AU46" i="39"/>
  <c r="T46" i="39"/>
  <c r="C46" i="39"/>
  <c r="C45" i="39"/>
  <c r="S44" i="39"/>
  <c r="S47" i="39" s="1"/>
  <c r="AR43" i="39"/>
  <c r="AQ43" i="39"/>
  <c r="AP43" i="39"/>
  <c r="AO43" i="39"/>
  <c r="AN43" i="39"/>
  <c r="AM43" i="39"/>
  <c r="AL43" i="39"/>
  <c r="AK43" i="39"/>
  <c r="AD43" i="39"/>
  <c r="AC43" i="39"/>
  <c r="W43" i="39"/>
  <c r="V43" i="39"/>
  <c r="H43" i="39"/>
  <c r="E43" i="39"/>
  <c r="AT41" i="39"/>
  <c r="AH40" i="39"/>
  <c r="AI40" i="39" s="1"/>
  <c r="AJ40" i="39" s="1"/>
  <c r="AK40" i="39" s="1"/>
  <c r="AL40" i="39" s="1"/>
  <c r="AM40" i="39" s="1"/>
  <c r="AN40" i="39" s="1"/>
  <c r="AO40" i="39" s="1"/>
  <c r="AP40" i="39" s="1"/>
  <c r="AQ40" i="39" s="1"/>
  <c r="AR40" i="39" s="1"/>
  <c r="V40" i="39"/>
  <c r="W40" i="39" s="1"/>
  <c r="X40" i="39" s="1"/>
  <c r="Y40" i="39" s="1"/>
  <c r="Z40" i="39" s="1"/>
  <c r="AA40" i="39" s="1"/>
  <c r="AB40" i="39" s="1"/>
  <c r="AC40" i="39" s="1"/>
  <c r="AD40" i="39" s="1"/>
  <c r="AE40" i="39" s="1"/>
  <c r="AF40" i="39" s="1"/>
  <c r="F40" i="39"/>
  <c r="G40" i="39" s="1"/>
  <c r="H40" i="39" s="1"/>
  <c r="AH30" i="39"/>
  <c r="AI30" i="39" s="1"/>
  <c r="AJ30" i="39" s="1"/>
  <c r="AK30" i="39" s="1"/>
  <c r="AL30" i="39" s="1"/>
  <c r="AM30" i="39" s="1"/>
  <c r="AN30" i="39" s="1"/>
  <c r="AO30" i="39" s="1"/>
  <c r="AP30" i="39" s="1"/>
  <c r="AQ30" i="39" s="1"/>
  <c r="AR30" i="39" s="1"/>
  <c r="V30" i="39"/>
  <c r="W30" i="39" s="1"/>
  <c r="X30" i="39" s="1"/>
  <c r="Y30" i="39" s="1"/>
  <c r="Z30" i="39" s="1"/>
  <c r="AA30" i="39" s="1"/>
  <c r="AB30" i="39" s="1"/>
  <c r="AC30" i="39" s="1"/>
  <c r="AD30" i="39" s="1"/>
  <c r="AE30" i="39" s="1"/>
  <c r="AF30" i="39" s="1"/>
  <c r="F30" i="39"/>
  <c r="G30" i="39" s="1"/>
  <c r="H30" i="39" s="1"/>
  <c r="D28" i="39"/>
  <c r="C28" i="39"/>
  <c r="AR27" i="39"/>
  <c r="AQ27" i="39"/>
  <c r="AP27" i="39"/>
  <c r="AO27" i="39"/>
  <c r="AN27" i="39"/>
  <c r="AM27" i="39"/>
  <c r="AL27" i="39"/>
  <c r="AK27" i="39"/>
  <c r="AE27" i="39"/>
  <c r="AD27" i="39"/>
  <c r="AC27" i="39"/>
  <c r="AB27" i="39"/>
  <c r="Z27" i="39"/>
  <c r="Y27" i="39"/>
  <c r="X27" i="39"/>
  <c r="W27" i="39"/>
  <c r="V27" i="39"/>
  <c r="U27" i="39"/>
  <c r="H27" i="39"/>
  <c r="G27" i="39"/>
  <c r="E27" i="39"/>
  <c r="D26" i="39"/>
  <c r="C26" i="39"/>
  <c r="D25" i="39"/>
  <c r="C25" i="39"/>
  <c r="AI24" i="39"/>
  <c r="AH24" i="39"/>
  <c r="AG24" i="39"/>
  <c r="AF24" i="39"/>
  <c r="AA24" i="39"/>
  <c r="D23" i="39"/>
  <c r="C23" i="39"/>
  <c r="D22" i="39"/>
  <c r="C22" i="39"/>
  <c r="D21" i="39"/>
  <c r="C21" i="39"/>
  <c r="AH18" i="39"/>
  <c r="AI18" i="39" s="1"/>
  <c r="AJ18" i="39" s="1"/>
  <c r="AK18" i="39" s="1"/>
  <c r="AL18" i="39" s="1"/>
  <c r="AM18" i="39" s="1"/>
  <c r="AN18" i="39" s="1"/>
  <c r="AO18" i="39" s="1"/>
  <c r="AP18" i="39" s="1"/>
  <c r="AQ18" i="39" s="1"/>
  <c r="AR18" i="39" s="1"/>
  <c r="AS18" i="39" s="1"/>
  <c r="V18" i="39"/>
  <c r="W18" i="39" s="1"/>
  <c r="X18" i="39" s="1"/>
  <c r="Y18" i="39" s="1"/>
  <c r="Z18" i="39" s="1"/>
  <c r="AA18" i="39" s="1"/>
  <c r="AB18" i="39" s="1"/>
  <c r="AC18" i="39" s="1"/>
  <c r="AD18" i="39" s="1"/>
  <c r="AE18" i="39" s="1"/>
  <c r="AF18" i="39" s="1"/>
  <c r="F18" i="39"/>
  <c r="G18" i="39" s="1"/>
  <c r="H18" i="39" s="1"/>
  <c r="AE13" i="39"/>
  <c r="AF5" i="39" s="1"/>
  <c r="AD13" i="39"/>
  <c r="AC13" i="39"/>
  <c r="AB13" i="39"/>
  <c r="AA13" i="39"/>
  <c r="Z13" i="39"/>
  <c r="Y13" i="39"/>
  <c r="X13" i="39"/>
  <c r="W13" i="39"/>
  <c r="V13" i="39"/>
  <c r="U13" i="39"/>
  <c r="S13" i="39"/>
  <c r="T5" i="39" s="1"/>
  <c r="T13" i="39" s="1"/>
  <c r="C12" i="39"/>
  <c r="C11" i="39"/>
  <c r="AY10" i="39"/>
  <c r="AW10" i="39"/>
  <c r="AV10" i="39"/>
  <c r="AU10" i="39"/>
  <c r="AT10" i="39"/>
  <c r="C10" i="39"/>
  <c r="C9" i="39"/>
  <c r="E8" i="39"/>
  <c r="AH3" i="39"/>
  <c r="AI3" i="39" s="1"/>
  <c r="AJ3" i="39" s="1"/>
  <c r="AK3" i="39" s="1"/>
  <c r="AL3" i="39" s="1"/>
  <c r="AM3" i="39" s="1"/>
  <c r="AN3" i="39" s="1"/>
  <c r="AO3" i="39" s="1"/>
  <c r="AP3" i="39" s="1"/>
  <c r="AQ3" i="39" s="1"/>
  <c r="AR3" i="39" s="1"/>
  <c r="V3" i="39"/>
  <c r="F3" i="39"/>
  <c r="G3" i="39" s="1"/>
  <c r="H3" i="39" s="1"/>
  <c r="AE82" i="38"/>
  <c r="AF79" i="38" s="1"/>
  <c r="AF82" i="38" s="1"/>
  <c r="AG79" i="38" s="1"/>
  <c r="AD82" i="38"/>
  <c r="AC82" i="38"/>
  <c r="AB82" i="38"/>
  <c r="AA82" i="38"/>
  <c r="Z82" i="38"/>
  <c r="Y82" i="38"/>
  <c r="X82" i="38"/>
  <c r="W82" i="38"/>
  <c r="V82" i="38"/>
  <c r="C81" i="38"/>
  <c r="AR80" i="38"/>
  <c r="AQ80" i="38"/>
  <c r="AP80" i="38"/>
  <c r="AO80" i="38"/>
  <c r="AN80" i="38"/>
  <c r="AM80" i="38"/>
  <c r="AL80" i="38"/>
  <c r="AK80" i="38"/>
  <c r="F80" i="38"/>
  <c r="E80" i="38"/>
  <c r="E82" i="38" s="1"/>
  <c r="AH78" i="38"/>
  <c r="AI78" i="38" s="1"/>
  <c r="AJ78" i="38" s="1"/>
  <c r="AK78" i="38" s="1"/>
  <c r="AL78" i="38" s="1"/>
  <c r="AM78" i="38" s="1"/>
  <c r="AN78" i="38" s="1"/>
  <c r="AO78" i="38" s="1"/>
  <c r="AP78" i="38" s="1"/>
  <c r="AQ78" i="38" s="1"/>
  <c r="AR78" i="38" s="1"/>
  <c r="V78" i="38"/>
  <c r="W78" i="38" s="1"/>
  <c r="F78" i="38"/>
  <c r="G78" i="38" s="1"/>
  <c r="H78" i="38" s="1"/>
  <c r="AT75" i="38"/>
  <c r="AH67" i="38"/>
  <c r="AI67" i="38" s="1"/>
  <c r="AJ67" i="38" s="1"/>
  <c r="AK67" i="38" s="1"/>
  <c r="AL67" i="38" s="1"/>
  <c r="AM67" i="38" s="1"/>
  <c r="AN67" i="38" s="1"/>
  <c r="AO67" i="38" s="1"/>
  <c r="AP67" i="38" s="1"/>
  <c r="AQ67" i="38" s="1"/>
  <c r="AR67" i="38" s="1"/>
  <c r="V67" i="38"/>
  <c r="W67" i="38" s="1"/>
  <c r="X67" i="38" s="1"/>
  <c r="Y67" i="38" s="1"/>
  <c r="Z67" i="38" s="1"/>
  <c r="AA67" i="38" s="1"/>
  <c r="AB67" i="38" s="1"/>
  <c r="AC67" i="38" s="1"/>
  <c r="AD67" i="38" s="1"/>
  <c r="AE67" i="38" s="1"/>
  <c r="AF67" i="38" s="1"/>
  <c r="F67" i="38"/>
  <c r="G67" i="38" s="1"/>
  <c r="H67" i="38" s="1"/>
  <c r="D65" i="38"/>
  <c r="C65" i="38"/>
  <c r="AR64" i="38"/>
  <c r="AQ64" i="38"/>
  <c r="AP64" i="38"/>
  <c r="AO64" i="38"/>
  <c r="AN64" i="38"/>
  <c r="AM64" i="38"/>
  <c r="AL64" i="38"/>
  <c r="AK64" i="38"/>
  <c r="AE64" i="38"/>
  <c r="AD64" i="38"/>
  <c r="AC64" i="38"/>
  <c r="AB64" i="38"/>
  <c r="AA64" i="38"/>
  <c r="Z64" i="38"/>
  <c r="Y64" i="38"/>
  <c r="X64" i="38"/>
  <c r="W64" i="38"/>
  <c r="V64" i="38"/>
  <c r="H64" i="38"/>
  <c r="G64" i="38"/>
  <c r="F64" i="38"/>
  <c r="E64" i="38"/>
  <c r="AJ63" i="38"/>
  <c r="AI63" i="38"/>
  <c r="AH63" i="38"/>
  <c r="AG63" i="38"/>
  <c r="AF63" i="38"/>
  <c r="AJ62" i="38"/>
  <c r="AI62" i="38"/>
  <c r="AH62" i="38"/>
  <c r="AG62" i="38"/>
  <c r="AF62" i="38"/>
  <c r="AJ61" i="38"/>
  <c r="AI61" i="38"/>
  <c r="AH61" i="38"/>
  <c r="AG61" i="38"/>
  <c r="AF61" i="38"/>
  <c r="AJ60" i="38"/>
  <c r="AI60" i="38"/>
  <c r="AH60" i="38"/>
  <c r="AG60" i="38"/>
  <c r="AF60" i="38"/>
  <c r="AJ59" i="38"/>
  <c r="AI59" i="38"/>
  <c r="AH59" i="38"/>
  <c r="AG59" i="38"/>
  <c r="AF59" i="38"/>
  <c r="AJ58" i="38"/>
  <c r="AI58" i="38"/>
  <c r="AH58" i="38"/>
  <c r="AG58" i="38"/>
  <c r="AF58" i="38"/>
  <c r="AJ57" i="38"/>
  <c r="AI57" i="38"/>
  <c r="AH57" i="38"/>
  <c r="AG57" i="38"/>
  <c r="AF57" i="38"/>
  <c r="AJ56" i="38"/>
  <c r="AI56" i="38"/>
  <c r="AH56" i="38"/>
  <c r="AG56" i="38"/>
  <c r="AF56" i="38"/>
  <c r="AJ55" i="38"/>
  <c r="AI55" i="38"/>
  <c r="AH55" i="38"/>
  <c r="AG55" i="38"/>
  <c r="AF55" i="38"/>
  <c r="AH54" i="38"/>
  <c r="AI54" i="38" s="1"/>
  <c r="AJ54" i="38" s="1"/>
  <c r="AK54" i="38" s="1"/>
  <c r="AL54" i="38" s="1"/>
  <c r="AM54" i="38" s="1"/>
  <c r="AN54" i="38" s="1"/>
  <c r="AO54" i="38" s="1"/>
  <c r="AP54" i="38" s="1"/>
  <c r="AQ54" i="38" s="1"/>
  <c r="AR54" i="38" s="1"/>
  <c r="V54" i="38"/>
  <c r="W54" i="38" s="1"/>
  <c r="X54" i="38" s="1"/>
  <c r="Y54" i="38" s="1"/>
  <c r="Z54" i="38" s="1"/>
  <c r="AA54" i="38" s="1"/>
  <c r="AB54" i="38" s="1"/>
  <c r="AC54" i="38" s="1"/>
  <c r="AD54" i="38" s="1"/>
  <c r="AE54" i="38" s="1"/>
  <c r="AF54" i="38" s="1"/>
  <c r="F54" i="38"/>
  <c r="G54" i="38" s="1"/>
  <c r="H54" i="38" s="1"/>
  <c r="AE49" i="38"/>
  <c r="AF44" i="38" s="1"/>
  <c r="AD49" i="38"/>
  <c r="AC49" i="38"/>
  <c r="AB49" i="38"/>
  <c r="AA49" i="38"/>
  <c r="Z49" i="38"/>
  <c r="Y49" i="38"/>
  <c r="X49" i="38"/>
  <c r="W49" i="38"/>
  <c r="V49" i="38"/>
  <c r="C48" i="38"/>
  <c r="C47" i="38"/>
  <c r="AY46" i="38"/>
  <c r="AX46" i="38"/>
  <c r="AW46" i="38"/>
  <c r="AV46" i="38"/>
  <c r="AU46" i="38"/>
  <c r="AT46" i="38"/>
  <c r="AW45" i="38"/>
  <c r="AV45" i="38"/>
  <c r="AU45" i="38"/>
  <c r="AR45" i="38"/>
  <c r="AQ45" i="38"/>
  <c r="AP45" i="38"/>
  <c r="AO45" i="38"/>
  <c r="AN45" i="38"/>
  <c r="AM45" i="38"/>
  <c r="AL45" i="38"/>
  <c r="AK45" i="38"/>
  <c r="F45" i="38"/>
  <c r="E45" i="38"/>
  <c r="AH42" i="38"/>
  <c r="AI42" i="38" s="1"/>
  <c r="AJ42" i="38" s="1"/>
  <c r="AK42" i="38" s="1"/>
  <c r="AL42" i="38" s="1"/>
  <c r="AM42" i="38" s="1"/>
  <c r="AN42" i="38" s="1"/>
  <c r="AO42" i="38" s="1"/>
  <c r="AP42" i="38" s="1"/>
  <c r="AQ42" i="38" s="1"/>
  <c r="AR42" i="38" s="1"/>
  <c r="V42" i="38"/>
  <c r="W42" i="38" s="1"/>
  <c r="X42" i="38" s="1"/>
  <c r="Y42" i="38" s="1"/>
  <c r="Z42" i="38" s="1"/>
  <c r="AA42" i="38" s="1"/>
  <c r="AB42" i="38" s="1"/>
  <c r="AC42" i="38" s="1"/>
  <c r="AD42" i="38" s="1"/>
  <c r="AE42" i="38" s="1"/>
  <c r="AF42" i="38" s="1"/>
  <c r="F42" i="38"/>
  <c r="G42" i="38" s="1"/>
  <c r="H42" i="38" s="1"/>
  <c r="AT40" i="38"/>
  <c r="AH31" i="38"/>
  <c r="AI31" i="38" s="1"/>
  <c r="AJ31" i="38" s="1"/>
  <c r="AK31" i="38" s="1"/>
  <c r="AL31" i="38" s="1"/>
  <c r="AM31" i="38" s="1"/>
  <c r="AN31" i="38" s="1"/>
  <c r="AO31" i="38" s="1"/>
  <c r="AP31" i="38" s="1"/>
  <c r="AQ31" i="38" s="1"/>
  <c r="AR31" i="38" s="1"/>
  <c r="V31" i="38"/>
  <c r="W31" i="38" s="1"/>
  <c r="X31" i="38" s="1"/>
  <c r="Y31" i="38" s="1"/>
  <c r="Z31" i="38" s="1"/>
  <c r="AA31" i="38" s="1"/>
  <c r="AB31" i="38" s="1"/>
  <c r="AC31" i="38" s="1"/>
  <c r="AD31" i="38" s="1"/>
  <c r="AE31" i="38" s="1"/>
  <c r="AF31" i="38" s="1"/>
  <c r="F31" i="38"/>
  <c r="G31" i="38" s="1"/>
  <c r="H31" i="38" s="1"/>
  <c r="D29" i="38"/>
  <c r="C29" i="38"/>
  <c r="AR28" i="38"/>
  <c r="AQ28" i="38"/>
  <c r="AP28" i="38"/>
  <c r="AO28" i="38"/>
  <c r="AN28" i="38"/>
  <c r="AM28" i="38"/>
  <c r="AL28" i="38"/>
  <c r="AK28" i="38"/>
  <c r="AE28" i="38"/>
  <c r="AD28" i="38"/>
  <c r="AC28" i="38"/>
  <c r="AB28" i="38"/>
  <c r="AA28" i="38"/>
  <c r="Z28" i="38"/>
  <c r="Y28" i="38"/>
  <c r="X28" i="38"/>
  <c r="W28" i="38"/>
  <c r="V28" i="38"/>
  <c r="H28" i="38"/>
  <c r="G28" i="38"/>
  <c r="F28" i="38"/>
  <c r="E28" i="38"/>
  <c r="AJ27" i="38"/>
  <c r="AI27" i="38"/>
  <c r="AH27" i="38"/>
  <c r="AG27" i="38"/>
  <c r="AF27" i="38"/>
  <c r="D26" i="38"/>
  <c r="C26" i="38"/>
  <c r="AJ25" i="38"/>
  <c r="AI25" i="38"/>
  <c r="AH25" i="38"/>
  <c r="AG25" i="38"/>
  <c r="AF25" i="38"/>
  <c r="D24" i="38"/>
  <c r="C24" i="38"/>
  <c r="AJ23" i="38"/>
  <c r="AI23" i="38"/>
  <c r="AH23" i="38"/>
  <c r="AG23" i="38"/>
  <c r="AF23" i="38"/>
  <c r="AJ21" i="38"/>
  <c r="AI21" i="38"/>
  <c r="AH21" i="38"/>
  <c r="AG21" i="38"/>
  <c r="AF21" i="38"/>
  <c r="AJ20" i="38"/>
  <c r="AI20" i="38"/>
  <c r="AH20" i="38"/>
  <c r="AG20" i="38"/>
  <c r="AF20" i="38"/>
  <c r="AJ19" i="38"/>
  <c r="AI19" i="38"/>
  <c r="AH19" i="38"/>
  <c r="AG19" i="38"/>
  <c r="AF19" i="38"/>
  <c r="AH18" i="38"/>
  <c r="AI18" i="38" s="1"/>
  <c r="AJ18" i="38" s="1"/>
  <c r="AK18" i="38" s="1"/>
  <c r="AL18" i="38" s="1"/>
  <c r="AM18" i="38" s="1"/>
  <c r="AN18" i="38" s="1"/>
  <c r="AO18" i="38" s="1"/>
  <c r="AP18" i="38" s="1"/>
  <c r="AQ18" i="38" s="1"/>
  <c r="AR18" i="38" s="1"/>
  <c r="V18" i="38"/>
  <c r="W18" i="38" s="1"/>
  <c r="X18" i="38" s="1"/>
  <c r="Y18" i="38" s="1"/>
  <c r="Z18" i="38" s="1"/>
  <c r="AA18" i="38" s="1"/>
  <c r="AB18" i="38" s="1"/>
  <c r="AC18" i="38" s="1"/>
  <c r="AD18" i="38" s="1"/>
  <c r="AE18" i="38" s="1"/>
  <c r="AF18" i="38" s="1"/>
  <c r="F18" i="38"/>
  <c r="G18" i="38" s="1"/>
  <c r="H18" i="38" s="1"/>
  <c r="AE13" i="38"/>
  <c r="AF5" i="38" s="1"/>
  <c r="AD13" i="38"/>
  <c r="AC13" i="38"/>
  <c r="AB13" i="38"/>
  <c r="AA13" i="38"/>
  <c r="Z13" i="38"/>
  <c r="Y13" i="38"/>
  <c r="X13" i="38"/>
  <c r="W13" i="38"/>
  <c r="V13" i="38"/>
  <c r="AF12" i="38"/>
  <c r="C12" i="38"/>
  <c r="C11" i="38"/>
  <c r="AY10" i="38"/>
  <c r="AW10" i="38"/>
  <c r="AV10" i="38"/>
  <c r="AU10" i="38"/>
  <c r="AT10" i="38"/>
  <c r="C10" i="38"/>
  <c r="C9" i="38"/>
  <c r="E8" i="38"/>
  <c r="AH3" i="38"/>
  <c r="AI3" i="38" s="1"/>
  <c r="AJ3" i="38" s="1"/>
  <c r="AK3" i="38" s="1"/>
  <c r="AL3" i="38" s="1"/>
  <c r="AM3" i="38" s="1"/>
  <c r="AN3" i="38" s="1"/>
  <c r="AO3" i="38" s="1"/>
  <c r="AP3" i="38" s="1"/>
  <c r="AQ3" i="38" s="1"/>
  <c r="AR3" i="38" s="1"/>
  <c r="V3" i="38"/>
  <c r="F3" i="38"/>
  <c r="G3" i="38" s="1"/>
  <c r="H3" i="38" s="1"/>
  <c r="AL80" i="39"/>
  <c r="AG48" i="39"/>
  <c r="AJ80" i="39"/>
  <c r="AM14" i="39"/>
  <c r="U14" i="39"/>
  <c r="AP14" i="39"/>
  <c r="T48" i="39"/>
  <c r="V14" i="39"/>
  <c r="AN48" i="39"/>
  <c r="AR14" i="39"/>
  <c r="E14" i="39"/>
  <c r="AK80" i="39"/>
  <c r="T14" i="39"/>
  <c r="AM80" i="39"/>
  <c r="AE48" i="39"/>
  <c r="S48" i="39"/>
  <c r="G48" i="39"/>
  <c r="AI80" i="39"/>
  <c r="H48" i="39"/>
  <c r="AH80" i="39"/>
  <c r="AN80" i="39"/>
  <c r="AI48" i="39"/>
  <c r="U48" i="39"/>
  <c r="AQ14" i="39"/>
  <c r="V80" i="39"/>
  <c r="AO80" i="39"/>
  <c r="AK14" i="39"/>
  <c r="AL48" i="39"/>
  <c r="AA48" i="39"/>
  <c r="AD48" i="39"/>
  <c r="W48" i="39"/>
  <c r="AO48" i="39"/>
  <c r="X48" i="39"/>
  <c r="Y48" i="39"/>
  <c r="AQ48" i="39"/>
  <c r="V48" i="39"/>
  <c r="AP80" i="39"/>
  <c r="AH48" i="39"/>
  <c r="AP48" i="39"/>
  <c r="AG80" i="39"/>
  <c r="AK48" i="39"/>
  <c r="AR80" i="39"/>
  <c r="AG14" i="39"/>
  <c r="AQ80" i="39"/>
  <c r="AJ48" i="39"/>
  <c r="AO14" i="39"/>
  <c r="AJ14" i="39"/>
  <c r="G14" i="39"/>
  <c r="Z48" i="39"/>
  <c r="AH14" i="39"/>
  <c r="AN14" i="39"/>
  <c r="AM48" i="39"/>
  <c r="AL14" i="39"/>
  <c r="H14" i="39"/>
  <c r="AB48" i="39"/>
  <c r="AI14" i="39"/>
  <c r="E48" i="39"/>
  <c r="F14" i="39"/>
  <c r="AC48" i="39"/>
  <c r="AR48" i="39"/>
  <c r="AF48" i="39"/>
  <c r="S14" i="39"/>
  <c r="F48" i="39"/>
  <c r="AD50" i="38"/>
  <c r="AI83" i="38"/>
  <c r="AO83" i="38"/>
  <c r="AN83" i="38"/>
  <c r="AJ50" i="38"/>
  <c r="AL50" i="38"/>
  <c r="AM14" i="38"/>
  <c r="V83" i="38"/>
  <c r="E83" i="38"/>
  <c r="E50" i="38"/>
  <c r="F83" i="38"/>
  <c r="AR50" i="38"/>
  <c r="X50" i="38"/>
  <c r="AK14" i="38"/>
  <c r="AB50" i="38"/>
  <c r="W83" i="38"/>
  <c r="AG14" i="38"/>
  <c r="E14" i="38"/>
  <c r="AE50" i="38"/>
  <c r="AH83" i="38"/>
  <c r="AH14" i="38"/>
  <c r="AP14" i="38"/>
  <c r="AC50" i="38"/>
  <c r="AA50" i="38"/>
  <c r="AH50" i="38"/>
  <c r="F14" i="38"/>
  <c r="AJ14" i="38"/>
  <c r="V50" i="38"/>
  <c r="AI14" i="38"/>
  <c r="AR83" i="38"/>
  <c r="AN50" i="38"/>
  <c r="H14" i="38"/>
  <c r="AM83" i="38"/>
  <c r="Y50" i="38"/>
  <c r="AO50" i="38"/>
  <c r="AR14" i="38"/>
  <c r="H50" i="38"/>
  <c r="W50" i="38"/>
  <c r="AJ83" i="38"/>
  <c r="AQ14" i="38"/>
  <c r="AQ83" i="38"/>
  <c r="Z50" i="38"/>
  <c r="G83" i="38"/>
  <c r="AM50" i="38"/>
  <c r="F50" i="38"/>
  <c r="AF50" i="38"/>
  <c r="G14" i="38"/>
  <c r="AN14" i="38"/>
  <c r="AK50" i="38"/>
  <c r="AI50" i="38"/>
  <c r="AP50" i="38"/>
  <c r="H83" i="38"/>
  <c r="AK83" i="38"/>
  <c r="AG83" i="38"/>
  <c r="AL83" i="38"/>
  <c r="G50" i="38"/>
  <c r="V14" i="38"/>
  <c r="AP83" i="38"/>
  <c r="AL14" i="38"/>
  <c r="AQ50" i="38"/>
  <c r="AO14" i="38"/>
  <c r="AG50" i="38"/>
  <c r="Z14" i="44"/>
  <c r="Z14" i="43"/>
  <c r="AD14" i="45"/>
  <c r="H8" i="46" l="1"/>
  <c r="AN79" i="46"/>
  <c r="AN82" i="46" s="1"/>
  <c r="AM84" i="46"/>
  <c r="AJ44" i="46"/>
  <c r="AI51" i="46"/>
  <c r="AD15" i="45"/>
  <c r="AF49" i="45"/>
  <c r="AG42" i="45"/>
  <c r="AE3" i="45"/>
  <c r="AE79" i="45"/>
  <c r="Z15" i="44"/>
  <c r="AD49" i="44"/>
  <c r="AE42" i="44"/>
  <c r="AD81" i="44"/>
  <c r="AE75" i="44"/>
  <c r="H8" i="44"/>
  <c r="D77" i="44"/>
  <c r="AA3" i="44"/>
  <c r="X49" i="44"/>
  <c r="Y42" i="44"/>
  <c r="Y47" i="44" s="1"/>
  <c r="Y49" i="44" s="1"/>
  <c r="Z15" i="43"/>
  <c r="AA3" i="43"/>
  <c r="G8" i="43"/>
  <c r="AJ79" i="43"/>
  <c r="AJ82" i="43" s="1"/>
  <c r="AI84" i="43"/>
  <c r="AG49" i="43"/>
  <c r="G46" i="43"/>
  <c r="G49" i="43" s="1"/>
  <c r="C76" i="39"/>
  <c r="D28" i="38"/>
  <c r="AG80" i="38"/>
  <c r="AG82" i="38" s="1"/>
  <c r="D25" i="38"/>
  <c r="D57" i="38"/>
  <c r="D61" i="38"/>
  <c r="AJ45" i="38"/>
  <c r="AY44" i="38" s="1"/>
  <c r="C23" i="38"/>
  <c r="C27" i="38"/>
  <c r="AH45" i="38"/>
  <c r="D62" i="38"/>
  <c r="AF64" i="38"/>
  <c r="C62" i="38"/>
  <c r="D56" i="38"/>
  <c r="AJ64" i="38"/>
  <c r="C21" i="38"/>
  <c r="C58" i="38"/>
  <c r="D60" i="38"/>
  <c r="D59" i="38"/>
  <c r="C59" i="38"/>
  <c r="C60" i="38"/>
  <c r="C20" i="38"/>
  <c r="AA49" i="39"/>
  <c r="AB49" i="39"/>
  <c r="T15" i="39"/>
  <c r="S15" i="39"/>
  <c r="U49" i="39"/>
  <c r="V42" i="39"/>
  <c r="V47" i="39" s="1"/>
  <c r="W3" i="39"/>
  <c r="D24" i="39"/>
  <c r="T42" i="39"/>
  <c r="T47" i="39" s="1"/>
  <c r="T49" i="39" s="1"/>
  <c r="S49" i="39"/>
  <c r="E13" i="39"/>
  <c r="V15" i="39"/>
  <c r="AC44" i="39"/>
  <c r="AC47" i="39" s="1"/>
  <c r="U15" i="39"/>
  <c r="C24" i="39"/>
  <c r="D27" i="39"/>
  <c r="Z49" i="39"/>
  <c r="D60" i="39"/>
  <c r="W73" i="39"/>
  <c r="AB77" i="39"/>
  <c r="AB79" i="39" s="1"/>
  <c r="V81" i="39"/>
  <c r="X79" i="39"/>
  <c r="V51" i="38"/>
  <c r="V15" i="38"/>
  <c r="AD51" i="38"/>
  <c r="Z51" i="38"/>
  <c r="AA51" i="38"/>
  <c r="W84" i="38"/>
  <c r="AG45" i="38"/>
  <c r="C19" i="38"/>
  <c r="AG28" i="38"/>
  <c r="W3" i="38"/>
  <c r="D20" i="38"/>
  <c r="D23" i="38"/>
  <c r="D27" i="38"/>
  <c r="AH28" i="38"/>
  <c r="E46" i="38"/>
  <c r="E49" i="38" s="1"/>
  <c r="W51" i="38"/>
  <c r="AF46" i="38"/>
  <c r="AF49" i="38" s="1"/>
  <c r="C63" i="38"/>
  <c r="D63" i="38"/>
  <c r="E13" i="38"/>
  <c r="D19" i="38"/>
  <c r="AI45" i="38"/>
  <c r="AI28" i="38"/>
  <c r="D21" i="38"/>
  <c r="C25" i="38"/>
  <c r="AH64" i="38"/>
  <c r="D64" i="38"/>
  <c r="V84" i="38"/>
  <c r="AY41" i="38"/>
  <c r="Y51" i="38"/>
  <c r="AC51" i="38"/>
  <c r="AG64" i="38"/>
  <c r="C55" i="38"/>
  <c r="D55" i="38"/>
  <c r="C56" i="38"/>
  <c r="X78" i="38"/>
  <c r="AI64" i="38"/>
  <c r="D58" i="38"/>
  <c r="E84" i="38"/>
  <c r="AJ80" i="38"/>
  <c r="AF28" i="38"/>
  <c r="AJ28" i="38"/>
  <c r="X51" i="38"/>
  <c r="AB51" i="38"/>
  <c r="AE51" i="38"/>
  <c r="C61" i="38"/>
  <c r="AH80" i="38"/>
  <c r="C57" i="38"/>
  <c r="F79" i="38"/>
  <c r="F82" i="38" s="1"/>
  <c r="AI80" i="38"/>
  <c r="AJ58" i="17"/>
  <c r="AJ63" i="16"/>
  <c r="AJ62" i="16"/>
  <c r="AJ61" i="16"/>
  <c r="AJ60" i="16"/>
  <c r="AJ59" i="16"/>
  <c r="AJ58" i="16"/>
  <c r="AJ57" i="16"/>
  <c r="AJ56" i="16"/>
  <c r="AJ55" i="16"/>
  <c r="W14" i="39"/>
  <c r="W80" i="39"/>
  <c r="X83" i="38"/>
  <c r="W14" i="38"/>
  <c r="AA14" i="44"/>
  <c r="AA14" i="43"/>
  <c r="AE14" i="45"/>
  <c r="AJ46" i="46" l="1"/>
  <c r="AJ49" i="46" s="1"/>
  <c r="AN84" i="46"/>
  <c r="AO79" i="46"/>
  <c r="AO82" i="46" s="1"/>
  <c r="H13" i="46"/>
  <c r="H15" i="46" s="1"/>
  <c r="AE15" i="45"/>
  <c r="AE81" i="45"/>
  <c r="AF75" i="45"/>
  <c r="AF3" i="45"/>
  <c r="AA15" i="44"/>
  <c r="H13" i="44"/>
  <c r="H15" i="44" s="1"/>
  <c r="AE44" i="44"/>
  <c r="AE47" i="44" s="1"/>
  <c r="AB3" i="44"/>
  <c r="AE77" i="44"/>
  <c r="AE79" i="44" s="1"/>
  <c r="AA15" i="43"/>
  <c r="H44" i="43"/>
  <c r="G51" i="43"/>
  <c r="AB3" i="43"/>
  <c r="AH44" i="43"/>
  <c r="AG51" i="43"/>
  <c r="AJ84" i="43"/>
  <c r="AK79" i="43"/>
  <c r="AK82" i="43" s="1"/>
  <c r="G13" i="43"/>
  <c r="AX44" i="38"/>
  <c r="C80" i="38"/>
  <c r="C82" i="38" s="1"/>
  <c r="C64" i="38"/>
  <c r="W15" i="39"/>
  <c r="W81" i="39"/>
  <c r="AC75" i="39"/>
  <c r="AC49" i="39"/>
  <c r="AD42" i="39"/>
  <c r="F5" i="39"/>
  <c r="E15" i="39"/>
  <c r="X3" i="39"/>
  <c r="X73" i="39"/>
  <c r="W42" i="39"/>
  <c r="W47" i="39" s="1"/>
  <c r="V49" i="39"/>
  <c r="X84" i="38"/>
  <c r="W15" i="38"/>
  <c r="E51" i="38"/>
  <c r="F44" i="38"/>
  <c r="AH79" i="38"/>
  <c r="AH82" i="38" s="1"/>
  <c r="AG84" i="38"/>
  <c r="Y78" i="38"/>
  <c r="E15" i="38"/>
  <c r="F5" i="38"/>
  <c r="X3" i="38"/>
  <c r="D80" i="38"/>
  <c r="AF51" i="38"/>
  <c r="AG44" i="38"/>
  <c r="C45" i="38"/>
  <c r="D45" i="38"/>
  <c r="F84" i="38"/>
  <c r="G79" i="38"/>
  <c r="G82" i="38" s="1"/>
  <c r="C28" i="38"/>
  <c r="AJ27" i="16"/>
  <c r="AJ25" i="16"/>
  <c r="AJ23" i="16"/>
  <c r="AJ21" i="16"/>
  <c r="AJ20" i="16"/>
  <c r="AJ19" i="16"/>
  <c r="I24" i="20"/>
  <c r="X14" i="39"/>
  <c r="X80" i="39"/>
  <c r="Y83" i="38"/>
  <c r="X14" i="38"/>
  <c r="AB14" i="44"/>
  <c r="AB14" i="43"/>
  <c r="AF14" i="45"/>
  <c r="AK44" i="46" l="1"/>
  <c r="AJ51" i="46"/>
  <c r="AO84" i="46"/>
  <c r="AP79" i="46"/>
  <c r="AP82" i="46" s="1"/>
  <c r="AF77" i="45"/>
  <c r="C77" i="45" s="1"/>
  <c r="AB15" i="44"/>
  <c r="AC3" i="44"/>
  <c r="AF42" i="44"/>
  <c r="AE49" i="44"/>
  <c r="AE81" i="44"/>
  <c r="AF75" i="44"/>
  <c r="AB15" i="43"/>
  <c r="G15" i="43"/>
  <c r="H5" i="43"/>
  <c r="AH46" i="43"/>
  <c r="H46" i="43"/>
  <c r="H49" i="43" s="1"/>
  <c r="H51" i="43" s="1"/>
  <c r="AK84" i="43"/>
  <c r="AL79" i="43"/>
  <c r="AL82" i="43" s="1"/>
  <c r="AC3" i="43"/>
  <c r="X15" i="39"/>
  <c r="X81" i="39"/>
  <c r="F8" i="39"/>
  <c r="Y3" i="39"/>
  <c r="X42" i="39"/>
  <c r="X47" i="39" s="1"/>
  <c r="W49" i="39"/>
  <c r="Y73" i="39"/>
  <c r="AD44" i="39"/>
  <c r="AD47" i="39" s="1"/>
  <c r="AC77" i="39"/>
  <c r="X15" i="38"/>
  <c r="Y84" i="38"/>
  <c r="G84" i="38"/>
  <c r="H79" i="38"/>
  <c r="H82" i="38" s="1"/>
  <c r="H84" i="38" s="1"/>
  <c r="F8" i="38"/>
  <c r="F13" i="38" s="1"/>
  <c r="AG46" i="38"/>
  <c r="AG49" i="38" s="1"/>
  <c r="Y3" i="38"/>
  <c r="F46" i="38"/>
  <c r="F49" i="38" s="1"/>
  <c r="Z78" i="38"/>
  <c r="AH84" i="38"/>
  <c r="AI79" i="38"/>
  <c r="AI82" i="38" s="1"/>
  <c r="C53" i="20"/>
  <c r="C44" i="20"/>
  <c r="C5" i="20"/>
  <c r="C9" i="20"/>
  <c r="C15" i="20"/>
  <c r="C12" i="20"/>
  <c r="C18" i="20"/>
  <c r="C21" i="20"/>
  <c r="C6" i="20"/>
  <c r="C4" i="20"/>
  <c r="Y80" i="39"/>
  <c r="Y14" i="39"/>
  <c r="Y14" i="38"/>
  <c r="Z83" i="38"/>
  <c r="AC14" i="44"/>
  <c r="AC14" i="43"/>
  <c r="AF79" i="45" l="1"/>
  <c r="AF81" i="45" s="1"/>
  <c r="AK46" i="46"/>
  <c r="AK49" i="46" s="1"/>
  <c r="AP84" i="46"/>
  <c r="AQ79" i="46"/>
  <c r="AQ82" i="46" s="1"/>
  <c r="AG75" i="45"/>
  <c r="AC15" i="44"/>
  <c r="AD3" i="44"/>
  <c r="AF77" i="44"/>
  <c r="C77" i="44" s="1"/>
  <c r="AF44" i="44"/>
  <c r="AF47" i="44" s="1"/>
  <c r="AC15" i="43"/>
  <c r="AD3" i="43"/>
  <c r="H8" i="43"/>
  <c r="AL84" i="43"/>
  <c r="AM79" i="43"/>
  <c r="AM82" i="43" s="1"/>
  <c r="AH49" i="43"/>
  <c r="Y81" i="39"/>
  <c r="Y15" i="39"/>
  <c r="AD49" i="39"/>
  <c r="AE42" i="39"/>
  <c r="Z73" i="39"/>
  <c r="Y42" i="39"/>
  <c r="Y47" i="39" s="1"/>
  <c r="Y49" i="39" s="1"/>
  <c r="X49" i="39"/>
  <c r="AC79" i="39"/>
  <c r="F13" i="39"/>
  <c r="Z3" i="39"/>
  <c r="Y15" i="38"/>
  <c r="Z84" i="38"/>
  <c r="F15" i="38"/>
  <c r="G5" i="38"/>
  <c r="AI84" i="38"/>
  <c r="AJ79" i="38"/>
  <c r="AJ82" i="38" s="1"/>
  <c r="Z3" i="38"/>
  <c r="AH44" i="38"/>
  <c r="AG51" i="38"/>
  <c r="AA78" i="38"/>
  <c r="F51" i="38"/>
  <c r="G44" i="38"/>
  <c r="AE82" i="37"/>
  <c r="AF79" i="37" s="1"/>
  <c r="AF82" i="37" s="1"/>
  <c r="AD82" i="37"/>
  <c r="AC82" i="37"/>
  <c r="AB82" i="37"/>
  <c r="AA82" i="37"/>
  <c r="Z82" i="37"/>
  <c r="Y82" i="37"/>
  <c r="X82" i="37"/>
  <c r="W82" i="37"/>
  <c r="V82" i="37"/>
  <c r="C81" i="37"/>
  <c r="AR80" i="37"/>
  <c r="AQ80" i="37"/>
  <c r="AP80" i="37"/>
  <c r="AO80" i="37"/>
  <c r="AN80" i="37"/>
  <c r="AM80" i="37"/>
  <c r="AL80" i="37"/>
  <c r="AK80" i="37"/>
  <c r="AJ80" i="37"/>
  <c r="F80" i="37"/>
  <c r="E80" i="37"/>
  <c r="E82" i="37" s="1"/>
  <c r="AH78" i="37"/>
  <c r="AI78" i="37" s="1"/>
  <c r="AJ78" i="37" s="1"/>
  <c r="AK78" i="37" s="1"/>
  <c r="AL78" i="37" s="1"/>
  <c r="AM78" i="37" s="1"/>
  <c r="AN78" i="37" s="1"/>
  <c r="AO78" i="37" s="1"/>
  <c r="AP78" i="37" s="1"/>
  <c r="AQ78" i="37" s="1"/>
  <c r="AR78" i="37" s="1"/>
  <c r="V78" i="37"/>
  <c r="W78" i="37" s="1"/>
  <c r="X78" i="37" s="1"/>
  <c r="Y78" i="37" s="1"/>
  <c r="Z78" i="37" s="1"/>
  <c r="AA78" i="37" s="1"/>
  <c r="AB78" i="37" s="1"/>
  <c r="AC78" i="37" s="1"/>
  <c r="AD78" i="37" s="1"/>
  <c r="AE78" i="37" s="1"/>
  <c r="AF78" i="37" s="1"/>
  <c r="F78" i="37"/>
  <c r="G78" i="37" s="1"/>
  <c r="H78" i="37" s="1"/>
  <c r="AT75" i="37"/>
  <c r="AH67" i="37"/>
  <c r="AI67" i="37" s="1"/>
  <c r="AJ67" i="37" s="1"/>
  <c r="AK67" i="37" s="1"/>
  <c r="AL67" i="37" s="1"/>
  <c r="AM67" i="37" s="1"/>
  <c r="AN67" i="37" s="1"/>
  <c r="AO67" i="37" s="1"/>
  <c r="AP67" i="37" s="1"/>
  <c r="AQ67" i="37" s="1"/>
  <c r="AR67" i="37" s="1"/>
  <c r="V67" i="37"/>
  <c r="W67" i="37" s="1"/>
  <c r="X67" i="37" s="1"/>
  <c r="Y67" i="37" s="1"/>
  <c r="Z67" i="37" s="1"/>
  <c r="AA67" i="37" s="1"/>
  <c r="AB67" i="37" s="1"/>
  <c r="AC67" i="37" s="1"/>
  <c r="AD67" i="37" s="1"/>
  <c r="AE67" i="37" s="1"/>
  <c r="AF67" i="37" s="1"/>
  <c r="F67" i="37"/>
  <c r="G67" i="37" s="1"/>
  <c r="H67" i="37" s="1"/>
  <c r="D65" i="37"/>
  <c r="C65" i="37"/>
  <c r="AR64" i="37"/>
  <c r="AQ64" i="37"/>
  <c r="AP64" i="37"/>
  <c r="AO64" i="37"/>
  <c r="AN64" i="37"/>
  <c r="AM64" i="37"/>
  <c r="AL64" i="37"/>
  <c r="AK64" i="37"/>
  <c r="AJ64" i="37"/>
  <c r="AE64" i="37"/>
  <c r="AD64" i="37"/>
  <c r="AC64" i="37"/>
  <c r="AB64" i="37"/>
  <c r="AA64" i="37"/>
  <c r="Z64" i="37"/>
  <c r="Y64" i="37"/>
  <c r="X64" i="37"/>
  <c r="W64" i="37"/>
  <c r="V64" i="37"/>
  <c r="H64" i="37"/>
  <c r="G64" i="37"/>
  <c r="F64" i="37"/>
  <c r="E64" i="37"/>
  <c r="AI63" i="37"/>
  <c r="AH63" i="37"/>
  <c r="AG63" i="37"/>
  <c r="AF63" i="37"/>
  <c r="AI62" i="37"/>
  <c r="AH62" i="37"/>
  <c r="AG62" i="37"/>
  <c r="AF62" i="37"/>
  <c r="AI61" i="37"/>
  <c r="AH61" i="37"/>
  <c r="AG61" i="37"/>
  <c r="AF61" i="37"/>
  <c r="AI60" i="37"/>
  <c r="AH60" i="37"/>
  <c r="AG60" i="37"/>
  <c r="AF60" i="37"/>
  <c r="AI59" i="37"/>
  <c r="AH59" i="37"/>
  <c r="AG59" i="37"/>
  <c r="AF59" i="37"/>
  <c r="AI58" i="37"/>
  <c r="AH58" i="37"/>
  <c r="AG58" i="37"/>
  <c r="AF58" i="37"/>
  <c r="AI57" i="37"/>
  <c r="AH57" i="37"/>
  <c r="AG57" i="37"/>
  <c r="AF57" i="37"/>
  <c r="AI56" i="37"/>
  <c r="AH56" i="37"/>
  <c r="AG56" i="37"/>
  <c r="AF56" i="37"/>
  <c r="AI55" i="37"/>
  <c r="AI80" i="37" s="1"/>
  <c r="AH55" i="37"/>
  <c r="AG55" i="37"/>
  <c r="AF55" i="37"/>
  <c r="AH54" i="37"/>
  <c r="AI54" i="37" s="1"/>
  <c r="AJ54" i="37" s="1"/>
  <c r="AK54" i="37" s="1"/>
  <c r="AL54" i="37" s="1"/>
  <c r="AM54" i="37" s="1"/>
  <c r="AN54" i="37" s="1"/>
  <c r="AO54" i="37" s="1"/>
  <c r="AP54" i="37" s="1"/>
  <c r="AQ54" i="37" s="1"/>
  <c r="AR54" i="37" s="1"/>
  <c r="V54" i="37"/>
  <c r="W54" i="37" s="1"/>
  <c r="X54" i="37" s="1"/>
  <c r="Y54" i="37" s="1"/>
  <c r="Z54" i="37" s="1"/>
  <c r="AA54" i="37" s="1"/>
  <c r="AB54" i="37" s="1"/>
  <c r="AC54" i="37" s="1"/>
  <c r="AD54" i="37" s="1"/>
  <c r="AE54" i="37" s="1"/>
  <c r="AF54" i="37" s="1"/>
  <c r="F54" i="37"/>
  <c r="G54" i="37" s="1"/>
  <c r="H54" i="37" s="1"/>
  <c r="AE49" i="37"/>
  <c r="AD49" i="37"/>
  <c r="AC49" i="37"/>
  <c r="AB49" i="37"/>
  <c r="AA49" i="37"/>
  <c r="Z49" i="37"/>
  <c r="Y49" i="37"/>
  <c r="X49" i="37"/>
  <c r="W49" i="37"/>
  <c r="V49" i="37"/>
  <c r="C48" i="37"/>
  <c r="C47" i="37"/>
  <c r="AY46" i="37"/>
  <c r="AX46" i="37"/>
  <c r="AW46" i="37"/>
  <c r="AV46" i="37"/>
  <c r="AU46" i="37"/>
  <c r="AT46" i="37"/>
  <c r="AW45" i="37"/>
  <c r="AV45" i="37"/>
  <c r="AU45" i="37"/>
  <c r="AR45" i="37"/>
  <c r="AQ45" i="37"/>
  <c r="AP45" i="37"/>
  <c r="AO45" i="37"/>
  <c r="AN45" i="37"/>
  <c r="AM45" i="37"/>
  <c r="AL45" i="37"/>
  <c r="AK45" i="37"/>
  <c r="AJ45" i="37"/>
  <c r="F45" i="37"/>
  <c r="E45" i="37"/>
  <c r="E46" i="37" s="1"/>
  <c r="E49" i="37" s="1"/>
  <c r="AF44" i="37"/>
  <c r="AH42" i="37"/>
  <c r="AI42" i="37" s="1"/>
  <c r="AJ42" i="37" s="1"/>
  <c r="AK42" i="37" s="1"/>
  <c r="AL42" i="37" s="1"/>
  <c r="AM42" i="37" s="1"/>
  <c r="AN42" i="37" s="1"/>
  <c r="AO42" i="37" s="1"/>
  <c r="AP42" i="37" s="1"/>
  <c r="AQ42" i="37" s="1"/>
  <c r="AR42" i="37" s="1"/>
  <c r="V42" i="37"/>
  <c r="W42" i="37" s="1"/>
  <c r="X42" i="37" s="1"/>
  <c r="Y42" i="37" s="1"/>
  <c r="Z42" i="37" s="1"/>
  <c r="AA42" i="37" s="1"/>
  <c r="AB42" i="37" s="1"/>
  <c r="F42" i="37"/>
  <c r="G42" i="37" s="1"/>
  <c r="H42" i="37" s="1"/>
  <c r="AT40" i="37"/>
  <c r="AH31" i="37"/>
  <c r="AI31" i="37" s="1"/>
  <c r="AJ31" i="37" s="1"/>
  <c r="AK31" i="37" s="1"/>
  <c r="AL31" i="37" s="1"/>
  <c r="AM31" i="37" s="1"/>
  <c r="AN31" i="37" s="1"/>
  <c r="AO31" i="37" s="1"/>
  <c r="AP31" i="37" s="1"/>
  <c r="AQ31" i="37" s="1"/>
  <c r="AR31" i="37" s="1"/>
  <c r="V31" i="37"/>
  <c r="W31" i="37" s="1"/>
  <c r="X31" i="37" s="1"/>
  <c r="Y31" i="37" s="1"/>
  <c r="Z31" i="37" s="1"/>
  <c r="AA31" i="37" s="1"/>
  <c r="AB31" i="37" s="1"/>
  <c r="AC31" i="37" s="1"/>
  <c r="AD31" i="37" s="1"/>
  <c r="AE31" i="37" s="1"/>
  <c r="AF31" i="37" s="1"/>
  <c r="F31" i="37"/>
  <c r="G31" i="37" s="1"/>
  <c r="H31" i="37" s="1"/>
  <c r="D29" i="37"/>
  <c r="C29" i="37"/>
  <c r="AR28" i="37"/>
  <c r="AQ28" i="37"/>
  <c r="AP28" i="37"/>
  <c r="AO28" i="37"/>
  <c r="AN28" i="37"/>
  <c r="AM28" i="37"/>
  <c r="AL28" i="37"/>
  <c r="AK28" i="37"/>
  <c r="AJ28" i="37"/>
  <c r="AE28" i="37"/>
  <c r="AD28" i="37"/>
  <c r="AC28" i="37"/>
  <c r="AB28" i="37"/>
  <c r="AA28" i="37"/>
  <c r="Z28" i="37"/>
  <c r="Y28" i="37"/>
  <c r="X28" i="37"/>
  <c r="W28" i="37"/>
  <c r="V28" i="37"/>
  <c r="H28" i="37"/>
  <c r="G28" i="37"/>
  <c r="F28" i="37"/>
  <c r="E28" i="37"/>
  <c r="AI27" i="37"/>
  <c r="AH27" i="37"/>
  <c r="AG27" i="37"/>
  <c r="AF27" i="37"/>
  <c r="D26" i="37"/>
  <c r="C26" i="37"/>
  <c r="AI25" i="37"/>
  <c r="AH25" i="37"/>
  <c r="AG25" i="37"/>
  <c r="AF25" i="37"/>
  <c r="D24" i="37"/>
  <c r="C24" i="37"/>
  <c r="AI23" i="37"/>
  <c r="AH23" i="37"/>
  <c r="AG23" i="37"/>
  <c r="AF23" i="37"/>
  <c r="AI21" i="37"/>
  <c r="AH21" i="37"/>
  <c r="AG21" i="37"/>
  <c r="AF21" i="37"/>
  <c r="AI20" i="37"/>
  <c r="AH20" i="37"/>
  <c r="AG20" i="37"/>
  <c r="AF20" i="37"/>
  <c r="AI19" i="37"/>
  <c r="AH19" i="37"/>
  <c r="AG19" i="37"/>
  <c r="AF19" i="37"/>
  <c r="AH18" i="37"/>
  <c r="AI18" i="37" s="1"/>
  <c r="AJ18" i="37" s="1"/>
  <c r="AK18" i="37" s="1"/>
  <c r="AL18" i="37" s="1"/>
  <c r="AM18" i="37" s="1"/>
  <c r="AN18" i="37" s="1"/>
  <c r="AO18" i="37" s="1"/>
  <c r="AP18" i="37" s="1"/>
  <c r="AQ18" i="37" s="1"/>
  <c r="AR18" i="37" s="1"/>
  <c r="V18" i="37"/>
  <c r="W18" i="37" s="1"/>
  <c r="X18" i="37" s="1"/>
  <c r="Y18" i="37" s="1"/>
  <c r="Z18" i="37" s="1"/>
  <c r="AA18" i="37" s="1"/>
  <c r="AB18" i="37" s="1"/>
  <c r="AC18" i="37" s="1"/>
  <c r="AD18" i="37" s="1"/>
  <c r="AE18" i="37" s="1"/>
  <c r="AF18" i="37" s="1"/>
  <c r="F18" i="37"/>
  <c r="G18" i="37" s="1"/>
  <c r="H18" i="37" s="1"/>
  <c r="AE13" i="37"/>
  <c r="AF5" i="37" s="1"/>
  <c r="AD13" i="37"/>
  <c r="AC13" i="37"/>
  <c r="AB13" i="37"/>
  <c r="AA13" i="37"/>
  <c r="Z13" i="37"/>
  <c r="Y13" i="37"/>
  <c r="X13" i="37"/>
  <c r="W13" i="37"/>
  <c r="V13" i="37"/>
  <c r="AF12" i="37"/>
  <c r="C12" i="37"/>
  <c r="C11" i="37"/>
  <c r="AY10" i="37"/>
  <c r="AW10" i="37"/>
  <c r="AV10" i="37"/>
  <c r="AU10" i="37"/>
  <c r="AT10" i="37"/>
  <c r="C10" i="37"/>
  <c r="C9" i="37"/>
  <c r="E8" i="37"/>
  <c r="E13" i="37" s="1"/>
  <c r="AH3" i="37"/>
  <c r="AI3" i="37" s="1"/>
  <c r="AJ3" i="37" s="1"/>
  <c r="AK3" i="37" s="1"/>
  <c r="AL3" i="37" s="1"/>
  <c r="AM3" i="37" s="1"/>
  <c r="AN3" i="37" s="1"/>
  <c r="AO3" i="37" s="1"/>
  <c r="AP3" i="37" s="1"/>
  <c r="AQ3" i="37" s="1"/>
  <c r="AR3" i="37" s="1"/>
  <c r="V3" i="37"/>
  <c r="W3" i="37" s="1"/>
  <c r="F3" i="37"/>
  <c r="G3" i="37" s="1"/>
  <c r="H3" i="37" s="1"/>
  <c r="AA79" i="36"/>
  <c r="Z79" i="36"/>
  <c r="Y79" i="36"/>
  <c r="W79" i="36"/>
  <c r="V79" i="36"/>
  <c r="C78" i="36"/>
  <c r="F77" i="36"/>
  <c r="U76" i="36"/>
  <c r="H76" i="36"/>
  <c r="H77" i="36" s="1"/>
  <c r="E76" i="36"/>
  <c r="E77" i="36" s="1"/>
  <c r="AX75" i="36"/>
  <c r="AT74" i="36"/>
  <c r="AH73" i="36"/>
  <c r="AI73" i="36" s="1"/>
  <c r="AJ73" i="36" s="1"/>
  <c r="AK73" i="36" s="1"/>
  <c r="AL73" i="36" s="1"/>
  <c r="AM73" i="36" s="1"/>
  <c r="AN73" i="36" s="1"/>
  <c r="AO73" i="36" s="1"/>
  <c r="AP73" i="36" s="1"/>
  <c r="AQ73" i="36" s="1"/>
  <c r="AR73" i="36" s="1"/>
  <c r="V73" i="36"/>
  <c r="W73" i="36" s="1"/>
  <c r="X73" i="36" s="1"/>
  <c r="F73" i="36"/>
  <c r="G73" i="36" s="1"/>
  <c r="H73" i="36" s="1"/>
  <c r="AH63" i="36"/>
  <c r="AI63" i="36" s="1"/>
  <c r="AJ63" i="36" s="1"/>
  <c r="AK63" i="36" s="1"/>
  <c r="AL63" i="36" s="1"/>
  <c r="AM63" i="36" s="1"/>
  <c r="AN63" i="36" s="1"/>
  <c r="AO63" i="36" s="1"/>
  <c r="AP63" i="36" s="1"/>
  <c r="AQ63" i="36" s="1"/>
  <c r="AR63" i="36" s="1"/>
  <c r="V63" i="36"/>
  <c r="W63" i="36" s="1"/>
  <c r="X63" i="36" s="1"/>
  <c r="Y63" i="36" s="1"/>
  <c r="Z63" i="36" s="1"/>
  <c r="AA63" i="36" s="1"/>
  <c r="AB63" i="36" s="1"/>
  <c r="AC63" i="36" s="1"/>
  <c r="AD63" i="36" s="1"/>
  <c r="AE63" i="36" s="1"/>
  <c r="AF63" i="36" s="1"/>
  <c r="F63" i="36"/>
  <c r="G63" i="36" s="1"/>
  <c r="H63" i="36" s="1"/>
  <c r="D61" i="36"/>
  <c r="C61" i="36"/>
  <c r="AE60" i="36"/>
  <c r="AD60" i="36"/>
  <c r="AC60" i="36"/>
  <c r="AB60" i="36"/>
  <c r="AA60" i="36"/>
  <c r="Z60" i="36"/>
  <c r="Y60" i="36"/>
  <c r="X60" i="36"/>
  <c r="W60" i="36"/>
  <c r="V60" i="36"/>
  <c r="U60" i="36"/>
  <c r="H60" i="36"/>
  <c r="G60" i="36"/>
  <c r="F60" i="36"/>
  <c r="D59" i="36"/>
  <c r="C59" i="36"/>
  <c r="AS58" i="36"/>
  <c r="AI58" i="36"/>
  <c r="AH58" i="36"/>
  <c r="AG58" i="36"/>
  <c r="AF58" i="36"/>
  <c r="C58" i="36" s="1"/>
  <c r="D58" i="36"/>
  <c r="D57" i="36"/>
  <c r="C57" i="36"/>
  <c r="D56" i="36"/>
  <c r="C56" i="36"/>
  <c r="D55" i="36"/>
  <c r="D54" i="36"/>
  <c r="D53" i="36"/>
  <c r="D52" i="36"/>
  <c r="AH51" i="36"/>
  <c r="AI51" i="36" s="1"/>
  <c r="AJ51" i="36" s="1"/>
  <c r="AK51" i="36" s="1"/>
  <c r="AL51" i="36" s="1"/>
  <c r="AM51" i="36" s="1"/>
  <c r="AN51" i="36" s="1"/>
  <c r="AO51" i="36" s="1"/>
  <c r="AP51" i="36" s="1"/>
  <c r="AQ51" i="36" s="1"/>
  <c r="AR51" i="36" s="1"/>
  <c r="V51" i="36"/>
  <c r="W51" i="36" s="1"/>
  <c r="X51" i="36" s="1"/>
  <c r="Y51" i="36" s="1"/>
  <c r="Z51" i="36" s="1"/>
  <c r="AA51" i="36" s="1"/>
  <c r="AB51" i="36" s="1"/>
  <c r="AC51" i="36" s="1"/>
  <c r="AD51" i="36" s="1"/>
  <c r="AE51" i="36" s="1"/>
  <c r="AF51" i="36" s="1"/>
  <c r="F51" i="36"/>
  <c r="G51" i="36" s="1"/>
  <c r="H51" i="36" s="1"/>
  <c r="AS49" i="36"/>
  <c r="AY47" i="36"/>
  <c r="AW47" i="36"/>
  <c r="AV47" i="36"/>
  <c r="AU47" i="36"/>
  <c r="AT47" i="36"/>
  <c r="AB47" i="36"/>
  <c r="AC42" i="36" s="1"/>
  <c r="AA47" i="36"/>
  <c r="Z47" i="36"/>
  <c r="U47" i="36"/>
  <c r="V42" i="36" s="1"/>
  <c r="AW46" i="36"/>
  <c r="AV46" i="36"/>
  <c r="AU46" i="36"/>
  <c r="T46" i="36"/>
  <c r="C46" i="36"/>
  <c r="C45" i="36"/>
  <c r="S44" i="36"/>
  <c r="S47" i="36" s="1"/>
  <c r="AR43" i="36"/>
  <c r="AQ43" i="36"/>
  <c r="AP43" i="36"/>
  <c r="AO43" i="36"/>
  <c r="AN43" i="36"/>
  <c r="AM43" i="36"/>
  <c r="AL43" i="36"/>
  <c r="AK43" i="36"/>
  <c r="AJ43" i="36"/>
  <c r="AD43" i="36"/>
  <c r="AC43" i="36"/>
  <c r="W43" i="36"/>
  <c r="V43" i="36"/>
  <c r="H43" i="36"/>
  <c r="E43" i="36"/>
  <c r="AT41" i="36"/>
  <c r="AH40" i="36"/>
  <c r="AI40" i="36" s="1"/>
  <c r="AJ40" i="36" s="1"/>
  <c r="AK40" i="36" s="1"/>
  <c r="AL40" i="36" s="1"/>
  <c r="AM40" i="36" s="1"/>
  <c r="AN40" i="36" s="1"/>
  <c r="AO40" i="36" s="1"/>
  <c r="AP40" i="36" s="1"/>
  <c r="AQ40" i="36" s="1"/>
  <c r="AR40" i="36" s="1"/>
  <c r="V40" i="36"/>
  <c r="W40" i="36" s="1"/>
  <c r="F40" i="36"/>
  <c r="G40" i="36" s="1"/>
  <c r="H40" i="36" s="1"/>
  <c r="AH30" i="36"/>
  <c r="AI30" i="36" s="1"/>
  <c r="AJ30" i="36" s="1"/>
  <c r="AK30" i="36" s="1"/>
  <c r="AL30" i="36" s="1"/>
  <c r="AM30" i="36" s="1"/>
  <c r="AN30" i="36" s="1"/>
  <c r="AO30" i="36" s="1"/>
  <c r="AP30" i="36" s="1"/>
  <c r="AQ30" i="36" s="1"/>
  <c r="AR30" i="36" s="1"/>
  <c r="V30" i="36"/>
  <c r="W30" i="36" s="1"/>
  <c r="X30" i="36" s="1"/>
  <c r="Y30" i="36" s="1"/>
  <c r="Z30" i="36" s="1"/>
  <c r="AA30" i="36" s="1"/>
  <c r="AB30" i="36" s="1"/>
  <c r="AC30" i="36" s="1"/>
  <c r="AD30" i="36" s="1"/>
  <c r="AE30" i="36" s="1"/>
  <c r="AF30" i="36" s="1"/>
  <c r="F30" i="36"/>
  <c r="G30" i="36" s="1"/>
  <c r="H30" i="36" s="1"/>
  <c r="D28" i="36"/>
  <c r="C28" i="36"/>
  <c r="AR27" i="36"/>
  <c r="AQ27" i="36"/>
  <c r="AP27" i="36"/>
  <c r="AO27" i="36"/>
  <c r="AN27" i="36"/>
  <c r="AM27" i="36"/>
  <c r="AL27" i="36"/>
  <c r="AK27" i="36"/>
  <c r="AJ27" i="36"/>
  <c r="AE27" i="36"/>
  <c r="AD27" i="36"/>
  <c r="AC27" i="36"/>
  <c r="AB27" i="36"/>
  <c r="Z27" i="36"/>
  <c r="Y27" i="36"/>
  <c r="X27" i="36"/>
  <c r="W27" i="36"/>
  <c r="V27" i="36"/>
  <c r="U27" i="36"/>
  <c r="H27" i="36"/>
  <c r="G27" i="36"/>
  <c r="E27" i="36"/>
  <c r="D26" i="36"/>
  <c r="C26" i="36"/>
  <c r="D25" i="36"/>
  <c r="C25" i="36"/>
  <c r="AI24" i="36"/>
  <c r="AH24" i="36"/>
  <c r="AG24" i="36"/>
  <c r="AF24" i="36"/>
  <c r="AA24" i="36"/>
  <c r="D23" i="36"/>
  <c r="C23" i="36"/>
  <c r="D22" i="36"/>
  <c r="C22" i="36"/>
  <c r="D21" i="36"/>
  <c r="C21" i="36"/>
  <c r="AH18" i="36"/>
  <c r="AI18" i="36" s="1"/>
  <c r="AJ18" i="36" s="1"/>
  <c r="AK18" i="36" s="1"/>
  <c r="AL18" i="36" s="1"/>
  <c r="AM18" i="36" s="1"/>
  <c r="AN18" i="36" s="1"/>
  <c r="AO18" i="36" s="1"/>
  <c r="AP18" i="36" s="1"/>
  <c r="AQ18" i="36" s="1"/>
  <c r="AR18" i="36" s="1"/>
  <c r="AS18" i="36" s="1"/>
  <c r="V18" i="36"/>
  <c r="W18" i="36" s="1"/>
  <c r="X18" i="36" s="1"/>
  <c r="Y18" i="36" s="1"/>
  <c r="Z18" i="36" s="1"/>
  <c r="AA18" i="36" s="1"/>
  <c r="AB18" i="36" s="1"/>
  <c r="AC18" i="36" s="1"/>
  <c r="AD18" i="36" s="1"/>
  <c r="AE18" i="36" s="1"/>
  <c r="AF18" i="36" s="1"/>
  <c r="F18" i="36"/>
  <c r="G18" i="36" s="1"/>
  <c r="H18" i="36" s="1"/>
  <c r="AE13" i="36"/>
  <c r="AF5" i="36" s="1"/>
  <c r="AD13" i="36"/>
  <c r="AC13" i="36"/>
  <c r="AB13" i="36"/>
  <c r="AA13" i="36"/>
  <c r="Z13" i="36"/>
  <c r="Y13" i="36"/>
  <c r="X13" i="36"/>
  <c r="W13" i="36"/>
  <c r="V13" i="36"/>
  <c r="U13" i="36"/>
  <c r="S13" i="36"/>
  <c r="T5" i="36" s="1"/>
  <c r="T13" i="36" s="1"/>
  <c r="C12" i="36"/>
  <c r="C11" i="36"/>
  <c r="AY10" i="36"/>
  <c r="AW10" i="36"/>
  <c r="AV10" i="36"/>
  <c r="AU10" i="36"/>
  <c r="AT10" i="36"/>
  <c r="C10" i="36"/>
  <c r="C9" i="36"/>
  <c r="E8" i="36"/>
  <c r="E13" i="36" s="1"/>
  <c r="AH3" i="36"/>
  <c r="AI3" i="36" s="1"/>
  <c r="AJ3" i="36" s="1"/>
  <c r="AK3" i="36" s="1"/>
  <c r="AL3" i="36" s="1"/>
  <c r="AM3" i="36" s="1"/>
  <c r="AN3" i="36" s="1"/>
  <c r="AO3" i="36" s="1"/>
  <c r="AP3" i="36" s="1"/>
  <c r="AQ3" i="36" s="1"/>
  <c r="AR3" i="36" s="1"/>
  <c r="V3" i="36"/>
  <c r="F3" i="36"/>
  <c r="G3" i="36" s="1"/>
  <c r="H3" i="36" s="1"/>
  <c r="AO48" i="36"/>
  <c r="AN80" i="36"/>
  <c r="AP14" i="36"/>
  <c r="AK48" i="36"/>
  <c r="G14" i="36"/>
  <c r="E14" i="36"/>
  <c r="AL48" i="36"/>
  <c r="H14" i="36"/>
  <c r="AM48" i="36"/>
  <c r="U48" i="36"/>
  <c r="S14" i="36"/>
  <c r="W48" i="36"/>
  <c r="V14" i="36"/>
  <c r="V80" i="36"/>
  <c r="AP80" i="36"/>
  <c r="AJ48" i="36"/>
  <c r="AM80" i="36"/>
  <c r="X80" i="36"/>
  <c r="AG14" i="36"/>
  <c r="AJ14" i="36"/>
  <c r="AG48" i="36"/>
  <c r="W80" i="36"/>
  <c r="F48" i="36"/>
  <c r="AH80" i="36"/>
  <c r="AN14" i="36"/>
  <c r="AQ14" i="36"/>
  <c r="AO80" i="36"/>
  <c r="AR14" i="36"/>
  <c r="AG80" i="36"/>
  <c r="S48" i="36"/>
  <c r="AI48" i="36"/>
  <c r="AR48" i="36"/>
  <c r="V48" i="36"/>
  <c r="E48" i="36"/>
  <c r="AI14" i="36"/>
  <c r="AK14" i="36"/>
  <c r="AJ80" i="36"/>
  <c r="U14" i="36"/>
  <c r="AL80" i="36"/>
  <c r="F14" i="36"/>
  <c r="AH48" i="36"/>
  <c r="AL14" i="36"/>
  <c r="T48" i="36"/>
  <c r="AQ80" i="36"/>
  <c r="AQ48" i="36"/>
  <c r="AK80" i="36"/>
  <c r="AN48" i="36"/>
  <c r="T14" i="36"/>
  <c r="AI80" i="36"/>
  <c r="G48" i="36"/>
  <c r="AH14" i="36"/>
  <c r="AO14" i="36"/>
  <c r="H48" i="36"/>
  <c r="AR80" i="36"/>
  <c r="AM14" i="36"/>
  <c r="AP48" i="36"/>
  <c r="Z80" i="39"/>
  <c r="Z14" i="39"/>
  <c r="Y83" i="37"/>
  <c r="AA83" i="37"/>
  <c r="AF83" i="37"/>
  <c r="AB50" i="37"/>
  <c r="AO14" i="37"/>
  <c r="AJ14" i="37"/>
  <c r="AP50" i="37"/>
  <c r="AQ14" i="37"/>
  <c r="AQ83" i="37"/>
  <c r="G83" i="37"/>
  <c r="AN50" i="37"/>
  <c r="AM14" i="37"/>
  <c r="AM83" i="37"/>
  <c r="AP83" i="37"/>
  <c r="X83" i="37"/>
  <c r="AM50" i="37"/>
  <c r="W83" i="37"/>
  <c r="AJ50" i="37"/>
  <c r="X50" i="37"/>
  <c r="G14" i="37"/>
  <c r="AC83" i="37"/>
  <c r="AR50" i="37"/>
  <c r="AH83" i="37"/>
  <c r="AD83" i="37"/>
  <c r="AO83" i="37"/>
  <c r="AL14" i="37"/>
  <c r="AG83" i="37"/>
  <c r="Z50" i="37"/>
  <c r="AK14" i="37"/>
  <c r="AP14" i="37"/>
  <c r="AI83" i="37"/>
  <c r="AK83" i="37"/>
  <c r="W50" i="37"/>
  <c r="AA50" i="37"/>
  <c r="F50" i="37"/>
  <c r="H50" i="37"/>
  <c r="AO50" i="37"/>
  <c r="E50" i="37"/>
  <c r="V50" i="37"/>
  <c r="G50" i="37"/>
  <c r="AL83" i="37"/>
  <c r="Z83" i="37"/>
  <c r="AJ83" i="37"/>
  <c r="F83" i="37"/>
  <c r="AQ50" i="37"/>
  <c r="AL50" i="37"/>
  <c r="V83" i="37"/>
  <c r="AI50" i="37"/>
  <c r="F14" i="37"/>
  <c r="W14" i="37"/>
  <c r="H14" i="37"/>
  <c r="AN14" i="37"/>
  <c r="AG50" i="37"/>
  <c r="V14" i="37"/>
  <c r="H83" i="37"/>
  <c r="AE83" i="37"/>
  <c r="AB83" i="37"/>
  <c r="AR83" i="37"/>
  <c r="AG14" i="37"/>
  <c r="AK50" i="37"/>
  <c r="AR14" i="37"/>
  <c r="E83" i="37"/>
  <c r="Y50" i="37"/>
  <c r="E14" i="37"/>
  <c r="AN83" i="37"/>
  <c r="AH50" i="37"/>
  <c r="AH14" i="37"/>
  <c r="AI14" i="37"/>
  <c r="Z14" i="38"/>
  <c r="AA83" i="38"/>
  <c r="AD14" i="44"/>
  <c r="AD14" i="43"/>
  <c r="AK51" i="46" l="1"/>
  <c r="AL44" i="46"/>
  <c r="AR79" i="46"/>
  <c r="AR82" i="46" s="1"/>
  <c r="AR84" i="46" s="1"/>
  <c r="AQ84" i="46"/>
  <c r="AG77" i="45"/>
  <c r="AG79" i="45" s="1"/>
  <c r="AF79" i="44"/>
  <c r="AG75" i="44" s="1"/>
  <c r="AC44" i="36"/>
  <c r="AC47" i="36" s="1"/>
  <c r="AD42" i="36" s="1"/>
  <c r="AD15" i="44"/>
  <c r="AE3" i="44"/>
  <c r="AF49" i="44"/>
  <c r="AG42" i="44"/>
  <c r="AD15" i="43"/>
  <c r="H13" i="43"/>
  <c r="H15" i="43" s="1"/>
  <c r="AN79" i="43"/>
  <c r="AN82" i="43" s="1"/>
  <c r="AM84" i="43"/>
  <c r="AE3" i="43"/>
  <c r="AH51" i="43"/>
  <c r="AI44" i="43"/>
  <c r="D60" i="36"/>
  <c r="C25" i="37"/>
  <c r="V47" i="36"/>
  <c r="W42" i="36" s="1"/>
  <c r="W47" i="36" s="1"/>
  <c r="D63" i="37"/>
  <c r="C19" i="37"/>
  <c r="C20" i="37"/>
  <c r="D27" i="37"/>
  <c r="D27" i="36"/>
  <c r="D57" i="37"/>
  <c r="D59" i="37"/>
  <c r="C62" i="37"/>
  <c r="AH64" i="37"/>
  <c r="D64" i="37"/>
  <c r="D28" i="37"/>
  <c r="D25" i="37"/>
  <c r="D20" i="37"/>
  <c r="D23" i="37"/>
  <c r="D60" i="37"/>
  <c r="D62" i="37"/>
  <c r="D19" i="37"/>
  <c r="C24" i="36"/>
  <c r="C21" i="37"/>
  <c r="C60" i="37"/>
  <c r="AH80" i="37"/>
  <c r="D58" i="37"/>
  <c r="C59" i="37"/>
  <c r="D21" i="37"/>
  <c r="C23" i="37"/>
  <c r="D55" i="37"/>
  <c r="Z15" i="39"/>
  <c r="Z81" i="39"/>
  <c r="AA3" i="39"/>
  <c r="F15" i="39"/>
  <c r="G5" i="39"/>
  <c r="AD75" i="39"/>
  <c r="AA73" i="39"/>
  <c r="AE44" i="39"/>
  <c r="AE47" i="39" s="1"/>
  <c r="AA84" i="38"/>
  <c r="Z15" i="38"/>
  <c r="AB78" i="38"/>
  <c r="AA3" i="38"/>
  <c r="G46" i="38"/>
  <c r="G49" i="38" s="1"/>
  <c r="AH46" i="38"/>
  <c r="AH49" i="38" s="1"/>
  <c r="AJ84" i="38"/>
  <c r="AK79" i="38"/>
  <c r="AK82" i="38" s="1"/>
  <c r="G8" i="38"/>
  <c r="G13" i="38" s="1"/>
  <c r="W51" i="37"/>
  <c r="V84" i="37"/>
  <c r="AA51" i="37"/>
  <c r="Z84" i="37"/>
  <c r="AB51" i="37"/>
  <c r="AA84" i="37"/>
  <c r="AE84" i="37"/>
  <c r="X51" i="37"/>
  <c r="W84" i="37"/>
  <c r="AG79" i="37"/>
  <c r="AF84" i="37"/>
  <c r="AC42" i="37"/>
  <c r="W15" i="37"/>
  <c r="E15" i="37"/>
  <c r="AH45" i="37"/>
  <c r="X3" i="37"/>
  <c r="F5" i="37"/>
  <c r="AF28" i="37"/>
  <c r="E51" i="37"/>
  <c r="F44" i="37"/>
  <c r="AY76" i="37"/>
  <c r="AY77" i="37"/>
  <c r="AX77" i="37"/>
  <c r="F79" i="37"/>
  <c r="F82" i="37" s="1"/>
  <c r="E84" i="37"/>
  <c r="X84" i="37"/>
  <c r="AB84" i="37"/>
  <c r="AG28" i="37"/>
  <c r="C27" i="37"/>
  <c r="AF46" i="37"/>
  <c r="AF49" i="37" s="1"/>
  <c r="Y51" i="37"/>
  <c r="AF64" i="37"/>
  <c r="AI64" i="37"/>
  <c r="AX76" i="37"/>
  <c r="Y84" i="37"/>
  <c r="AC84" i="37"/>
  <c r="V15" i="37"/>
  <c r="AH28" i="37"/>
  <c r="AG45" i="37"/>
  <c r="D56" i="37"/>
  <c r="C56" i="37"/>
  <c r="C58" i="37"/>
  <c r="C61" i="37"/>
  <c r="D61" i="37"/>
  <c r="AD84" i="37"/>
  <c r="V51" i="37"/>
  <c r="Z51" i="37"/>
  <c r="C57" i="37"/>
  <c r="AI45" i="37"/>
  <c r="AI28" i="37"/>
  <c r="AG80" i="37"/>
  <c r="C55" i="37"/>
  <c r="C63" i="37"/>
  <c r="AG64" i="37"/>
  <c r="U15" i="36"/>
  <c r="S15" i="36"/>
  <c r="V81" i="36"/>
  <c r="X40" i="36"/>
  <c r="E15" i="36"/>
  <c r="F5" i="36"/>
  <c r="V15" i="36"/>
  <c r="S49" i="36"/>
  <c r="W3" i="36"/>
  <c r="T42" i="36"/>
  <c r="T47" i="36" s="1"/>
  <c r="T49" i="36" s="1"/>
  <c r="Y73" i="36"/>
  <c r="D76" i="36"/>
  <c r="C76" i="36"/>
  <c r="AB75" i="36"/>
  <c r="T15" i="36"/>
  <c r="D24" i="36"/>
  <c r="W81" i="36"/>
  <c r="X75" i="36"/>
  <c r="U49" i="36"/>
  <c r="AI58" i="17"/>
  <c r="AI24" i="17"/>
  <c r="AI63" i="16"/>
  <c r="AI62" i="16"/>
  <c r="AI61" i="16"/>
  <c r="AI60" i="16"/>
  <c r="AI59" i="16"/>
  <c r="AI58" i="16"/>
  <c r="AI57" i="16"/>
  <c r="AI56" i="16"/>
  <c r="AI55" i="16"/>
  <c r="AI27" i="16"/>
  <c r="AI25" i="16"/>
  <c r="AI23" i="16"/>
  <c r="AI21" i="16"/>
  <c r="AI20" i="16"/>
  <c r="AI19" i="16"/>
  <c r="Y80" i="36"/>
  <c r="X48" i="36"/>
  <c r="W14" i="36"/>
  <c r="AA80" i="39"/>
  <c r="AA14" i="39"/>
  <c r="X14" i="37"/>
  <c r="AC50" i="37"/>
  <c r="AB83" i="38"/>
  <c r="AA14" i="38"/>
  <c r="AE14" i="44"/>
  <c r="AE14" i="43"/>
  <c r="AL46" i="46" l="1"/>
  <c r="AL49" i="46" s="1"/>
  <c r="AG81" i="45"/>
  <c r="AH75" i="45"/>
  <c r="AF81" i="44"/>
  <c r="AE15" i="44"/>
  <c r="AF3" i="44"/>
  <c r="AG77" i="44"/>
  <c r="AG79" i="44" s="1"/>
  <c r="AE15" i="43"/>
  <c r="AI46" i="43"/>
  <c r="AI49" i="43" s="1"/>
  <c r="AN84" i="43"/>
  <c r="AO79" i="43"/>
  <c r="AO82" i="43" s="1"/>
  <c r="AF3" i="43"/>
  <c r="V49" i="36"/>
  <c r="AG82" i="37"/>
  <c r="AG84" i="37" s="1"/>
  <c r="C64" i="37"/>
  <c r="AA81" i="39"/>
  <c r="AA15" i="39"/>
  <c r="AF42" i="39"/>
  <c r="AE49" i="39"/>
  <c r="AB73" i="39"/>
  <c r="AB3" i="39"/>
  <c r="AD77" i="39"/>
  <c r="G8" i="39"/>
  <c r="AA15" i="38"/>
  <c r="AB84" i="38"/>
  <c r="G51" i="38"/>
  <c r="H44" i="38"/>
  <c r="AI44" i="38"/>
  <c r="AH51" i="38"/>
  <c r="AB3" i="38"/>
  <c r="AL79" i="38"/>
  <c r="AL82" i="38" s="1"/>
  <c r="AK84" i="38"/>
  <c r="AC78" i="38"/>
  <c r="G15" i="38"/>
  <c r="H5" i="38"/>
  <c r="X15" i="37"/>
  <c r="AC51" i="37"/>
  <c r="AG44" i="37"/>
  <c r="C80" i="37"/>
  <c r="C82" i="37" s="1"/>
  <c r="D80" i="37"/>
  <c r="C45" i="37"/>
  <c r="D45" i="37"/>
  <c r="AY80" i="37"/>
  <c r="C28" i="37"/>
  <c r="F84" i="37"/>
  <c r="G79" i="37"/>
  <c r="G82" i="37" s="1"/>
  <c r="F46" i="37"/>
  <c r="F49" i="37" s="1"/>
  <c r="Y3" i="37"/>
  <c r="F8" i="37"/>
  <c r="F13" i="37" s="1"/>
  <c r="AD42" i="37"/>
  <c r="Y81" i="36"/>
  <c r="W15" i="36"/>
  <c r="X77" i="36"/>
  <c r="X79" i="36" s="1"/>
  <c r="X81" i="36" s="1"/>
  <c r="AB77" i="36"/>
  <c r="AB79" i="36" s="1"/>
  <c r="Z73" i="36"/>
  <c r="F8" i="36"/>
  <c r="W49" i="36"/>
  <c r="X42" i="36"/>
  <c r="X47" i="36" s="1"/>
  <c r="AD44" i="36"/>
  <c r="AD47" i="36" s="1"/>
  <c r="Y40" i="36"/>
  <c r="X3" i="36"/>
  <c r="C53" i="21"/>
  <c r="C44" i="21"/>
  <c r="C5" i="21"/>
  <c r="C9" i="21"/>
  <c r="C6" i="21"/>
  <c r="C21" i="21"/>
  <c r="C18" i="21"/>
  <c r="C15" i="21"/>
  <c r="C12" i="21"/>
  <c r="C4" i="21"/>
  <c r="AA79" i="35"/>
  <c r="AB75" i="35" s="1"/>
  <c r="AB77" i="35" s="1"/>
  <c r="AB79" i="35" s="1"/>
  <c r="Z79" i="35"/>
  <c r="Y79" i="35"/>
  <c r="W79" i="35"/>
  <c r="X75" i="35" s="1"/>
  <c r="X77" i="35" s="1"/>
  <c r="V79" i="35"/>
  <c r="C78" i="35"/>
  <c r="F77" i="35"/>
  <c r="U76" i="35"/>
  <c r="D76" i="35" s="1"/>
  <c r="H76" i="35"/>
  <c r="H77" i="35" s="1"/>
  <c r="E76" i="35"/>
  <c r="E77" i="35" s="1"/>
  <c r="AX75" i="35"/>
  <c r="AT74" i="35"/>
  <c r="AH73" i="35"/>
  <c r="AI73" i="35" s="1"/>
  <c r="AJ73" i="35" s="1"/>
  <c r="AK73" i="35" s="1"/>
  <c r="AL73" i="35" s="1"/>
  <c r="AM73" i="35" s="1"/>
  <c r="AN73" i="35" s="1"/>
  <c r="AO73" i="35" s="1"/>
  <c r="AP73" i="35" s="1"/>
  <c r="AQ73" i="35" s="1"/>
  <c r="AR73" i="35" s="1"/>
  <c r="V73" i="35"/>
  <c r="W73" i="35" s="1"/>
  <c r="X73" i="35" s="1"/>
  <c r="Y73" i="35" s="1"/>
  <c r="Z73" i="35" s="1"/>
  <c r="AA73" i="35" s="1"/>
  <c r="AB73" i="35" s="1"/>
  <c r="AC73" i="35" s="1"/>
  <c r="AD73" i="35" s="1"/>
  <c r="AE73" i="35" s="1"/>
  <c r="AF73" i="35" s="1"/>
  <c r="F73" i="35"/>
  <c r="G73" i="35" s="1"/>
  <c r="H73" i="35" s="1"/>
  <c r="AH63" i="35"/>
  <c r="AI63" i="35" s="1"/>
  <c r="AJ63" i="35" s="1"/>
  <c r="AK63" i="35" s="1"/>
  <c r="AL63" i="35" s="1"/>
  <c r="AM63" i="35" s="1"/>
  <c r="AN63" i="35" s="1"/>
  <c r="AO63" i="35" s="1"/>
  <c r="AP63" i="35" s="1"/>
  <c r="AQ63" i="35" s="1"/>
  <c r="AR63" i="35" s="1"/>
  <c r="V63" i="35"/>
  <c r="W63" i="35" s="1"/>
  <c r="X63" i="35" s="1"/>
  <c r="Y63" i="35" s="1"/>
  <c r="Z63" i="35" s="1"/>
  <c r="AA63" i="35" s="1"/>
  <c r="AB63" i="35" s="1"/>
  <c r="AC63" i="35" s="1"/>
  <c r="AD63" i="35" s="1"/>
  <c r="AE63" i="35" s="1"/>
  <c r="AF63" i="35" s="1"/>
  <c r="F63" i="35"/>
  <c r="G63" i="35" s="1"/>
  <c r="H63" i="35" s="1"/>
  <c r="D61" i="35"/>
  <c r="C61" i="35"/>
  <c r="AR60" i="35"/>
  <c r="AQ60" i="35"/>
  <c r="AO60" i="35"/>
  <c r="AN60" i="35"/>
  <c r="AM60" i="35"/>
  <c r="AL60" i="35"/>
  <c r="AK60" i="35"/>
  <c r="AJ60" i="35"/>
  <c r="AI60" i="35"/>
  <c r="AE60" i="35"/>
  <c r="AD60" i="35"/>
  <c r="AC60" i="35"/>
  <c r="AB60" i="35"/>
  <c r="AA60" i="35"/>
  <c r="Z60" i="35"/>
  <c r="Y60" i="35"/>
  <c r="X60" i="35"/>
  <c r="W60" i="35"/>
  <c r="V60" i="35"/>
  <c r="U60" i="35"/>
  <c r="H60" i="35"/>
  <c r="G60" i="35"/>
  <c r="F60" i="35"/>
  <c r="D59" i="35"/>
  <c r="C59" i="35"/>
  <c r="AS58" i="35"/>
  <c r="AH58" i="35"/>
  <c r="AG58" i="35"/>
  <c r="AF58" i="35"/>
  <c r="C58" i="35" s="1"/>
  <c r="D58" i="35"/>
  <c r="D57" i="35"/>
  <c r="C57" i="35"/>
  <c r="D56" i="35"/>
  <c r="C56" i="35"/>
  <c r="D55" i="35"/>
  <c r="D54" i="35"/>
  <c r="D53" i="35"/>
  <c r="D52" i="35"/>
  <c r="AH51" i="35"/>
  <c r="AI51" i="35" s="1"/>
  <c r="AJ51" i="35" s="1"/>
  <c r="AK51" i="35" s="1"/>
  <c r="AL51" i="35" s="1"/>
  <c r="AM51" i="35" s="1"/>
  <c r="AN51" i="35" s="1"/>
  <c r="AO51" i="35" s="1"/>
  <c r="AP51" i="35" s="1"/>
  <c r="AQ51" i="35" s="1"/>
  <c r="AR51" i="35" s="1"/>
  <c r="V51" i="35"/>
  <c r="W51" i="35" s="1"/>
  <c r="X51" i="35" s="1"/>
  <c r="Y51" i="35" s="1"/>
  <c r="Z51" i="35" s="1"/>
  <c r="AA51" i="35" s="1"/>
  <c r="AB51" i="35" s="1"/>
  <c r="AC51" i="35" s="1"/>
  <c r="AD51" i="35" s="1"/>
  <c r="AE51" i="35" s="1"/>
  <c r="AF51" i="35" s="1"/>
  <c r="F51" i="35"/>
  <c r="G51" i="35" s="1"/>
  <c r="H51" i="35" s="1"/>
  <c r="AS49" i="35"/>
  <c r="AY47" i="35"/>
  <c r="AW47" i="35"/>
  <c r="AV47" i="35"/>
  <c r="AU47" i="35"/>
  <c r="AT47" i="35"/>
  <c r="AB47" i="35"/>
  <c r="AC42" i="35" s="1"/>
  <c r="AA47" i="35"/>
  <c r="Z47" i="35"/>
  <c r="U47" i="35"/>
  <c r="V42" i="35" s="1"/>
  <c r="AW46" i="35"/>
  <c r="AV46" i="35"/>
  <c r="AU46" i="35"/>
  <c r="T46" i="35"/>
  <c r="C46" i="35"/>
  <c r="C45" i="35"/>
  <c r="S44" i="35"/>
  <c r="S47" i="35" s="1"/>
  <c r="AR43" i="35"/>
  <c r="AQ43" i="35"/>
  <c r="AP43" i="35"/>
  <c r="AO43" i="35"/>
  <c r="AN43" i="35"/>
  <c r="AM43" i="35"/>
  <c r="AL43" i="35"/>
  <c r="AK43" i="35"/>
  <c r="AJ43" i="35"/>
  <c r="AI43" i="35"/>
  <c r="AD43" i="35"/>
  <c r="AC43" i="35"/>
  <c r="W43" i="35"/>
  <c r="V43" i="35"/>
  <c r="H43" i="35"/>
  <c r="E43" i="35"/>
  <c r="AT41" i="35"/>
  <c r="AH40" i="35"/>
  <c r="AI40" i="35" s="1"/>
  <c r="AJ40" i="35" s="1"/>
  <c r="AK40" i="35" s="1"/>
  <c r="AL40" i="35" s="1"/>
  <c r="AM40" i="35" s="1"/>
  <c r="AN40" i="35" s="1"/>
  <c r="AO40" i="35" s="1"/>
  <c r="AP40" i="35" s="1"/>
  <c r="AQ40" i="35" s="1"/>
  <c r="AR40" i="35" s="1"/>
  <c r="V40" i="35"/>
  <c r="F40" i="35"/>
  <c r="G40" i="35" s="1"/>
  <c r="H40" i="35" s="1"/>
  <c r="AH30" i="35"/>
  <c r="AI30" i="35" s="1"/>
  <c r="AJ30" i="35" s="1"/>
  <c r="AK30" i="35" s="1"/>
  <c r="AL30" i="35" s="1"/>
  <c r="AM30" i="35" s="1"/>
  <c r="AN30" i="35" s="1"/>
  <c r="AO30" i="35" s="1"/>
  <c r="AP30" i="35" s="1"/>
  <c r="AQ30" i="35" s="1"/>
  <c r="AR30" i="35" s="1"/>
  <c r="V30" i="35"/>
  <c r="W30" i="35" s="1"/>
  <c r="X30" i="35" s="1"/>
  <c r="Y30" i="35" s="1"/>
  <c r="Z30" i="35" s="1"/>
  <c r="AA30" i="35" s="1"/>
  <c r="AB30" i="35" s="1"/>
  <c r="AC30" i="35" s="1"/>
  <c r="AD30" i="35" s="1"/>
  <c r="AE30" i="35" s="1"/>
  <c r="AF30" i="35" s="1"/>
  <c r="F30" i="35"/>
  <c r="G30" i="35" s="1"/>
  <c r="H30" i="35" s="1"/>
  <c r="D28" i="35"/>
  <c r="C28" i="35"/>
  <c r="AR27" i="35"/>
  <c r="AQ27" i="35"/>
  <c r="AP27" i="35"/>
  <c r="AO27" i="35"/>
  <c r="AN27" i="35"/>
  <c r="AM27" i="35"/>
  <c r="AL27" i="35"/>
  <c r="AK27" i="35"/>
  <c r="AJ27" i="35"/>
  <c r="AI27" i="35"/>
  <c r="AE27" i="35"/>
  <c r="AD27" i="35"/>
  <c r="AC27" i="35"/>
  <c r="AB27" i="35"/>
  <c r="Z27" i="35"/>
  <c r="Y27" i="35"/>
  <c r="X27" i="35"/>
  <c r="W27" i="35"/>
  <c r="V27" i="35"/>
  <c r="U27" i="35"/>
  <c r="H27" i="35"/>
  <c r="G27" i="35"/>
  <c r="E27" i="35"/>
  <c r="D26" i="35"/>
  <c r="C26" i="35"/>
  <c r="D25" i="35"/>
  <c r="C25" i="35"/>
  <c r="AH24" i="35"/>
  <c r="AG24" i="35"/>
  <c r="AF24" i="35"/>
  <c r="AA24" i="35"/>
  <c r="D23" i="35"/>
  <c r="C23" i="35"/>
  <c r="D22" i="35"/>
  <c r="C22" i="35"/>
  <c r="D21" i="35"/>
  <c r="C21" i="35"/>
  <c r="AH18" i="35"/>
  <c r="AI18" i="35" s="1"/>
  <c r="AJ18" i="35" s="1"/>
  <c r="AK18" i="35" s="1"/>
  <c r="AL18" i="35" s="1"/>
  <c r="AM18" i="35" s="1"/>
  <c r="AN18" i="35" s="1"/>
  <c r="AO18" i="35" s="1"/>
  <c r="AP18" i="35" s="1"/>
  <c r="AQ18" i="35" s="1"/>
  <c r="AR18" i="35" s="1"/>
  <c r="AS18" i="35" s="1"/>
  <c r="V18" i="35"/>
  <c r="W18" i="35" s="1"/>
  <c r="X18" i="35" s="1"/>
  <c r="Y18" i="35" s="1"/>
  <c r="Z18" i="35" s="1"/>
  <c r="AA18" i="35" s="1"/>
  <c r="AB18" i="35" s="1"/>
  <c r="AC18" i="35" s="1"/>
  <c r="AD18" i="35" s="1"/>
  <c r="AE18" i="35" s="1"/>
  <c r="AF18" i="35" s="1"/>
  <c r="F18" i="35"/>
  <c r="G18" i="35" s="1"/>
  <c r="H18" i="35" s="1"/>
  <c r="AE13" i="35"/>
  <c r="AD13" i="35"/>
  <c r="AC13" i="35"/>
  <c r="AB13" i="35"/>
  <c r="AA13" i="35"/>
  <c r="Z13" i="35"/>
  <c r="Y13" i="35"/>
  <c r="X13" i="35"/>
  <c r="W13" i="35"/>
  <c r="V13" i="35"/>
  <c r="U13" i="35"/>
  <c r="S13" i="35"/>
  <c r="T5" i="35" s="1"/>
  <c r="T13" i="35" s="1"/>
  <c r="C12" i="35"/>
  <c r="C11" i="35"/>
  <c r="AY10" i="35"/>
  <c r="AW10" i="35"/>
  <c r="AV10" i="35"/>
  <c r="AU10" i="35"/>
  <c r="AT10" i="35"/>
  <c r="C10" i="35"/>
  <c r="C9" i="35"/>
  <c r="E8" i="35"/>
  <c r="AH3" i="35"/>
  <c r="AI3" i="35" s="1"/>
  <c r="AJ3" i="35" s="1"/>
  <c r="AK3" i="35" s="1"/>
  <c r="AL3" i="35" s="1"/>
  <c r="AM3" i="35" s="1"/>
  <c r="AN3" i="35" s="1"/>
  <c r="AO3" i="35" s="1"/>
  <c r="AP3" i="35" s="1"/>
  <c r="AQ3" i="35" s="1"/>
  <c r="AR3" i="35" s="1"/>
  <c r="V3" i="35"/>
  <c r="F3" i="35"/>
  <c r="G3" i="35" s="1"/>
  <c r="H3" i="35" s="1"/>
  <c r="AE82" i="34"/>
  <c r="AD82" i="34"/>
  <c r="AC82" i="34"/>
  <c r="AB82" i="34"/>
  <c r="AA82" i="34"/>
  <c r="Z82" i="34"/>
  <c r="Y82" i="34"/>
  <c r="X82" i="34"/>
  <c r="W82" i="34"/>
  <c r="V82" i="34"/>
  <c r="C81" i="34"/>
  <c r="AR80" i="34"/>
  <c r="AQ80" i="34"/>
  <c r="AP80" i="34"/>
  <c r="AO80" i="34"/>
  <c r="AN80" i="34"/>
  <c r="AM80" i="34"/>
  <c r="AL80" i="34"/>
  <c r="AK80" i="34"/>
  <c r="AJ80" i="34"/>
  <c r="AI80" i="34"/>
  <c r="F80" i="34"/>
  <c r="E80" i="34"/>
  <c r="E82" i="34" s="1"/>
  <c r="F79" i="34" s="1"/>
  <c r="AH78" i="34"/>
  <c r="AI78" i="34" s="1"/>
  <c r="AJ78" i="34" s="1"/>
  <c r="AK78" i="34" s="1"/>
  <c r="AL78" i="34" s="1"/>
  <c r="AM78" i="34" s="1"/>
  <c r="AN78" i="34" s="1"/>
  <c r="AO78" i="34" s="1"/>
  <c r="AP78" i="34" s="1"/>
  <c r="AQ78" i="34" s="1"/>
  <c r="AR78" i="34" s="1"/>
  <c r="V78" i="34"/>
  <c r="W78" i="34" s="1"/>
  <c r="X78" i="34" s="1"/>
  <c r="Y78" i="34" s="1"/>
  <c r="Z78" i="34" s="1"/>
  <c r="F78" i="34"/>
  <c r="G78" i="34" s="1"/>
  <c r="H78" i="34" s="1"/>
  <c r="AT75" i="34"/>
  <c r="AH67" i="34"/>
  <c r="AI67" i="34" s="1"/>
  <c r="AJ67" i="34" s="1"/>
  <c r="AK67" i="34" s="1"/>
  <c r="AL67" i="34" s="1"/>
  <c r="AM67" i="34" s="1"/>
  <c r="AN67" i="34" s="1"/>
  <c r="AO67" i="34" s="1"/>
  <c r="AP67" i="34" s="1"/>
  <c r="AQ67" i="34" s="1"/>
  <c r="AR67" i="34" s="1"/>
  <c r="V67" i="34"/>
  <c r="W67" i="34" s="1"/>
  <c r="X67" i="34" s="1"/>
  <c r="Y67" i="34" s="1"/>
  <c r="Z67" i="34" s="1"/>
  <c r="AA67" i="34" s="1"/>
  <c r="AB67" i="34" s="1"/>
  <c r="AC67" i="34" s="1"/>
  <c r="AD67" i="34" s="1"/>
  <c r="AE67" i="34" s="1"/>
  <c r="AF67" i="34" s="1"/>
  <c r="F67" i="34"/>
  <c r="G67" i="34" s="1"/>
  <c r="H67" i="34" s="1"/>
  <c r="D65" i="34"/>
  <c r="C65" i="34"/>
  <c r="AR64" i="34"/>
  <c r="AQ64" i="34"/>
  <c r="AP64" i="34"/>
  <c r="AO64" i="34"/>
  <c r="AN64" i="34"/>
  <c r="AM64" i="34"/>
  <c r="AL64" i="34"/>
  <c r="AK64" i="34"/>
  <c r="AJ64" i="34"/>
  <c r="AI64" i="34"/>
  <c r="AE64" i="34"/>
  <c r="AD64" i="34"/>
  <c r="AC64" i="34"/>
  <c r="AB64" i="34"/>
  <c r="AA64" i="34"/>
  <c r="Z64" i="34"/>
  <c r="Y64" i="34"/>
  <c r="X64" i="34"/>
  <c r="W64" i="34"/>
  <c r="V64" i="34"/>
  <c r="H64" i="34"/>
  <c r="G64" i="34"/>
  <c r="F64" i="34"/>
  <c r="E64" i="34"/>
  <c r="AH63" i="34"/>
  <c r="AG63" i="34"/>
  <c r="AF63" i="34"/>
  <c r="AH62" i="34"/>
  <c r="AG62" i="34"/>
  <c r="AF62" i="34"/>
  <c r="AH61" i="34"/>
  <c r="AG61" i="34"/>
  <c r="AF61" i="34"/>
  <c r="AH60" i="34"/>
  <c r="AG60" i="34"/>
  <c r="AF60" i="34"/>
  <c r="AH59" i="34"/>
  <c r="AG59" i="34"/>
  <c r="AF59" i="34"/>
  <c r="AH58" i="34"/>
  <c r="AG58" i="34"/>
  <c r="AF58" i="34"/>
  <c r="AH57" i="34"/>
  <c r="AG57" i="34"/>
  <c r="AF57" i="34"/>
  <c r="AH56" i="34"/>
  <c r="AG56" i="34"/>
  <c r="AF56" i="34"/>
  <c r="AH55" i="34"/>
  <c r="AG55" i="34"/>
  <c r="AF55" i="34"/>
  <c r="AH54" i="34"/>
  <c r="AI54" i="34" s="1"/>
  <c r="AJ54" i="34" s="1"/>
  <c r="AK54" i="34" s="1"/>
  <c r="AL54" i="34" s="1"/>
  <c r="AM54" i="34" s="1"/>
  <c r="AN54" i="34" s="1"/>
  <c r="AO54" i="34" s="1"/>
  <c r="AP54" i="34" s="1"/>
  <c r="AQ54" i="34" s="1"/>
  <c r="AR54" i="34" s="1"/>
  <c r="V54" i="34"/>
  <c r="W54" i="34" s="1"/>
  <c r="X54" i="34" s="1"/>
  <c r="Y54" i="34" s="1"/>
  <c r="Z54" i="34" s="1"/>
  <c r="AA54" i="34" s="1"/>
  <c r="AB54" i="34" s="1"/>
  <c r="AC54" i="34" s="1"/>
  <c r="AD54" i="34" s="1"/>
  <c r="AE54" i="34" s="1"/>
  <c r="AF54" i="34" s="1"/>
  <c r="F54" i="34"/>
  <c r="G54" i="34" s="1"/>
  <c r="H54" i="34" s="1"/>
  <c r="AE49" i="34"/>
  <c r="AF44" i="34" s="1"/>
  <c r="AD49" i="34"/>
  <c r="AC49" i="34"/>
  <c r="AB49" i="34"/>
  <c r="AA49" i="34"/>
  <c r="Z49" i="34"/>
  <c r="Y49" i="34"/>
  <c r="X49" i="34"/>
  <c r="W49" i="34"/>
  <c r="V49" i="34"/>
  <c r="C48" i="34"/>
  <c r="C47" i="34"/>
  <c r="AY46" i="34"/>
  <c r="AX46" i="34"/>
  <c r="AW46" i="34"/>
  <c r="AV46" i="34"/>
  <c r="AU46" i="34"/>
  <c r="AT46" i="34"/>
  <c r="AW45" i="34"/>
  <c r="AV45" i="34"/>
  <c r="AU45" i="34"/>
  <c r="AR45" i="34"/>
  <c r="AQ45" i="34"/>
  <c r="AP45" i="34"/>
  <c r="AO45" i="34"/>
  <c r="AN45" i="34"/>
  <c r="AM45" i="34"/>
  <c r="AL45" i="34"/>
  <c r="AK45" i="34"/>
  <c r="AJ45" i="34"/>
  <c r="AI45" i="34"/>
  <c r="F45" i="34"/>
  <c r="E45" i="34"/>
  <c r="AH42" i="34"/>
  <c r="AI42" i="34" s="1"/>
  <c r="AJ42" i="34" s="1"/>
  <c r="AK42" i="34" s="1"/>
  <c r="AL42" i="34" s="1"/>
  <c r="AM42" i="34" s="1"/>
  <c r="AN42" i="34" s="1"/>
  <c r="AO42" i="34" s="1"/>
  <c r="AP42" i="34" s="1"/>
  <c r="AQ42" i="34" s="1"/>
  <c r="AR42" i="34" s="1"/>
  <c r="V42" i="34"/>
  <c r="W42" i="34" s="1"/>
  <c r="X42" i="34" s="1"/>
  <c r="Y42" i="34" s="1"/>
  <c r="Z42" i="34" s="1"/>
  <c r="AA42" i="34" s="1"/>
  <c r="AB42" i="34" s="1"/>
  <c r="AC42" i="34" s="1"/>
  <c r="AD42" i="34" s="1"/>
  <c r="AE42" i="34" s="1"/>
  <c r="AF42" i="34" s="1"/>
  <c r="F42" i="34"/>
  <c r="AT40" i="34"/>
  <c r="AH31" i="34"/>
  <c r="AI31" i="34" s="1"/>
  <c r="AJ31" i="34" s="1"/>
  <c r="AK31" i="34" s="1"/>
  <c r="AL31" i="34" s="1"/>
  <c r="AM31" i="34" s="1"/>
  <c r="AN31" i="34" s="1"/>
  <c r="AO31" i="34" s="1"/>
  <c r="AP31" i="34" s="1"/>
  <c r="AQ31" i="34" s="1"/>
  <c r="AR31" i="34" s="1"/>
  <c r="V31" i="34"/>
  <c r="W31" i="34" s="1"/>
  <c r="X31" i="34" s="1"/>
  <c r="Y31" i="34" s="1"/>
  <c r="Z31" i="34" s="1"/>
  <c r="AA31" i="34" s="1"/>
  <c r="AB31" i="34" s="1"/>
  <c r="AC31" i="34" s="1"/>
  <c r="AD31" i="34" s="1"/>
  <c r="AE31" i="34" s="1"/>
  <c r="AF31" i="34" s="1"/>
  <c r="F31" i="34"/>
  <c r="G31" i="34" s="1"/>
  <c r="H31" i="34" s="1"/>
  <c r="D29" i="34"/>
  <c r="C29" i="34"/>
  <c r="AR28" i="34"/>
  <c r="AQ28" i="34"/>
  <c r="AP28" i="34"/>
  <c r="AO28" i="34"/>
  <c r="AN28" i="34"/>
  <c r="AM28" i="34"/>
  <c r="AL28" i="34"/>
  <c r="AK28" i="34"/>
  <c r="AJ28" i="34"/>
  <c r="AI28" i="34"/>
  <c r="AE28" i="34"/>
  <c r="AD28" i="34"/>
  <c r="AC28" i="34"/>
  <c r="AB28" i="34"/>
  <c r="AA28" i="34"/>
  <c r="Z28" i="34"/>
  <c r="Y28" i="34"/>
  <c r="X28" i="34"/>
  <c r="W28" i="34"/>
  <c r="V28" i="34"/>
  <c r="H28" i="34"/>
  <c r="G28" i="34"/>
  <c r="F28" i="34"/>
  <c r="E28" i="34"/>
  <c r="AH27" i="34"/>
  <c r="AG27" i="34"/>
  <c r="AF27" i="34"/>
  <c r="D26" i="34"/>
  <c r="C26" i="34"/>
  <c r="AH25" i="34"/>
  <c r="AG25" i="34"/>
  <c r="AF25" i="34"/>
  <c r="D24" i="34"/>
  <c r="C24" i="34"/>
  <c r="AH23" i="34"/>
  <c r="AG23" i="34"/>
  <c r="AF23" i="34"/>
  <c r="AH21" i="34"/>
  <c r="AG21" i="34"/>
  <c r="AF21" i="34"/>
  <c r="AH20" i="34"/>
  <c r="AG20" i="34"/>
  <c r="AF20" i="34"/>
  <c r="AH19" i="34"/>
  <c r="AG19" i="34"/>
  <c r="AF19" i="34"/>
  <c r="AH18" i="34"/>
  <c r="AI18" i="34" s="1"/>
  <c r="AJ18" i="34" s="1"/>
  <c r="AK18" i="34" s="1"/>
  <c r="AL18" i="34" s="1"/>
  <c r="AM18" i="34" s="1"/>
  <c r="AN18" i="34" s="1"/>
  <c r="AO18" i="34" s="1"/>
  <c r="AP18" i="34" s="1"/>
  <c r="AQ18" i="34" s="1"/>
  <c r="AR18" i="34" s="1"/>
  <c r="V18" i="34"/>
  <c r="W18" i="34" s="1"/>
  <c r="X18" i="34" s="1"/>
  <c r="Y18" i="34" s="1"/>
  <c r="Z18" i="34" s="1"/>
  <c r="AA18" i="34" s="1"/>
  <c r="AB18" i="34" s="1"/>
  <c r="AC18" i="34" s="1"/>
  <c r="AD18" i="34" s="1"/>
  <c r="AE18" i="34" s="1"/>
  <c r="AF18" i="34" s="1"/>
  <c r="F18" i="34"/>
  <c r="G18" i="34" s="1"/>
  <c r="H18" i="34" s="1"/>
  <c r="AE13" i="34"/>
  <c r="AD13" i="34"/>
  <c r="AC13" i="34"/>
  <c r="AB13" i="34"/>
  <c r="AA13" i="34"/>
  <c r="Z13" i="34"/>
  <c r="Y13" i="34"/>
  <c r="X13" i="34"/>
  <c r="W13" i="34"/>
  <c r="V13" i="34"/>
  <c r="AF12" i="34"/>
  <c r="C12" i="34"/>
  <c r="C11" i="34"/>
  <c r="AY10" i="34"/>
  <c r="AW10" i="34"/>
  <c r="AV10" i="34"/>
  <c r="AU10" i="34"/>
  <c r="AT10" i="34"/>
  <c r="C10" i="34"/>
  <c r="C9" i="34"/>
  <c r="E8" i="34"/>
  <c r="AH3" i="34"/>
  <c r="AI3" i="34" s="1"/>
  <c r="AJ3" i="34" s="1"/>
  <c r="AK3" i="34" s="1"/>
  <c r="AL3" i="34" s="1"/>
  <c r="AM3" i="34" s="1"/>
  <c r="AN3" i="34" s="1"/>
  <c r="AO3" i="34" s="1"/>
  <c r="AP3" i="34" s="1"/>
  <c r="AQ3" i="34" s="1"/>
  <c r="AR3" i="34" s="1"/>
  <c r="V3" i="34"/>
  <c r="W3" i="34" s="1"/>
  <c r="X3" i="34" s="1"/>
  <c r="Y3" i="34" s="1"/>
  <c r="Z3" i="34" s="1"/>
  <c r="AA3" i="34" s="1"/>
  <c r="AB3" i="34" s="1"/>
  <c r="AC3" i="34" s="1"/>
  <c r="AD3" i="34" s="1"/>
  <c r="AE3" i="34" s="1"/>
  <c r="AF3" i="34" s="1"/>
  <c r="F3" i="34"/>
  <c r="G3" i="34" s="1"/>
  <c r="H3" i="34" s="1"/>
  <c r="V80" i="35"/>
  <c r="AH48" i="35"/>
  <c r="AP48" i="35"/>
  <c r="AI14" i="35"/>
  <c r="X80" i="35"/>
  <c r="AJ80" i="35"/>
  <c r="AO48" i="35"/>
  <c r="AI80" i="35"/>
  <c r="AK80" i="35"/>
  <c r="AM80" i="35"/>
  <c r="G14" i="35"/>
  <c r="AH14" i="35"/>
  <c r="Z80" i="35"/>
  <c r="AC80" i="35"/>
  <c r="AA80" i="35"/>
  <c r="AJ48" i="35"/>
  <c r="AR48" i="35"/>
  <c r="AD80" i="35"/>
  <c r="U14" i="35"/>
  <c r="S48" i="35"/>
  <c r="AG48" i="35"/>
  <c r="AM48" i="35"/>
  <c r="AH80" i="35"/>
  <c r="AO14" i="35"/>
  <c r="AB80" i="35"/>
  <c r="T14" i="35"/>
  <c r="AE80" i="35"/>
  <c r="AN14" i="35"/>
  <c r="AR80" i="35"/>
  <c r="AP80" i="35"/>
  <c r="AK48" i="35"/>
  <c r="H14" i="35"/>
  <c r="AP14" i="35"/>
  <c r="E14" i="35"/>
  <c r="E48" i="35"/>
  <c r="AN80" i="35"/>
  <c r="V48" i="35"/>
  <c r="AL80" i="35"/>
  <c r="Y80" i="35"/>
  <c r="AJ14" i="35"/>
  <c r="AM14" i="35"/>
  <c r="F14" i="35"/>
  <c r="W80" i="35"/>
  <c r="AK14" i="35"/>
  <c r="AG14" i="35"/>
  <c r="AL14" i="35"/>
  <c r="S14" i="35"/>
  <c r="AI48" i="35"/>
  <c r="F48" i="35"/>
  <c r="AF80" i="35"/>
  <c r="H48" i="35"/>
  <c r="U48" i="35"/>
  <c r="AN48" i="35"/>
  <c r="AQ14" i="35"/>
  <c r="AQ80" i="35"/>
  <c r="AQ48" i="35"/>
  <c r="AL48" i="35"/>
  <c r="G48" i="35"/>
  <c r="AG80" i="35"/>
  <c r="T48" i="35"/>
  <c r="V14" i="35"/>
  <c r="AO80" i="35"/>
  <c r="AR14" i="35"/>
  <c r="F83" i="34"/>
  <c r="AL50" i="34"/>
  <c r="G83" i="34"/>
  <c r="Z83" i="34"/>
  <c r="AD14" i="34"/>
  <c r="X83" i="34"/>
  <c r="W83" i="34"/>
  <c r="AR50" i="34"/>
  <c r="Y50" i="34"/>
  <c r="AL14" i="34"/>
  <c r="W14" i="34"/>
  <c r="W50" i="34"/>
  <c r="AJ14" i="34"/>
  <c r="AQ14" i="34"/>
  <c r="AK83" i="34"/>
  <c r="AG50" i="34"/>
  <c r="F50" i="34"/>
  <c r="AC14" i="34"/>
  <c r="AK14" i="34"/>
  <c r="AF50" i="34"/>
  <c r="AF14" i="34"/>
  <c r="AO14" i="34"/>
  <c r="AN50" i="34"/>
  <c r="H14" i="34"/>
  <c r="AO50" i="34"/>
  <c r="AO83" i="34"/>
  <c r="AN14" i="34"/>
  <c r="Z14" i="34"/>
  <c r="AG83" i="34"/>
  <c r="AB50" i="34"/>
  <c r="AG14" i="34"/>
  <c r="X14" i="34"/>
  <c r="F14" i="34"/>
  <c r="AI83" i="34"/>
  <c r="AE50" i="34"/>
  <c r="Y83" i="34"/>
  <c r="E14" i="34"/>
  <c r="AK50" i="34"/>
  <c r="AB14" i="34"/>
  <c r="AA50" i="34"/>
  <c r="AJ50" i="34"/>
  <c r="AL83" i="34"/>
  <c r="AM50" i="34"/>
  <c r="V83" i="34"/>
  <c r="H83" i="34"/>
  <c r="AH14" i="34"/>
  <c r="AE14" i="34"/>
  <c r="AQ50" i="34"/>
  <c r="AR83" i="34"/>
  <c r="E83" i="34"/>
  <c r="AJ83" i="34"/>
  <c r="Y14" i="34"/>
  <c r="AP50" i="34"/>
  <c r="V50" i="34"/>
  <c r="AI14" i="34"/>
  <c r="AM83" i="34"/>
  <c r="AI50" i="34"/>
  <c r="AQ83" i="34"/>
  <c r="AD50" i="34"/>
  <c r="X50" i="34"/>
  <c r="G14" i="34"/>
  <c r="AN83" i="34"/>
  <c r="AM14" i="34"/>
  <c r="AR14" i="34"/>
  <c r="AH50" i="34"/>
  <c r="Z50" i="34"/>
  <c r="V14" i="34"/>
  <c r="AC50" i="34"/>
  <c r="AA14" i="34"/>
  <c r="E50" i="34"/>
  <c r="AP14" i="34"/>
  <c r="AH83" i="34"/>
  <c r="AP83" i="34"/>
  <c r="Y48" i="36"/>
  <c r="X14" i="36"/>
  <c r="Z80" i="36"/>
  <c r="AB80" i="39"/>
  <c r="AB14" i="39"/>
  <c r="AD50" i="37"/>
  <c r="Y14" i="37"/>
  <c r="AB14" i="38"/>
  <c r="AC83" i="38"/>
  <c r="AF14" i="44"/>
  <c r="AF14" i="43"/>
  <c r="AM44" i="46" l="1"/>
  <c r="AL51" i="46"/>
  <c r="AH77" i="45"/>
  <c r="AH79" i="45" s="1"/>
  <c r="AG81" i="44"/>
  <c r="AH75" i="44"/>
  <c r="AI51" i="43"/>
  <c r="AJ44" i="43"/>
  <c r="AO84" i="43"/>
  <c r="AP79" i="43"/>
  <c r="AP82" i="43" s="1"/>
  <c r="C63" i="34"/>
  <c r="AH79" i="37"/>
  <c r="AH82" i="37" s="1"/>
  <c r="AH84" i="37" s="1"/>
  <c r="C20" i="34"/>
  <c r="F82" i="34"/>
  <c r="G79" i="34" s="1"/>
  <c r="G82" i="34" s="1"/>
  <c r="C58" i="34"/>
  <c r="AC44" i="35"/>
  <c r="AC47" i="35" s="1"/>
  <c r="V47" i="35"/>
  <c r="W42" i="35" s="1"/>
  <c r="W47" i="35" s="1"/>
  <c r="D27" i="35"/>
  <c r="D20" i="34"/>
  <c r="C60" i="34"/>
  <c r="D62" i="34"/>
  <c r="D28" i="34"/>
  <c r="D59" i="34"/>
  <c r="D61" i="34"/>
  <c r="C62" i="34"/>
  <c r="D63" i="34"/>
  <c r="D25" i="34"/>
  <c r="C25" i="34"/>
  <c r="X79" i="35"/>
  <c r="X81" i="35" s="1"/>
  <c r="D60" i="35"/>
  <c r="C76" i="35"/>
  <c r="C23" i="34"/>
  <c r="D21" i="34"/>
  <c r="C56" i="34"/>
  <c r="D27" i="34"/>
  <c r="D60" i="34"/>
  <c r="C61" i="34"/>
  <c r="C59" i="34"/>
  <c r="C24" i="35"/>
  <c r="D24" i="35"/>
  <c r="AB15" i="39"/>
  <c r="AB81" i="39"/>
  <c r="AC3" i="39"/>
  <c r="AC73" i="39"/>
  <c r="D77" i="39"/>
  <c r="AF44" i="39"/>
  <c r="AF47" i="39" s="1"/>
  <c r="G13" i="39"/>
  <c r="AD79" i="39"/>
  <c r="AC84" i="38"/>
  <c r="AB15" i="38"/>
  <c r="AL84" i="38"/>
  <c r="AM79" i="38"/>
  <c r="AM82" i="38" s="1"/>
  <c r="AD78" i="38"/>
  <c r="H46" i="38"/>
  <c r="H49" i="38" s="1"/>
  <c r="H51" i="38" s="1"/>
  <c r="H8" i="38"/>
  <c r="H13" i="38" s="1"/>
  <c r="H15" i="38" s="1"/>
  <c r="AI46" i="38"/>
  <c r="AI49" i="38" s="1"/>
  <c r="AC3" i="38"/>
  <c r="Y15" i="37"/>
  <c r="AD51" i="37"/>
  <c r="G44" i="37"/>
  <c r="F51" i="37"/>
  <c r="G5" i="37"/>
  <c r="F15" i="37"/>
  <c r="Z3" i="37"/>
  <c r="AG46" i="37"/>
  <c r="AE42" i="37"/>
  <c r="H79" i="37"/>
  <c r="H82" i="37" s="1"/>
  <c r="H84" i="37" s="1"/>
  <c r="G84" i="37"/>
  <c r="Z81" i="36"/>
  <c r="X15" i="36"/>
  <c r="AE42" i="36"/>
  <c r="AC75" i="36"/>
  <c r="Z40" i="36"/>
  <c r="AA73" i="36"/>
  <c r="X49" i="36"/>
  <c r="Y42" i="36"/>
  <c r="Y47" i="36" s="1"/>
  <c r="Y49" i="36" s="1"/>
  <c r="F13" i="36"/>
  <c r="Y3" i="36"/>
  <c r="V15" i="35"/>
  <c r="U49" i="35"/>
  <c r="U15" i="35"/>
  <c r="T15" i="35"/>
  <c r="V81" i="35"/>
  <c r="Z81" i="35"/>
  <c r="AB81" i="35"/>
  <c r="AC75" i="35"/>
  <c r="S49" i="35"/>
  <c r="T42" i="35"/>
  <c r="T47" i="35" s="1"/>
  <c r="T49" i="35" s="1"/>
  <c r="E13" i="35"/>
  <c r="W3" i="35"/>
  <c r="S15" i="35"/>
  <c r="W40" i="35"/>
  <c r="AF5" i="35"/>
  <c r="AX78" i="35"/>
  <c r="Y81" i="35"/>
  <c r="W81" i="35"/>
  <c r="AA81" i="35"/>
  <c r="AY78" i="35"/>
  <c r="AD15" i="34"/>
  <c r="V51" i="34"/>
  <c r="Y15" i="34"/>
  <c r="AC51" i="34"/>
  <c r="E84" i="34"/>
  <c r="Z15" i="34"/>
  <c r="V15" i="34"/>
  <c r="Y84" i="34"/>
  <c r="AD51" i="34"/>
  <c r="Z84" i="34"/>
  <c r="Z51" i="34"/>
  <c r="V84" i="34"/>
  <c r="W51" i="34"/>
  <c r="AA51" i="34"/>
  <c r="AC15" i="34"/>
  <c r="F84" i="34"/>
  <c r="AH45" i="34"/>
  <c r="G42" i="34"/>
  <c r="AH80" i="34"/>
  <c r="AH64" i="34"/>
  <c r="C55" i="34"/>
  <c r="D58" i="34"/>
  <c r="AF64" i="34"/>
  <c r="W15" i="34"/>
  <c r="AA15" i="34"/>
  <c r="AF5" i="34"/>
  <c r="AE15" i="34"/>
  <c r="AF28" i="34"/>
  <c r="D19" i="34"/>
  <c r="C21" i="34"/>
  <c r="AA78" i="34"/>
  <c r="W84" i="34"/>
  <c r="X15" i="34"/>
  <c r="AF46" i="34"/>
  <c r="C57" i="34"/>
  <c r="D57" i="34"/>
  <c r="Y51" i="34"/>
  <c r="AG64" i="34"/>
  <c r="AG80" i="34"/>
  <c r="D55" i="34"/>
  <c r="AB15" i="34"/>
  <c r="AG45" i="34"/>
  <c r="C19" i="34"/>
  <c r="AE51" i="34"/>
  <c r="E13" i="34"/>
  <c r="AH28" i="34"/>
  <c r="D23" i="34"/>
  <c r="C27" i="34"/>
  <c r="AG28" i="34"/>
  <c r="AF79" i="34"/>
  <c r="AF82" i="34" s="1"/>
  <c r="X84" i="34"/>
  <c r="E46" i="34"/>
  <c r="E49" i="34" s="1"/>
  <c r="X51" i="34"/>
  <c r="AB51" i="34"/>
  <c r="D56" i="34"/>
  <c r="D64" i="34"/>
  <c r="C44" i="19"/>
  <c r="W48" i="35"/>
  <c r="W14" i="35"/>
  <c r="G50" i="34"/>
  <c r="AA83" i="34"/>
  <c r="Y14" i="36"/>
  <c r="Z48" i="36"/>
  <c r="AA80" i="36"/>
  <c r="AC80" i="39"/>
  <c r="AC14" i="39"/>
  <c r="Z14" i="37"/>
  <c r="AE50" i="37"/>
  <c r="AD83" i="38"/>
  <c r="AC14" i="38"/>
  <c r="AM46" i="46" l="1"/>
  <c r="AM49" i="46" s="1"/>
  <c r="AH81" i="45"/>
  <c r="AI75" i="45"/>
  <c r="AI79" i="37"/>
  <c r="AI82" i="37" s="1"/>
  <c r="AH77" i="44"/>
  <c r="AH79" i="44" s="1"/>
  <c r="AP84" i="43"/>
  <c r="AQ79" i="43"/>
  <c r="AQ82" i="43" s="1"/>
  <c r="AJ46" i="43"/>
  <c r="AJ49" i="43" s="1"/>
  <c r="V49" i="35"/>
  <c r="AC81" i="39"/>
  <c r="AC15" i="39"/>
  <c r="AE75" i="39"/>
  <c r="AD73" i="39"/>
  <c r="AD3" i="39"/>
  <c r="AG42" i="39"/>
  <c r="AF49" i="39"/>
  <c r="G15" i="39"/>
  <c r="H5" i="39"/>
  <c r="AC15" i="38"/>
  <c r="AD84" i="38"/>
  <c r="AI51" i="38"/>
  <c r="AJ44" i="38"/>
  <c r="AD3" i="38"/>
  <c r="AE78" i="38"/>
  <c r="AM84" i="38"/>
  <c r="AN79" i="38"/>
  <c r="AN82" i="38" s="1"/>
  <c r="AE51" i="37"/>
  <c r="Z15" i="37"/>
  <c r="AF42" i="37"/>
  <c r="AX44" i="37" s="1"/>
  <c r="AA3" i="37"/>
  <c r="G46" i="37"/>
  <c r="G49" i="37" s="1"/>
  <c r="AI84" i="37"/>
  <c r="AJ79" i="37"/>
  <c r="AJ82" i="37" s="1"/>
  <c r="AG49" i="37"/>
  <c r="G8" i="37"/>
  <c r="Z49" i="36"/>
  <c r="Y15" i="36"/>
  <c r="AA81" i="36"/>
  <c r="AE44" i="36"/>
  <c r="AA40" i="36"/>
  <c r="Z3" i="36"/>
  <c r="F15" i="36"/>
  <c r="G5" i="36"/>
  <c r="AB73" i="36"/>
  <c r="AC77" i="36"/>
  <c r="W15" i="35"/>
  <c r="X42" i="35"/>
  <c r="X47" i="35" s="1"/>
  <c r="W49" i="35"/>
  <c r="AC77" i="35"/>
  <c r="AC79" i="35" s="1"/>
  <c r="E15" i="35"/>
  <c r="F5" i="35"/>
  <c r="X40" i="35"/>
  <c r="X3" i="35"/>
  <c r="AD42" i="35"/>
  <c r="AA84" i="34"/>
  <c r="F44" i="34"/>
  <c r="E51" i="34"/>
  <c r="AB78" i="34"/>
  <c r="H42" i="34"/>
  <c r="AY41" i="34" s="1"/>
  <c r="D80" i="34"/>
  <c r="C80" i="34"/>
  <c r="C82" i="34" s="1"/>
  <c r="C45" i="34"/>
  <c r="D45" i="34"/>
  <c r="C64" i="34"/>
  <c r="C28" i="34"/>
  <c r="AG79" i="34"/>
  <c r="AG82" i="34" s="1"/>
  <c r="E15" i="34"/>
  <c r="F5" i="34"/>
  <c r="AF49" i="34"/>
  <c r="G84" i="34"/>
  <c r="H79" i="34"/>
  <c r="H82" i="34" s="1"/>
  <c r="H84" i="34" s="1"/>
  <c r="C5" i="19"/>
  <c r="X14" i="35"/>
  <c r="X48" i="35"/>
  <c r="H50" i="34"/>
  <c r="AB83" i="34"/>
  <c r="Z14" i="36"/>
  <c r="AB80" i="36"/>
  <c r="AA48" i="36"/>
  <c r="AD80" i="39"/>
  <c r="AD14" i="39"/>
  <c r="AA14" i="37"/>
  <c r="AF50" i="37"/>
  <c r="AD14" i="38"/>
  <c r="AE83" i="38"/>
  <c r="AX42" i="46" l="1"/>
  <c r="AY43" i="46"/>
  <c r="AX43" i="46"/>
  <c r="AN44" i="46"/>
  <c r="AM51" i="46"/>
  <c r="AI77" i="45"/>
  <c r="AI79" i="45" s="1"/>
  <c r="AI75" i="44"/>
  <c r="AH81" i="44"/>
  <c r="AJ51" i="43"/>
  <c r="AK44" i="43"/>
  <c r="AR79" i="43"/>
  <c r="AR82" i="43" s="1"/>
  <c r="AR84" i="43" s="1"/>
  <c r="AQ84" i="43"/>
  <c r="AD15" i="39"/>
  <c r="AD81" i="39"/>
  <c r="H8" i="39"/>
  <c r="AE3" i="39"/>
  <c r="AE77" i="39"/>
  <c r="AE73" i="39"/>
  <c r="AE84" i="38"/>
  <c r="AD15" i="38"/>
  <c r="AN84" i="38"/>
  <c r="AO79" i="38"/>
  <c r="AO82" i="38" s="1"/>
  <c r="AJ46" i="38"/>
  <c r="AJ49" i="38" s="1"/>
  <c r="AF78" i="38"/>
  <c r="AY77" i="38" s="1"/>
  <c r="AE3" i="38"/>
  <c r="AA15" i="37"/>
  <c r="AF51" i="37"/>
  <c r="G51" i="37"/>
  <c r="H44" i="37"/>
  <c r="AK79" i="37"/>
  <c r="AK82" i="37" s="1"/>
  <c r="AJ84" i="37"/>
  <c r="G13" i="37"/>
  <c r="AH44" i="37"/>
  <c r="AG51" i="37"/>
  <c r="AB3" i="37"/>
  <c r="AY44" i="37"/>
  <c r="AY41" i="37"/>
  <c r="AA49" i="36"/>
  <c r="AB81" i="36"/>
  <c r="Z15" i="36"/>
  <c r="G8" i="36"/>
  <c r="AB40" i="36"/>
  <c r="AC79" i="36"/>
  <c r="AE47" i="36"/>
  <c r="AC73" i="36"/>
  <c r="AA3" i="36"/>
  <c r="X15" i="35"/>
  <c r="AC81" i="35"/>
  <c r="AD75" i="35"/>
  <c r="AD44" i="35"/>
  <c r="AD47" i="35" s="1"/>
  <c r="Y3" i="35"/>
  <c r="F8" i="35"/>
  <c r="F13" i="35" s="1"/>
  <c r="Y40" i="35"/>
  <c r="X49" i="35"/>
  <c r="Y42" i="35"/>
  <c r="Y47" i="35" s="1"/>
  <c r="AB84" i="34"/>
  <c r="AY44" i="34"/>
  <c r="AF51" i="34"/>
  <c r="AG44" i="34"/>
  <c r="AG84" i="34"/>
  <c r="AH79" i="34"/>
  <c r="AH82" i="34" s="1"/>
  <c r="AX44" i="34"/>
  <c r="F46" i="34"/>
  <c r="F49" i="34" s="1"/>
  <c r="AC78" i="34"/>
  <c r="F8" i="34"/>
  <c r="F13" i="34" s="1"/>
  <c r="AH23" i="16"/>
  <c r="G38" i="26"/>
  <c r="G38" i="25"/>
  <c r="G38" i="24"/>
  <c r="G38" i="22"/>
  <c r="G38" i="23"/>
  <c r="G38" i="20"/>
  <c r="I38" i="20" s="1"/>
  <c r="G38" i="21"/>
  <c r="G38" i="19"/>
  <c r="Y48" i="35"/>
  <c r="Y14" i="35"/>
  <c r="AC83" i="34"/>
  <c r="AB48" i="36"/>
  <c r="AC80" i="36"/>
  <c r="AA14" i="36"/>
  <c r="AE80" i="39"/>
  <c r="AE14" i="39"/>
  <c r="AB14" i="37"/>
  <c r="AF83" i="38"/>
  <c r="AE14" i="38"/>
  <c r="AN46" i="46" l="1"/>
  <c r="AN49" i="46" s="1"/>
  <c r="AY47" i="46"/>
  <c r="AI81" i="45"/>
  <c r="AJ75" i="45"/>
  <c r="AI77" i="44"/>
  <c r="AI79" i="44" s="1"/>
  <c r="AK46" i="43"/>
  <c r="AE15" i="39"/>
  <c r="AF3" i="39"/>
  <c r="AF73" i="39"/>
  <c r="AE79" i="39"/>
  <c r="H13" i="39"/>
  <c r="H15" i="39" s="1"/>
  <c r="AE15" i="38"/>
  <c r="AF84" i="38"/>
  <c r="AP79" i="38"/>
  <c r="AP82" i="38" s="1"/>
  <c r="AO84" i="38"/>
  <c r="AJ51" i="38"/>
  <c r="AK44" i="38"/>
  <c r="AF3" i="38"/>
  <c r="AX43" i="38"/>
  <c r="AX42" i="38"/>
  <c r="AY43" i="38"/>
  <c r="AX77" i="38"/>
  <c r="AY76" i="38"/>
  <c r="AX76" i="38"/>
  <c r="AB15" i="37"/>
  <c r="H46" i="37"/>
  <c r="H49" i="37" s="1"/>
  <c r="H51" i="37" s="1"/>
  <c r="AH46" i="37"/>
  <c r="AH49" i="37" s="1"/>
  <c r="H5" i="37"/>
  <c r="G15" i="37"/>
  <c r="AK84" i="37"/>
  <c r="AL79" i="37"/>
  <c r="AL82" i="37" s="1"/>
  <c r="AC3" i="37"/>
  <c r="AB49" i="36"/>
  <c r="AA15" i="36"/>
  <c r="AF42" i="36"/>
  <c r="AC40" i="36"/>
  <c r="AB3" i="36"/>
  <c r="AD73" i="36"/>
  <c r="AC81" i="36"/>
  <c r="AD75" i="36"/>
  <c r="G13" i="36"/>
  <c r="Y15" i="35"/>
  <c r="Y49" i="35"/>
  <c r="AD77" i="35"/>
  <c r="AD79" i="35" s="1"/>
  <c r="F15" i="35"/>
  <c r="G5" i="35"/>
  <c r="Z3" i="35"/>
  <c r="Z40" i="35"/>
  <c r="AE42" i="35"/>
  <c r="AC84" i="34"/>
  <c r="F51" i="34"/>
  <c r="G44" i="34"/>
  <c r="AG46" i="34"/>
  <c r="AD78" i="34"/>
  <c r="AI79" i="34"/>
  <c r="AI82" i="34" s="1"/>
  <c r="AH84" i="34"/>
  <c r="F15" i="34"/>
  <c r="G5" i="34"/>
  <c r="C53" i="19"/>
  <c r="C9" i="19"/>
  <c r="C15" i="19"/>
  <c r="C12" i="19"/>
  <c r="C18" i="19"/>
  <c r="C21" i="19"/>
  <c r="C6" i="19"/>
  <c r="Z48" i="35"/>
  <c r="Z14" i="35"/>
  <c r="AD83" i="34"/>
  <c r="AC48" i="36"/>
  <c r="AB14" i="36"/>
  <c r="AD80" i="36"/>
  <c r="AF14" i="39"/>
  <c r="AF80" i="39"/>
  <c r="AC14" i="37"/>
  <c r="AF14" i="38"/>
  <c r="AN51" i="46" l="1"/>
  <c r="AO44" i="46"/>
  <c r="AJ77" i="45"/>
  <c r="AJ79" i="45" s="1"/>
  <c r="AI81" i="44"/>
  <c r="AJ75" i="44"/>
  <c r="AX43" i="43"/>
  <c r="AX42" i="43"/>
  <c r="AY43" i="43"/>
  <c r="AK49" i="43"/>
  <c r="AE81" i="39"/>
  <c r="AF75" i="39"/>
  <c r="AX78" i="39"/>
  <c r="AY78" i="39"/>
  <c r="AY47" i="38"/>
  <c r="AP84" i="38"/>
  <c r="AQ79" i="38"/>
  <c r="AQ82" i="38" s="1"/>
  <c r="AK46" i="38"/>
  <c r="AY80" i="38"/>
  <c r="AC15" i="37"/>
  <c r="AD3" i="37"/>
  <c r="H8" i="37"/>
  <c r="H13" i="37" s="1"/>
  <c r="H15" i="37" s="1"/>
  <c r="AM79" i="37"/>
  <c r="AM82" i="37" s="1"/>
  <c r="AL84" i="37"/>
  <c r="AH51" i="37"/>
  <c r="AI44" i="37"/>
  <c r="AC49" i="36"/>
  <c r="AB15" i="36"/>
  <c r="AD77" i="36"/>
  <c r="AD40" i="36"/>
  <c r="G15" i="36"/>
  <c r="H5" i="36"/>
  <c r="AE73" i="36"/>
  <c r="AC3" i="36"/>
  <c r="AF44" i="36"/>
  <c r="Z49" i="35"/>
  <c r="Z15" i="35"/>
  <c r="G8" i="35"/>
  <c r="AA40" i="35"/>
  <c r="AA3" i="35"/>
  <c r="AD81" i="35"/>
  <c r="AE75" i="35"/>
  <c r="AE44" i="35"/>
  <c r="D77" i="35"/>
  <c r="AD84" i="34"/>
  <c r="AE78" i="34"/>
  <c r="AJ79" i="34"/>
  <c r="AJ82" i="34" s="1"/>
  <c r="AI84" i="34"/>
  <c r="G46" i="34"/>
  <c r="G49" i="34" s="1"/>
  <c r="G8" i="34"/>
  <c r="AG49" i="34"/>
  <c r="AH58" i="17"/>
  <c r="AH24" i="17"/>
  <c r="AH63" i="16"/>
  <c r="AH62" i="16"/>
  <c r="AH61" i="16"/>
  <c r="AH60" i="16"/>
  <c r="AH59" i="16"/>
  <c r="AH58" i="16"/>
  <c r="AH57" i="16"/>
  <c r="AH56" i="16"/>
  <c r="AH55" i="16"/>
  <c r="AG23" i="16"/>
  <c r="AH27" i="16"/>
  <c r="AH25" i="16"/>
  <c r="AH21" i="16"/>
  <c r="AH20" i="16"/>
  <c r="AH19" i="16"/>
  <c r="AA14" i="35"/>
  <c r="AA48" i="35"/>
  <c r="AE83" i="34"/>
  <c r="AE80" i="36"/>
  <c r="AD48" i="36"/>
  <c r="AC14" i="36"/>
  <c r="AD14" i="37"/>
  <c r="AO46" i="46" l="1"/>
  <c r="AO49" i="46" s="1"/>
  <c r="AJ81" i="45"/>
  <c r="AK75" i="45"/>
  <c r="AJ77" i="44"/>
  <c r="AJ79" i="44" s="1"/>
  <c r="AL44" i="43"/>
  <c r="AK51" i="43"/>
  <c r="AY47" i="43"/>
  <c r="AF77" i="39"/>
  <c r="C77" i="39" s="1"/>
  <c r="AQ84" i="38"/>
  <c r="AR79" i="38"/>
  <c r="AR82" i="38" s="1"/>
  <c r="AR84" i="38" s="1"/>
  <c r="AK49" i="38"/>
  <c r="AD15" i="37"/>
  <c r="AE3" i="37"/>
  <c r="AN79" i="37"/>
  <c r="AN82" i="37" s="1"/>
  <c r="AM84" i="37"/>
  <c r="AI46" i="37"/>
  <c r="AI49" i="37" s="1"/>
  <c r="AC15" i="36"/>
  <c r="AD49" i="36"/>
  <c r="AF73" i="36"/>
  <c r="AX78" i="36" s="1"/>
  <c r="D77" i="36"/>
  <c r="AD3" i="36"/>
  <c r="H8" i="36"/>
  <c r="AE40" i="36"/>
  <c r="AD79" i="36"/>
  <c r="AF47" i="36"/>
  <c r="AA49" i="35"/>
  <c r="AA15" i="35"/>
  <c r="G13" i="35"/>
  <c r="AB40" i="35"/>
  <c r="AE77" i="35"/>
  <c r="AE79" i="35" s="1"/>
  <c r="AE47" i="35"/>
  <c r="AB3" i="35"/>
  <c r="AE84" i="34"/>
  <c r="G51" i="34"/>
  <c r="H44" i="34"/>
  <c r="G13" i="34"/>
  <c r="AF78" i="34"/>
  <c r="AH44" i="34"/>
  <c r="AG51" i="34"/>
  <c r="AJ84" i="34"/>
  <c r="AK79" i="34"/>
  <c r="AK82" i="34" s="1"/>
  <c r="G29" i="18"/>
  <c r="H29" i="18"/>
  <c r="I29" i="18"/>
  <c r="K29" i="18"/>
  <c r="L29" i="18"/>
  <c r="M29" i="18"/>
  <c r="G30" i="18"/>
  <c r="H30" i="18"/>
  <c r="I30" i="18"/>
  <c r="K30" i="18"/>
  <c r="L30" i="18"/>
  <c r="M30" i="18"/>
  <c r="AB14" i="35"/>
  <c r="AB48" i="35"/>
  <c r="AF83" i="34"/>
  <c r="AE48" i="36"/>
  <c r="AF80" i="36"/>
  <c r="AD14" i="36"/>
  <c r="AE14" i="37"/>
  <c r="AO51" i="46" l="1"/>
  <c r="AP44" i="46"/>
  <c r="AK77" i="45"/>
  <c r="AK79" i="45" s="1"/>
  <c r="AJ81" i="44"/>
  <c r="AK75" i="44"/>
  <c r="AL46" i="43"/>
  <c r="AL49" i="43" s="1"/>
  <c r="AF79" i="39"/>
  <c r="AK51" i="38"/>
  <c r="AL44" i="38"/>
  <c r="AE15" i="37"/>
  <c r="AO79" i="37"/>
  <c r="AO82" i="37" s="1"/>
  <c r="AN84" i="37"/>
  <c r="AF3" i="37"/>
  <c r="AI51" i="37"/>
  <c r="AJ44" i="37"/>
  <c r="AX43" i="37"/>
  <c r="AX42" i="37"/>
  <c r="AY43" i="37"/>
  <c r="AD15" i="36"/>
  <c r="AE49" i="36"/>
  <c r="AD81" i="36"/>
  <c r="AE75" i="36"/>
  <c r="AG42" i="36"/>
  <c r="H13" i="36"/>
  <c r="H15" i="36" s="1"/>
  <c r="AE3" i="36"/>
  <c r="AY78" i="36"/>
  <c r="AF40" i="36"/>
  <c r="AB15" i="35"/>
  <c r="AB49" i="35"/>
  <c r="AE81" i="35"/>
  <c r="AF75" i="35"/>
  <c r="AF42" i="35"/>
  <c r="AC3" i="35"/>
  <c r="AC40" i="35"/>
  <c r="G15" i="35"/>
  <c r="H5" i="35"/>
  <c r="AF84" i="34"/>
  <c r="AX76" i="34"/>
  <c r="AY77" i="34"/>
  <c r="AX77" i="34"/>
  <c r="AY76" i="34"/>
  <c r="H46" i="34"/>
  <c r="H49" i="34" s="1"/>
  <c r="H51" i="34" s="1"/>
  <c r="AK84" i="34"/>
  <c r="AL79" i="34"/>
  <c r="AL82" i="34" s="1"/>
  <c r="G15" i="34"/>
  <c r="H5" i="34"/>
  <c r="AH46" i="34"/>
  <c r="AH49" i="34" s="1"/>
  <c r="AX75" i="17"/>
  <c r="G38" i="5"/>
  <c r="C53" i="5"/>
  <c r="C44" i="5"/>
  <c r="C5" i="5"/>
  <c r="C9" i="5"/>
  <c r="C6" i="5"/>
  <c r="C15" i="5"/>
  <c r="C12" i="5"/>
  <c r="C18" i="5"/>
  <c r="C21" i="5"/>
  <c r="AC14" i="35"/>
  <c r="AC48" i="35"/>
  <c r="AF48" i="36"/>
  <c r="AE14" i="36"/>
  <c r="AF14" i="37"/>
  <c r="AP46" i="46" l="1"/>
  <c r="D46" i="46" s="1"/>
  <c r="AK81" i="45"/>
  <c r="AL75" i="45"/>
  <c r="AK77" i="44"/>
  <c r="AK79" i="44" s="1"/>
  <c r="AM44" i="43"/>
  <c r="AL51" i="43"/>
  <c r="AF81" i="39"/>
  <c r="AG75" i="39"/>
  <c r="AL46" i="38"/>
  <c r="AL49" i="38" s="1"/>
  <c r="AY47" i="37"/>
  <c r="AJ46" i="37"/>
  <c r="AJ49" i="37" s="1"/>
  <c r="AO84" i="37"/>
  <c r="AP79" i="37"/>
  <c r="AP82" i="37" s="1"/>
  <c r="AE15" i="36"/>
  <c r="AF49" i="36"/>
  <c r="AF3" i="36"/>
  <c r="AE77" i="36"/>
  <c r="AC49" i="35"/>
  <c r="AC15" i="35"/>
  <c r="AD40" i="35"/>
  <c r="AD3" i="35"/>
  <c r="AF77" i="35"/>
  <c r="C77" i="35" s="1"/>
  <c r="H8" i="35"/>
  <c r="H13" i="35" s="1"/>
  <c r="H15" i="35" s="1"/>
  <c r="AF44" i="35"/>
  <c r="AX43" i="34"/>
  <c r="AX42" i="34"/>
  <c r="AY43" i="34"/>
  <c r="H8" i="34"/>
  <c r="H13" i="34" s="1"/>
  <c r="H15" i="34" s="1"/>
  <c r="AI44" i="34"/>
  <c r="AH51" i="34"/>
  <c r="AY80" i="34"/>
  <c r="AL84" i="34"/>
  <c r="AM79" i="34"/>
  <c r="AM82" i="34" s="1"/>
  <c r="AG58" i="17"/>
  <c r="AN43" i="17"/>
  <c r="AO43" i="17"/>
  <c r="AP43" i="17"/>
  <c r="AQ43" i="17"/>
  <c r="AR43" i="17"/>
  <c r="AG24" i="17"/>
  <c r="AG56" i="16"/>
  <c r="AG57" i="16"/>
  <c r="AG58" i="16"/>
  <c r="AG59" i="16"/>
  <c r="AG60" i="16"/>
  <c r="AG61" i="16"/>
  <c r="AG62" i="16"/>
  <c r="AG63" i="16"/>
  <c r="AQ28" i="16"/>
  <c r="AG20" i="16"/>
  <c r="AG21" i="16"/>
  <c r="AG25" i="16"/>
  <c r="AG27" i="16"/>
  <c r="I38" i="26"/>
  <c r="I24" i="26"/>
  <c r="I38" i="25"/>
  <c r="I24" i="25"/>
  <c r="I38" i="24"/>
  <c r="I24" i="24"/>
  <c r="I25" i="24"/>
  <c r="I38" i="22"/>
  <c r="I24" i="22"/>
  <c r="I25" i="22"/>
  <c r="I38" i="23"/>
  <c r="I24" i="23"/>
  <c r="I38" i="21"/>
  <c r="I24" i="21"/>
  <c r="I38" i="19"/>
  <c r="I24" i="19"/>
  <c r="AG55" i="16"/>
  <c r="I38" i="5"/>
  <c r="I24" i="5"/>
  <c r="AD48" i="35"/>
  <c r="AD14" i="35"/>
  <c r="AF14" i="36"/>
  <c r="AG80" i="17"/>
  <c r="AP49" i="46" l="1"/>
  <c r="AL77" i="45"/>
  <c r="AL79" i="45" s="1"/>
  <c r="AK81" i="44"/>
  <c r="AL75" i="44"/>
  <c r="AY75" i="44"/>
  <c r="AY77" i="44"/>
  <c r="AX76" i="44"/>
  <c r="AX77" i="44"/>
  <c r="AM46" i="43"/>
  <c r="AM49" i="43" s="1"/>
  <c r="AG77" i="39"/>
  <c r="AG79" i="39" s="1"/>
  <c r="AM44" i="38"/>
  <c r="AL51" i="38"/>
  <c r="AK44" i="37"/>
  <c r="AJ51" i="37"/>
  <c r="AP84" i="37"/>
  <c r="AQ79" i="37"/>
  <c r="AQ82" i="37" s="1"/>
  <c r="AE79" i="36"/>
  <c r="AD49" i="35"/>
  <c r="AD15" i="35"/>
  <c r="AE40" i="35"/>
  <c r="AE3" i="35"/>
  <c r="AF47" i="35"/>
  <c r="AF79" i="35"/>
  <c r="AN79" i="34"/>
  <c r="AN82" i="34" s="1"/>
  <c r="AM84" i="34"/>
  <c r="AI46" i="34"/>
  <c r="AY47" i="34"/>
  <c r="AP28" i="16"/>
  <c r="AR28" i="16"/>
  <c r="AR45" i="16"/>
  <c r="AQ45" i="16"/>
  <c r="AP45" i="16"/>
  <c r="AH73" i="17"/>
  <c r="AH63" i="17"/>
  <c r="AI63" i="17" s="1"/>
  <c r="AJ63" i="17" s="1"/>
  <c r="AK63" i="17" s="1"/>
  <c r="AL63" i="17" s="1"/>
  <c r="AM63" i="17" s="1"/>
  <c r="AN63" i="17" s="1"/>
  <c r="AO63" i="17" s="1"/>
  <c r="AP63" i="17" s="1"/>
  <c r="AQ63" i="17" s="1"/>
  <c r="AR63" i="17" s="1"/>
  <c r="AH51" i="17"/>
  <c r="AI51" i="17" s="1"/>
  <c r="AJ51" i="17" s="1"/>
  <c r="AK51" i="17" s="1"/>
  <c r="AL51" i="17" s="1"/>
  <c r="AM51" i="17" s="1"/>
  <c r="AN51" i="17" s="1"/>
  <c r="AO51" i="17" s="1"/>
  <c r="AP51" i="17" s="1"/>
  <c r="AQ51" i="17" s="1"/>
  <c r="AR51" i="17" s="1"/>
  <c r="AE48" i="35"/>
  <c r="AE14" i="35"/>
  <c r="AH80" i="17"/>
  <c r="AG48" i="17"/>
  <c r="AP51" i="46" l="1"/>
  <c r="AQ44" i="46"/>
  <c r="AM75" i="45"/>
  <c r="AL81" i="45"/>
  <c r="AY81" i="44"/>
  <c r="AL77" i="44"/>
  <c r="AL79" i="44" s="1"/>
  <c r="AM51" i="43"/>
  <c r="AN44" i="43"/>
  <c r="AH75" i="39"/>
  <c r="AG81" i="39"/>
  <c r="AM46" i="38"/>
  <c r="AM49" i="38" s="1"/>
  <c r="AR79" i="37"/>
  <c r="AR82" i="37" s="1"/>
  <c r="AR84" i="37" s="1"/>
  <c r="AQ84" i="37"/>
  <c r="AK46" i="37"/>
  <c r="AK49" i="37" s="1"/>
  <c r="AE81" i="36"/>
  <c r="AF75" i="36"/>
  <c r="AE49" i="35"/>
  <c r="AE15" i="35"/>
  <c r="AF40" i="35"/>
  <c r="AG42" i="35"/>
  <c r="AG75" i="35"/>
  <c r="AF81" i="35"/>
  <c r="AF3" i="35"/>
  <c r="AI49" i="34"/>
  <c r="AN84" i="34"/>
  <c r="AO79" i="34"/>
  <c r="AO82" i="34" s="1"/>
  <c r="AI73" i="17"/>
  <c r="AH40" i="17"/>
  <c r="AH30" i="17"/>
  <c r="AI30" i="17" s="1"/>
  <c r="AJ30" i="17" s="1"/>
  <c r="AK30" i="17" s="1"/>
  <c r="AL30" i="17" s="1"/>
  <c r="AM30" i="17" s="1"/>
  <c r="AN30" i="17" s="1"/>
  <c r="AO30" i="17" s="1"/>
  <c r="AP30" i="17" s="1"/>
  <c r="AQ30" i="17" s="1"/>
  <c r="AR30" i="17" s="1"/>
  <c r="AN27" i="17"/>
  <c r="AO27" i="17"/>
  <c r="AP27" i="17"/>
  <c r="AQ27" i="17"/>
  <c r="AR27" i="17"/>
  <c r="AH18" i="17"/>
  <c r="AI18" i="17" s="1"/>
  <c r="AJ18" i="17" s="1"/>
  <c r="AK18" i="17" s="1"/>
  <c r="AL18" i="17" s="1"/>
  <c r="AM18" i="17" s="1"/>
  <c r="AN18" i="17" s="1"/>
  <c r="AO18" i="17" s="1"/>
  <c r="AP18" i="17" s="1"/>
  <c r="AQ18" i="17" s="1"/>
  <c r="AR18" i="17" s="1"/>
  <c r="C45" i="17"/>
  <c r="C46" i="17"/>
  <c r="AF14" i="35"/>
  <c r="AF48" i="35"/>
  <c r="AH48" i="17"/>
  <c r="AI80" i="17"/>
  <c r="AG14" i="17"/>
  <c r="AQ46" i="46" l="1"/>
  <c r="AQ49" i="46" s="1"/>
  <c r="AM77" i="45"/>
  <c r="AL81" i="44"/>
  <c r="AM75" i="44"/>
  <c r="AN46" i="43"/>
  <c r="AN49" i="43" s="1"/>
  <c r="AH77" i="39"/>
  <c r="AH79" i="39" s="1"/>
  <c r="AM51" i="38"/>
  <c r="AN44" i="38"/>
  <c r="AK51" i="37"/>
  <c r="AL44" i="37"/>
  <c r="AF77" i="36"/>
  <c r="C77" i="36" s="1"/>
  <c r="AF49" i="35"/>
  <c r="AG77" i="35"/>
  <c r="AG79" i="35" s="1"/>
  <c r="AI51" i="34"/>
  <c r="AJ44" i="34"/>
  <c r="AO84" i="34"/>
  <c r="AP79" i="34"/>
  <c r="AP82" i="34" s="1"/>
  <c r="AI40" i="17"/>
  <c r="AJ73" i="17"/>
  <c r="D21" i="17"/>
  <c r="D22" i="17"/>
  <c r="D23" i="17"/>
  <c r="C21" i="17"/>
  <c r="C22" i="17"/>
  <c r="C23" i="17"/>
  <c r="C24" i="17"/>
  <c r="C9" i="17"/>
  <c r="C10" i="17"/>
  <c r="C11" i="17"/>
  <c r="C12" i="17"/>
  <c r="AH3" i="17"/>
  <c r="C29" i="16"/>
  <c r="C81" i="16"/>
  <c r="C65" i="16"/>
  <c r="C56" i="16"/>
  <c r="C57" i="16"/>
  <c r="C58" i="16"/>
  <c r="C59" i="16"/>
  <c r="C60" i="16"/>
  <c r="C61" i="16"/>
  <c r="C62" i="16"/>
  <c r="C55" i="16"/>
  <c r="C47" i="16"/>
  <c r="C48" i="16"/>
  <c r="AP80" i="16"/>
  <c r="AQ80" i="16"/>
  <c r="AR80" i="16"/>
  <c r="AG80" i="16"/>
  <c r="AI48" i="17"/>
  <c r="AJ80" i="17"/>
  <c r="AH14" i="17"/>
  <c r="AG83" i="16"/>
  <c r="AR44" i="46" l="1"/>
  <c r="AQ51" i="46"/>
  <c r="AX77" i="45"/>
  <c r="AY77" i="45"/>
  <c r="AY75" i="45"/>
  <c r="AX76" i="45"/>
  <c r="AM79" i="45"/>
  <c r="AM77" i="44"/>
  <c r="AM79" i="44" s="1"/>
  <c r="AN51" i="43"/>
  <c r="AO44" i="43"/>
  <c r="AH81" i="39"/>
  <c r="AI75" i="39"/>
  <c r="AN46" i="38"/>
  <c r="AN49" i="38" s="1"/>
  <c r="AL46" i="37"/>
  <c r="AL49" i="37" s="1"/>
  <c r="AF79" i="36"/>
  <c r="AG81" i="35"/>
  <c r="AH75" i="35"/>
  <c r="AJ46" i="34"/>
  <c r="AP84" i="34"/>
  <c r="AQ79" i="34"/>
  <c r="AQ82" i="34" s="1"/>
  <c r="AI3" i="17"/>
  <c r="AK73" i="17"/>
  <c r="AJ40" i="17"/>
  <c r="D24" i="16"/>
  <c r="D26" i="16"/>
  <c r="AH78" i="16"/>
  <c r="AH67" i="16"/>
  <c r="AI67" i="16" s="1"/>
  <c r="AJ67" i="16" s="1"/>
  <c r="AK67" i="16" s="1"/>
  <c r="AL67" i="16" s="1"/>
  <c r="AM67" i="16" s="1"/>
  <c r="AN67" i="16" s="1"/>
  <c r="AO67" i="16" s="1"/>
  <c r="AP67" i="16" s="1"/>
  <c r="AQ67" i="16" s="1"/>
  <c r="AR67" i="16" s="1"/>
  <c r="AG64" i="16"/>
  <c r="AP64" i="16"/>
  <c r="AQ64" i="16"/>
  <c r="AR64" i="16"/>
  <c r="AH54" i="16"/>
  <c r="AI54" i="16" s="1"/>
  <c r="AJ54" i="16" s="1"/>
  <c r="AK54" i="16" s="1"/>
  <c r="AL54" i="16" s="1"/>
  <c r="AM54" i="16" s="1"/>
  <c r="AN54" i="16" s="1"/>
  <c r="AO54" i="16" s="1"/>
  <c r="AP54" i="16" s="1"/>
  <c r="AQ54" i="16" s="1"/>
  <c r="AR54" i="16" s="1"/>
  <c r="AJ48" i="17"/>
  <c r="AK80" i="17"/>
  <c r="AI14" i="17"/>
  <c r="AG50" i="16"/>
  <c r="AH83" i="16"/>
  <c r="AR46" i="46" l="1"/>
  <c r="C46" i="46" s="1"/>
  <c r="C49" i="46" s="1"/>
  <c r="AR49" i="46"/>
  <c r="AR51" i="46" s="1"/>
  <c r="AM81" i="45"/>
  <c r="AN75" i="45"/>
  <c r="AY81" i="45"/>
  <c r="AM81" i="44"/>
  <c r="AN75" i="44"/>
  <c r="AO46" i="43"/>
  <c r="AO49" i="43" s="1"/>
  <c r="AI77" i="39"/>
  <c r="AI79" i="39" s="1"/>
  <c r="AN51" i="38"/>
  <c r="AO44" i="38"/>
  <c r="AL51" i="37"/>
  <c r="AM44" i="37"/>
  <c r="AF81" i="36"/>
  <c r="AG75" i="36"/>
  <c r="AH77" i="35"/>
  <c r="AH79" i="35" s="1"/>
  <c r="AJ49" i="34"/>
  <c r="AR79" i="34"/>
  <c r="AR82" i="34" s="1"/>
  <c r="AR84" i="34" s="1"/>
  <c r="AQ84" i="34"/>
  <c r="AK40" i="17"/>
  <c r="AI78" i="16"/>
  <c r="AL73" i="17"/>
  <c r="AJ3" i="17"/>
  <c r="C20" i="16"/>
  <c r="C23" i="16"/>
  <c r="C24" i="16"/>
  <c r="C26" i="16"/>
  <c r="AH42" i="16"/>
  <c r="AH31" i="16"/>
  <c r="AI31" i="16" s="1"/>
  <c r="AJ31" i="16" s="1"/>
  <c r="AK31" i="16" s="1"/>
  <c r="AL31" i="16" s="1"/>
  <c r="AM31" i="16" s="1"/>
  <c r="AN31" i="16" s="1"/>
  <c r="AO31" i="16" s="1"/>
  <c r="AP31" i="16" s="1"/>
  <c r="AQ31" i="16" s="1"/>
  <c r="AR31" i="16" s="1"/>
  <c r="AG19" i="16"/>
  <c r="AH18" i="16"/>
  <c r="AI18" i="16" s="1"/>
  <c r="AJ18" i="16" s="1"/>
  <c r="AK18" i="16" s="1"/>
  <c r="AL18" i="16" s="1"/>
  <c r="AM18" i="16" s="1"/>
  <c r="AN18" i="16" s="1"/>
  <c r="AO18" i="16" s="1"/>
  <c r="AP18" i="16" s="1"/>
  <c r="AQ18" i="16" s="1"/>
  <c r="AR18" i="16" s="1"/>
  <c r="AJ14" i="17"/>
  <c r="AL80" i="17"/>
  <c r="AK48" i="17"/>
  <c r="AG14" i="16"/>
  <c r="AI83" i="16"/>
  <c r="AH50" i="16"/>
  <c r="AN77" i="45" l="1"/>
  <c r="AN79" i="45" s="1"/>
  <c r="AN77" i="44"/>
  <c r="AN79" i="44" s="1"/>
  <c r="AP44" i="43"/>
  <c r="AO51" i="43"/>
  <c r="AI81" i="39"/>
  <c r="AJ75" i="39"/>
  <c r="AO46" i="38"/>
  <c r="AO49" i="38" s="1"/>
  <c r="AM46" i="37"/>
  <c r="AM49" i="37" s="1"/>
  <c r="AG77" i="36"/>
  <c r="AG79" i="36" s="1"/>
  <c r="AH81" i="35"/>
  <c r="AI75" i="35"/>
  <c r="AY77" i="35"/>
  <c r="AY75" i="35"/>
  <c r="AX77" i="35"/>
  <c r="AX76" i="35"/>
  <c r="AJ51" i="34"/>
  <c r="AK44" i="34"/>
  <c r="AG28" i="16"/>
  <c r="AJ78" i="16"/>
  <c r="AK3" i="17"/>
  <c r="AM73" i="17"/>
  <c r="AI42" i="16"/>
  <c r="AL40" i="17"/>
  <c r="C19" i="16"/>
  <c r="C25" i="16"/>
  <c r="C21" i="16"/>
  <c r="C12" i="16"/>
  <c r="C11" i="16"/>
  <c r="C10" i="16"/>
  <c r="C9" i="16"/>
  <c r="AH3" i="16"/>
  <c r="AF12" i="16"/>
  <c r="AK14" i="17"/>
  <c r="AL48" i="17"/>
  <c r="AM80" i="17"/>
  <c r="AH14" i="16"/>
  <c r="AJ83" i="16"/>
  <c r="AI50" i="16"/>
  <c r="AO75" i="45" l="1"/>
  <c r="AN81" i="45"/>
  <c r="AO75" i="44"/>
  <c r="AN81" i="44"/>
  <c r="AP46" i="43"/>
  <c r="D46" i="43" s="1"/>
  <c r="AJ77" i="39"/>
  <c r="AP44" i="38"/>
  <c r="AO51" i="38"/>
  <c r="AN44" i="37"/>
  <c r="AM51" i="37"/>
  <c r="AH75" i="36"/>
  <c r="AG81" i="36"/>
  <c r="AI77" i="35"/>
  <c r="AI79" i="35" s="1"/>
  <c r="AY81" i="35"/>
  <c r="AK46" i="34"/>
  <c r="AK49" i="34" s="1"/>
  <c r="AK78" i="16"/>
  <c r="AJ42" i="16"/>
  <c r="AI3" i="16"/>
  <c r="AL3" i="17"/>
  <c r="AM40" i="17"/>
  <c r="AN73" i="17"/>
  <c r="AN80" i="17"/>
  <c r="AL14" i="17"/>
  <c r="AM48" i="17"/>
  <c r="AI14" i="16"/>
  <c r="AJ50" i="16"/>
  <c r="AK83" i="16"/>
  <c r="AO77" i="45" l="1"/>
  <c r="AO79" i="45" s="1"/>
  <c r="AP49" i="43"/>
  <c r="AP51" i="43" s="1"/>
  <c r="AO77" i="44"/>
  <c r="AO79" i="44" s="1"/>
  <c r="AY75" i="39"/>
  <c r="AY77" i="39"/>
  <c r="AX76" i="39"/>
  <c r="AX77" i="39"/>
  <c r="AJ79" i="39"/>
  <c r="AP46" i="38"/>
  <c r="D46" i="38" s="1"/>
  <c r="AN46" i="37"/>
  <c r="AN49" i="37" s="1"/>
  <c r="AH77" i="36"/>
  <c r="AH79" i="36" s="1"/>
  <c r="AI81" i="35"/>
  <c r="AJ75" i="35"/>
  <c r="AK51" i="34"/>
  <c r="AL44" i="34"/>
  <c r="AM3" i="17"/>
  <c r="AJ3" i="16"/>
  <c r="AO73" i="17"/>
  <c r="AK42" i="16"/>
  <c r="AN40" i="17"/>
  <c r="AL78" i="16"/>
  <c r="AM14" i="17"/>
  <c r="AO80" i="17"/>
  <c r="AN48" i="17"/>
  <c r="AL83" i="16"/>
  <c r="AK50" i="16"/>
  <c r="AJ14" i="16"/>
  <c r="AO81" i="45" l="1"/>
  <c r="AP75" i="45"/>
  <c r="AQ44" i="43"/>
  <c r="AQ46" i="43" s="1"/>
  <c r="AQ49" i="43" s="1"/>
  <c r="AO81" i="44"/>
  <c r="AP75" i="44"/>
  <c r="AP49" i="38"/>
  <c r="AP51" i="38" s="1"/>
  <c r="AJ81" i="39"/>
  <c r="AK75" i="39"/>
  <c r="AY81" i="39"/>
  <c r="AO44" i="37"/>
  <c r="AN51" i="37"/>
  <c r="AI75" i="36"/>
  <c r="AH81" i="36"/>
  <c r="AJ77" i="35"/>
  <c r="AJ79" i="35" s="1"/>
  <c r="AL46" i="34"/>
  <c r="AL49" i="34" s="1"/>
  <c r="AM78" i="16"/>
  <c r="AL42" i="16"/>
  <c r="AP73" i="17"/>
  <c r="AK3" i="16"/>
  <c r="AO40" i="17"/>
  <c r="AN3" i="17"/>
  <c r="AN14" i="17"/>
  <c r="AP80" i="17"/>
  <c r="AO48" i="17"/>
  <c r="AM83" i="16"/>
  <c r="AL50" i="16"/>
  <c r="AK14" i="16"/>
  <c r="AP77" i="45" l="1"/>
  <c r="AP79" i="45" s="1"/>
  <c r="AP77" i="44"/>
  <c r="AP79" i="44" s="1"/>
  <c r="AQ51" i="43"/>
  <c r="AR44" i="43"/>
  <c r="AQ44" i="38"/>
  <c r="AQ46" i="38" s="1"/>
  <c r="AQ49" i="38" s="1"/>
  <c r="AK77" i="39"/>
  <c r="AK79" i="39" s="1"/>
  <c r="AO46" i="37"/>
  <c r="AO49" i="37" s="1"/>
  <c r="AI77" i="36"/>
  <c r="AJ81" i="35"/>
  <c r="AK75" i="35"/>
  <c r="AM44" i="34"/>
  <c r="AL51" i="34"/>
  <c r="AO3" i="17"/>
  <c r="AM42" i="16"/>
  <c r="AL3" i="16"/>
  <c r="AQ73" i="17"/>
  <c r="AP40" i="17"/>
  <c r="AN78" i="16"/>
  <c r="AP48" i="17"/>
  <c r="AQ80" i="17"/>
  <c r="AO14" i="17"/>
  <c r="AM50" i="16"/>
  <c r="AN83" i="16"/>
  <c r="AL14" i="16"/>
  <c r="AP81" i="45" l="1"/>
  <c r="AQ75" i="45"/>
  <c r="AQ75" i="44"/>
  <c r="AP81" i="44"/>
  <c r="AR46" i="43"/>
  <c r="C46" i="43" s="1"/>
  <c r="C49" i="43" s="1"/>
  <c r="AL75" i="39"/>
  <c r="AK81" i="39"/>
  <c r="AR44" i="38"/>
  <c r="AQ51" i="38"/>
  <c r="AO51" i="37"/>
  <c r="AP44" i="37"/>
  <c r="AX77" i="36"/>
  <c r="AX76" i="36"/>
  <c r="AY77" i="36"/>
  <c r="AY75" i="36"/>
  <c r="AI79" i="36"/>
  <c r="AK77" i="35"/>
  <c r="AK79" i="35" s="1"/>
  <c r="AM46" i="34"/>
  <c r="AM49" i="34" s="1"/>
  <c r="AR73" i="17"/>
  <c r="AM3" i="16"/>
  <c r="AO78" i="16"/>
  <c r="AN42" i="16"/>
  <c r="AQ40" i="17"/>
  <c r="AP3" i="17"/>
  <c r="C53" i="29"/>
  <c r="C15" i="29"/>
  <c r="C12" i="29"/>
  <c r="C5" i="29"/>
  <c r="C21" i="29"/>
  <c r="C6" i="29"/>
  <c r="AF56" i="16"/>
  <c r="D56" i="16" s="1"/>
  <c r="AF20" i="16"/>
  <c r="D20" i="16" s="1"/>
  <c r="AP14" i="17"/>
  <c r="AQ48" i="17"/>
  <c r="AR80" i="17"/>
  <c r="AO83" i="16"/>
  <c r="AN50" i="16"/>
  <c r="AM14" i="16"/>
  <c r="AQ77" i="45" l="1"/>
  <c r="AQ79" i="45" s="1"/>
  <c r="AQ77" i="44"/>
  <c r="AQ79" i="44" s="1"/>
  <c r="AR49" i="43"/>
  <c r="AR51" i="43" s="1"/>
  <c r="AL77" i="39"/>
  <c r="AL79" i="39" s="1"/>
  <c r="AR46" i="38"/>
  <c r="C46" i="38" s="1"/>
  <c r="C49" i="38" s="1"/>
  <c r="AP46" i="37"/>
  <c r="D46" i="37" s="1"/>
  <c r="AY81" i="36"/>
  <c r="AI81" i="36"/>
  <c r="AJ75" i="36"/>
  <c r="AK81" i="35"/>
  <c r="AL75" i="35"/>
  <c r="AN44" i="34"/>
  <c r="AM51" i="34"/>
  <c r="AO42" i="16"/>
  <c r="AP78" i="16"/>
  <c r="AQ3" i="17"/>
  <c r="AN3" i="16"/>
  <c r="AR40" i="17"/>
  <c r="AR48" i="17"/>
  <c r="AQ14" i="17"/>
  <c r="AP83" i="16"/>
  <c r="AO50" i="16"/>
  <c r="AN14" i="16"/>
  <c r="AQ81" i="45" l="1"/>
  <c r="AR75" i="45"/>
  <c r="AQ81" i="44"/>
  <c r="AR75" i="44"/>
  <c r="AR49" i="38"/>
  <c r="AR51" i="38" s="1"/>
  <c r="AL81" i="39"/>
  <c r="AM75" i="39"/>
  <c r="AP49" i="37"/>
  <c r="AJ77" i="36"/>
  <c r="AJ79" i="36" s="1"/>
  <c r="AL77" i="35"/>
  <c r="AL79" i="35" s="1"/>
  <c r="AN46" i="34"/>
  <c r="AN49" i="34" s="1"/>
  <c r="AR3" i="17"/>
  <c r="AQ78" i="16"/>
  <c r="AO3" i="16"/>
  <c r="AP42" i="16"/>
  <c r="M27" i="29"/>
  <c r="AR14" i="17"/>
  <c r="AP50" i="16"/>
  <c r="AQ83" i="16"/>
  <c r="AO14" i="16"/>
  <c r="AR77" i="45" l="1"/>
  <c r="AR79" i="45" s="1"/>
  <c r="AR81" i="45" s="1"/>
  <c r="AR77" i="44"/>
  <c r="AR79" i="44" s="1"/>
  <c r="AR81" i="44" s="1"/>
  <c r="AM77" i="39"/>
  <c r="AM79" i="39" s="1"/>
  <c r="AP51" i="37"/>
  <c r="AQ44" i="37"/>
  <c r="AJ81" i="36"/>
  <c r="AK75" i="36"/>
  <c r="AL81" i="35"/>
  <c r="AM75" i="35"/>
  <c r="AN51" i="34"/>
  <c r="AO44" i="34"/>
  <c r="AQ42" i="16"/>
  <c r="AP3" i="16"/>
  <c r="AR78" i="16"/>
  <c r="G38" i="29"/>
  <c r="AR83" i="16"/>
  <c r="AQ50" i="16"/>
  <c r="AP14" i="16"/>
  <c r="AM81" i="39" l="1"/>
  <c r="AN75" i="39"/>
  <c r="AQ46" i="37"/>
  <c r="AQ49" i="37" s="1"/>
  <c r="AK77" i="36"/>
  <c r="AK79" i="36" s="1"/>
  <c r="AM77" i="35"/>
  <c r="AM79" i="35" s="1"/>
  <c r="AO46" i="34"/>
  <c r="AO49" i="34" s="1"/>
  <c r="AQ3" i="16"/>
  <c r="AR42" i="16"/>
  <c r="C44" i="29"/>
  <c r="C31" i="29"/>
  <c r="C9" i="29"/>
  <c r="C18" i="29"/>
  <c r="AR50" i="16"/>
  <c r="AQ14" i="16"/>
  <c r="AN77" i="39" l="1"/>
  <c r="AN79" i="39" s="1"/>
  <c r="AR44" i="37"/>
  <c r="AQ51" i="37"/>
  <c r="AK81" i="36"/>
  <c r="AL75" i="36"/>
  <c r="AM81" i="35"/>
  <c r="AN75" i="35"/>
  <c r="AO51" i="34"/>
  <c r="AP44" i="34"/>
  <c r="AR3" i="16"/>
  <c r="AR14" i="16"/>
  <c r="AN81" i="39" l="1"/>
  <c r="AO75" i="39"/>
  <c r="AR46" i="37"/>
  <c r="C46" i="37" s="1"/>
  <c r="C49" i="37" s="1"/>
  <c r="AL77" i="36"/>
  <c r="AL79" i="36" s="1"/>
  <c r="AN77" i="35"/>
  <c r="AN79" i="35" s="1"/>
  <c r="AP46" i="34"/>
  <c r="D46" i="34" s="1"/>
  <c r="G38" i="28"/>
  <c r="AO77" i="39" l="1"/>
  <c r="AO79" i="39" s="1"/>
  <c r="AR49" i="37"/>
  <c r="AR51" i="37" s="1"/>
  <c r="AM75" i="36"/>
  <c r="AL81" i="36"/>
  <c r="AO75" i="35"/>
  <c r="AN81" i="35"/>
  <c r="AP49" i="34"/>
  <c r="C6" i="28"/>
  <c r="C53" i="28"/>
  <c r="C44" i="28"/>
  <c r="C5" i="28"/>
  <c r="C33" i="28" s="1"/>
  <c r="C52" i="28" s="1"/>
  <c r="C15" i="28"/>
  <c r="C12" i="28"/>
  <c r="C18" i="28"/>
  <c r="C21" i="28"/>
  <c r="AY47" i="17"/>
  <c r="AO81" i="39" l="1"/>
  <c r="AP75" i="39"/>
  <c r="AM77" i="36"/>
  <c r="AM79" i="36" s="1"/>
  <c r="AO77" i="35"/>
  <c r="AO79" i="35" s="1"/>
  <c r="AQ44" i="34"/>
  <c r="AP51" i="34"/>
  <c r="D29" i="16"/>
  <c r="AP77" i="39" l="1"/>
  <c r="AP79" i="39" s="1"/>
  <c r="AM81" i="36"/>
  <c r="AN75" i="36"/>
  <c r="AO81" i="35"/>
  <c r="AP75" i="35"/>
  <c r="AQ46" i="34"/>
  <c r="AQ49" i="34" s="1"/>
  <c r="G33" i="27"/>
  <c r="G38" i="27"/>
  <c r="AP81" i="39" l="1"/>
  <c r="AQ75" i="39"/>
  <c r="AN77" i="36"/>
  <c r="AN79" i="36" s="1"/>
  <c r="AP77" i="35"/>
  <c r="AP79" i="35" s="1"/>
  <c r="AR44" i="34"/>
  <c r="AQ51" i="34"/>
  <c r="C53" i="27"/>
  <c r="C44" i="27"/>
  <c r="C6" i="27"/>
  <c r="C5" i="27"/>
  <c r="C21" i="27"/>
  <c r="C18" i="27"/>
  <c r="C15" i="27"/>
  <c r="C12" i="27"/>
  <c r="AQ77" i="39" l="1"/>
  <c r="AQ79" i="39" s="1"/>
  <c r="AN81" i="36"/>
  <c r="AO75" i="36"/>
  <c r="AP81" i="35"/>
  <c r="AQ75" i="35"/>
  <c r="AR46" i="34"/>
  <c r="C46" i="34" s="1"/>
  <c r="C49" i="34" s="1"/>
  <c r="C4" i="27"/>
  <c r="AR75" i="39" l="1"/>
  <c r="AQ81" i="39"/>
  <c r="AO77" i="36"/>
  <c r="AO79" i="36" s="1"/>
  <c r="AQ77" i="35"/>
  <c r="AQ79" i="35" s="1"/>
  <c r="AR49" i="34"/>
  <c r="AR51" i="34" s="1"/>
  <c r="I38" i="27"/>
  <c r="I24" i="27"/>
  <c r="AR77" i="39" l="1"/>
  <c r="AR79" i="39" s="1"/>
  <c r="AR81" i="39" s="1"/>
  <c r="AO81" i="36"/>
  <c r="AP75" i="36"/>
  <c r="AQ81" i="35"/>
  <c r="AR75" i="35"/>
  <c r="C44" i="26"/>
  <c r="C15" i="26"/>
  <c r="C12" i="26"/>
  <c r="C18" i="26"/>
  <c r="C6" i="26"/>
  <c r="C4" i="26"/>
  <c r="AP77" i="36" l="1"/>
  <c r="AP79" i="36" s="1"/>
  <c r="AR77" i="35"/>
  <c r="AR79" i="35" s="1"/>
  <c r="AR81" i="35" s="1"/>
  <c r="C53" i="25"/>
  <c r="C44" i="25"/>
  <c r="C9" i="25"/>
  <c r="C15" i="25"/>
  <c r="C12" i="25"/>
  <c r="C18" i="25"/>
  <c r="C6" i="25"/>
  <c r="C4" i="25"/>
  <c r="AP81" i="36" l="1"/>
  <c r="AQ75" i="36"/>
  <c r="AQ77" i="36" l="1"/>
  <c r="AQ79" i="36" s="1"/>
  <c r="AQ81" i="36" l="1"/>
  <c r="AR75" i="36"/>
  <c r="AR77" i="36" l="1"/>
  <c r="AR79" i="36" s="1"/>
  <c r="AR81" i="36" s="1"/>
  <c r="S13" i="17"/>
  <c r="T5" i="17" s="1"/>
  <c r="T13" i="17" s="1"/>
  <c r="T46" i="17"/>
  <c r="T14" i="17"/>
  <c r="S14" i="17"/>
  <c r="T15" i="17" l="1"/>
  <c r="S15" i="17"/>
  <c r="S48" i="17"/>
  <c r="T48" i="17"/>
  <c r="S44" i="17" l="1"/>
  <c r="S47" i="17" s="1"/>
  <c r="T42" i="17" s="1"/>
  <c r="S49" i="17" l="1"/>
  <c r="D61" i="17" l="1"/>
  <c r="D65" i="16"/>
  <c r="C15" i="15" l="1"/>
  <c r="D15" i="15" s="1"/>
  <c r="C14" i="15"/>
  <c r="D14" i="15" s="1"/>
  <c r="C9" i="15"/>
  <c r="D9" i="15" s="1"/>
  <c r="C8" i="15"/>
  <c r="D8" i="15" s="1"/>
  <c r="T47" i="17" l="1"/>
  <c r="T49" i="17" l="1"/>
  <c r="U48" i="17"/>
  <c r="U76" i="17" l="1"/>
  <c r="D76" i="17" s="1"/>
  <c r="C33" i="5" l="1"/>
  <c r="C52" i="5" s="1"/>
  <c r="C78" i="17" l="1"/>
  <c r="C61" i="17"/>
  <c r="C56" i="17"/>
  <c r="C57" i="17"/>
  <c r="C28" i="17"/>
  <c r="V73" i="17" l="1"/>
  <c r="W73" i="17" s="1"/>
  <c r="X73" i="17" s="1"/>
  <c r="V63" i="17"/>
  <c r="W63" i="17" s="1"/>
  <c r="X63" i="17" s="1"/>
  <c r="Y63" i="17" s="1"/>
  <c r="Z63" i="17" s="1"/>
  <c r="AA63" i="17" s="1"/>
  <c r="AB63" i="17" s="1"/>
  <c r="AC63" i="17" s="1"/>
  <c r="AD63" i="17" s="1"/>
  <c r="AE63" i="17" s="1"/>
  <c r="AF63" i="17" s="1"/>
  <c r="U60" i="17"/>
  <c r="AF58" i="17"/>
  <c r="V51" i="17"/>
  <c r="W51" i="17" s="1"/>
  <c r="X51" i="17" s="1"/>
  <c r="Y51" i="17" s="1"/>
  <c r="Z51" i="17" s="1"/>
  <c r="AA51" i="17" s="1"/>
  <c r="AB51" i="17" s="1"/>
  <c r="AC51" i="17" s="1"/>
  <c r="AD51" i="17" s="1"/>
  <c r="AE51" i="17" s="1"/>
  <c r="AF51" i="17" s="1"/>
  <c r="V80" i="17"/>
  <c r="X80" i="17"/>
  <c r="W80" i="17"/>
  <c r="D58" i="17" l="1"/>
  <c r="C58" i="17"/>
  <c r="Y73" i="17"/>
  <c r="V40" i="17"/>
  <c r="V30" i="17"/>
  <c r="W30" i="17" s="1"/>
  <c r="X30" i="17" s="1"/>
  <c r="Y30" i="17" s="1"/>
  <c r="Z30" i="17" s="1"/>
  <c r="AA30" i="17" s="1"/>
  <c r="AB30" i="17" s="1"/>
  <c r="AC30" i="17" s="1"/>
  <c r="AD30" i="17" s="1"/>
  <c r="AE30" i="17" s="1"/>
  <c r="AF30" i="17" s="1"/>
  <c r="AF24" i="17"/>
  <c r="D24" i="17" s="1"/>
  <c r="AA24" i="17"/>
  <c r="V18" i="17"/>
  <c r="W18" i="17" s="1"/>
  <c r="X18" i="17" s="1"/>
  <c r="Y18" i="17" s="1"/>
  <c r="Z18" i="17" s="1"/>
  <c r="AA18" i="17" s="1"/>
  <c r="AB18" i="17" s="1"/>
  <c r="AC18" i="17" s="1"/>
  <c r="AD18" i="17" s="1"/>
  <c r="AE18" i="17" s="1"/>
  <c r="AF18" i="17" s="1"/>
  <c r="Y80" i="17"/>
  <c r="V48" i="17"/>
  <c r="U14" i="17"/>
  <c r="W40" i="17" l="1"/>
  <c r="X40" i="17" s="1"/>
  <c r="Z73" i="17"/>
  <c r="V3" i="17"/>
  <c r="W48" i="17"/>
  <c r="X48" i="17"/>
  <c r="Z80" i="17"/>
  <c r="V14" i="17"/>
  <c r="W3" i="17" l="1"/>
  <c r="AA73" i="17"/>
  <c r="Y40" i="17"/>
  <c r="V78" i="16"/>
  <c r="V67" i="16"/>
  <c r="W67" i="16" s="1"/>
  <c r="X67" i="16" s="1"/>
  <c r="Y67" i="16" s="1"/>
  <c r="Z67" i="16" s="1"/>
  <c r="AA67" i="16" s="1"/>
  <c r="AB67" i="16" s="1"/>
  <c r="AC67" i="16" s="1"/>
  <c r="AD67" i="16" s="1"/>
  <c r="AE67" i="16" s="1"/>
  <c r="AF67" i="16" s="1"/>
  <c r="AF63" i="16"/>
  <c r="AF62" i="16"/>
  <c r="D62" i="16" s="1"/>
  <c r="AF61" i="16"/>
  <c r="D61" i="16" s="1"/>
  <c r="AF60" i="16"/>
  <c r="D60" i="16" s="1"/>
  <c r="AF59" i="16"/>
  <c r="D59" i="16" s="1"/>
  <c r="AF58" i="16"/>
  <c r="D58" i="16" s="1"/>
  <c r="AF57" i="16"/>
  <c r="D57" i="16" s="1"/>
  <c r="AF55" i="16"/>
  <c r="D55" i="16" s="1"/>
  <c r="V54" i="16"/>
  <c r="W54" i="16" s="1"/>
  <c r="X54" i="16" s="1"/>
  <c r="Y54" i="16" s="1"/>
  <c r="Z54" i="16" s="1"/>
  <c r="AA54" i="16" s="1"/>
  <c r="AB54" i="16" s="1"/>
  <c r="AC54" i="16" s="1"/>
  <c r="AD54" i="16" s="1"/>
  <c r="AE54" i="16" s="1"/>
  <c r="AF54" i="16" s="1"/>
  <c r="W14" i="17"/>
  <c r="AA80" i="17"/>
  <c r="Y48" i="17"/>
  <c r="V83" i="16"/>
  <c r="X3" i="17" l="1"/>
  <c r="Y3" i="17" s="1"/>
  <c r="AC64" i="16"/>
  <c r="Y64" i="16"/>
  <c r="X64" i="16"/>
  <c r="AB64" i="16"/>
  <c r="AF64" i="16"/>
  <c r="AE64" i="16"/>
  <c r="AD64" i="16"/>
  <c r="AA64" i="16"/>
  <c r="Z64" i="16"/>
  <c r="W64" i="16"/>
  <c r="V64" i="16"/>
  <c r="Z40" i="17"/>
  <c r="AB73" i="17"/>
  <c r="W78" i="16"/>
  <c r="V42" i="16"/>
  <c r="V31" i="16"/>
  <c r="W31" i="16" s="1"/>
  <c r="X31" i="16" s="1"/>
  <c r="Y31" i="16" s="1"/>
  <c r="Z31" i="16" s="1"/>
  <c r="AA31" i="16" s="1"/>
  <c r="AB31" i="16" s="1"/>
  <c r="AC31" i="16" s="1"/>
  <c r="AD31" i="16" s="1"/>
  <c r="AE31" i="16" s="1"/>
  <c r="AF31" i="16" s="1"/>
  <c r="AF27" i="16"/>
  <c r="AF25" i="16"/>
  <c r="D25" i="16" s="1"/>
  <c r="AF23" i="16"/>
  <c r="D23" i="16" s="1"/>
  <c r="AF21" i="16"/>
  <c r="D21" i="16" s="1"/>
  <c r="AF19" i="16"/>
  <c r="D19" i="16" s="1"/>
  <c r="V18" i="16"/>
  <c r="W18" i="16" s="1"/>
  <c r="X18" i="16" s="1"/>
  <c r="Y18" i="16" s="1"/>
  <c r="Z18" i="16" s="1"/>
  <c r="AA18" i="16" s="1"/>
  <c r="AB18" i="16" s="1"/>
  <c r="AC18" i="16" s="1"/>
  <c r="AD18" i="16" s="1"/>
  <c r="AE18" i="16" s="1"/>
  <c r="AF18" i="16" s="1"/>
  <c r="X14" i="17"/>
  <c r="Z48" i="17"/>
  <c r="Y14" i="17"/>
  <c r="AB80" i="17"/>
  <c r="V50" i="16"/>
  <c r="W83" i="16"/>
  <c r="W42" i="16" l="1"/>
  <c r="D64" i="16"/>
  <c r="AF28" i="16"/>
  <c r="V28" i="16"/>
  <c r="Z28" i="16"/>
  <c r="AE28" i="16"/>
  <c r="AD28" i="16"/>
  <c r="AC28" i="16"/>
  <c r="AA28" i="16"/>
  <c r="W28" i="16"/>
  <c r="AA40" i="17"/>
  <c r="Z3" i="17"/>
  <c r="AC73" i="17"/>
  <c r="X78" i="16"/>
  <c r="Y28" i="16"/>
  <c r="X28" i="16"/>
  <c r="AB28" i="16"/>
  <c r="X42" i="16"/>
  <c r="V3" i="16"/>
  <c r="AY46" i="16"/>
  <c r="Z14" i="17"/>
  <c r="AA48" i="17"/>
  <c r="AC80" i="17"/>
  <c r="X50" i="16"/>
  <c r="X83" i="16"/>
  <c r="V14" i="16"/>
  <c r="W50" i="16"/>
  <c r="W3" i="16" l="1"/>
  <c r="D28" i="16"/>
  <c r="AB40" i="17"/>
  <c r="AA3" i="17"/>
  <c r="AD73" i="17"/>
  <c r="Y78" i="16"/>
  <c r="Y42" i="16"/>
  <c r="AA14" i="17"/>
  <c r="AD80" i="17"/>
  <c r="AB48" i="17"/>
  <c r="W14" i="16"/>
  <c r="Y50" i="16"/>
  <c r="Y83" i="16"/>
  <c r="X3" i="16" l="1"/>
  <c r="AC40" i="17"/>
  <c r="AB3" i="17"/>
  <c r="AE73" i="17"/>
  <c r="Z42" i="16"/>
  <c r="Z78" i="16"/>
  <c r="AB14" i="17"/>
  <c r="AC48" i="17"/>
  <c r="AE80" i="17"/>
  <c r="Z83" i="16"/>
  <c r="Z50" i="16"/>
  <c r="X14" i="16"/>
  <c r="Y3" i="16" l="1"/>
  <c r="Z3" i="16" s="1"/>
  <c r="AD40" i="17"/>
  <c r="AC3" i="17"/>
  <c r="AF73" i="17"/>
  <c r="AA42" i="16"/>
  <c r="AA78" i="16"/>
  <c r="AT10" i="17"/>
  <c r="AX46" i="16"/>
  <c r="AV45" i="16"/>
  <c r="AW45" i="16"/>
  <c r="AV46" i="16"/>
  <c r="AW46" i="16"/>
  <c r="AU46" i="16"/>
  <c r="AU45" i="16"/>
  <c r="AT46" i="16"/>
  <c r="AW47" i="17"/>
  <c r="AV47" i="17"/>
  <c r="AU47" i="17"/>
  <c r="AW46" i="17"/>
  <c r="AV46" i="17"/>
  <c r="AU46" i="17"/>
  <c r="AT47" i="17"/>
  <c r="AF80" i="17"/>
  <c r="AD48" i="17"/>
  <c r="AC14" i="17"/>
  <c r="AA50" i="16"/>
  <c r="AA83" i="16"/>
  <c r="Y14" i="16"/>
  <c r="Z14" i="16"/>
  <c r="AE40" i="17" l="1"/>
  <c r="AD3" i="17"/>
  <c r="AB42" i="16"/>
  <c r="AB78" i="16"/>
  <c r="AA3" i="16"/>
  <c r="AY10" i="17"/>
  <c r="AW10" i="17"/>
  <c r="AV10" i="17"/>
  <c r="AU10" i="17"/>
  <c r="AW10" i="16"/>
  <c r="AV10" i="16"/>
  <c r="AU10" i="16"/>
  <c r="AT10" i="16"/>
  <c r="AD14" i="17"/>
  <c r="AE48" i="17"/>
  <c r="AA14" i="16"/>
  <c r="AB83" i="16"/>
  <c r="AB50" i="16"/>
  <c r="AF40" i="17" l="1"/>
  <c r="AE3" i="17"/>
  <c r="AC42" i="16"/>
  <c r="AC78" i="16"/>
  <c r="AB3" i="16"/>
  <c r="C12" i="31"/>
  <c r="B12" i="31"/>
  <c r="C5" i="31"/>
  <c r="B5" i="31"/>
  <c r="AF48" i="17"/>
  <c r="AE14" i="17"/>
  <c r="AC50" i="16"/>
  <c r="AC83" i="16"/>
  <c r="AB14" i="16"/>
  <c r="AF3" i="17" l="1"/>
  <c r="AD42" i="16"/>
  <c r="AD78" i="16"/>
  <c r="AC3" i="16"/>
  <c r="AF14" i="17"/>
  <c r="AD83" i="16"/>
  <c r="AD50" i="16"/>
  <c r="AC14" i="16"/>
  <c r="AE42" i="16" l="1"/>
  <c r="AE78" i="16"/>
  <c r="AD3" i="16"/>
  <c r="AE83" i="16"/>
  <c r="AD14" i="16"/>
  <c r="AE50" i="16"/>
  <c r="AF42" i="16" l="1"/>
  <c r="AF78" i="16"/>
  <c r="AE3" i="16"/>
  <c r="AE14" i="16"/>
  <c r="AF50" i="16"/>
  <c r="AF83" i="16"/>
  <c r="AF3" i="16" l="1"/>
  <c r="C33" i="27"/>
  <c r="C52" i="27" s="1"/>
  <c r="AF14" i="16"/>
  <c r="B12" i="30" l="1"/>
  <c r="B9" i="30"/>
  <c r="C162" i="6"/>
  <c r="C129" i="3"/>
  <c r="E48" i="17"/>
  <c r="E14" i="17"/>
  <c r="E50" i="16"/>
  <c r="E14" i="16"/>
  <c r="E83" i="1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T74" i="17"/>
  <c r="AT41" i="17"/>
  <c r="AT75" i="16"/>
  <c r="AT40" i="16"/>
  <c r="C43" i="29"/>
  <c r="C33" i="29"/>
  <c r="C52" i="29" s="1"/>
  <c r="C27" i="29"/>
  <c r="C22" i="29"/>
  <c r="C20" i="29"/>
  <c r="C17" i="29"/>
  <c r="C14" i="29"/>
  <c r="C11" i="29"/>
  <c r="C7" i="29"/>
  <c r="C43" i="28"/>
  <c r="C27" i="28"/>
  <c r="C22" i="28"/>
  <c r="C20" i="28"/>
  <c r="C17" i="28"/>
  <c r="C14" i="28"/>
  <c r="C11" i="28"/>
  <c r="C7" i="28"/>
  <c r="C43" i="27"/>
  <c r="C27" i="27"/>
  <c r="C22" i="27"/>
  <c r="C20" i="27"/>
  <c r="C17" i="27"/>
  <c r="C14" i="27"/>
  <c r="C11" i="27"/>
  <c r="C7" i="27"/>
  <c r="C43" i="26"/>
  <c r="C33" i="26"/>
  <c r="C52" i="26" s="1"/>
  <c r="C27" i="26"/>
  <c r="C22" i="26"/>
  <c r="C20" i="26"/>
  <c r="C17" i="26"/>
  <c r="C14" i="26"/>
  <c r="C11" i="26"/>
  <c r="C7" i="26"/>
  <c r="C43" i="25"/>
  <c r="C33" i="25"/>
  <c r="C52" i="25" s="1"/>
  <c r="C27" i="25"/>
  <c r="C22" i="25"/>
  <c r="C20" i="25"/>
  <c r="C17" i="25"/>
  <c r="C14" i="25"/>
  <c r="C11" i="25"/>
  <c r="C7" i="25"/>
  <c r="C43" i="24"/>
  <c r="C27" i="24"/>
  <c r="C22" i="24"/>
  <c r="C20" i="24"/>
  <c r="C17" i="24"/>
  <c r="C14" i="24"/>
  <c r="C11" i="24"/>
  <c r="C7" i="24"/>
  <c r="C30" i="24" s="1"/>
  <c r="C32" i="24" s="1"/>
  <c r="C43" i="22"/>
  <c r="C27" i="22"/>
  <c r="C22" i="22"/>
  <c r="C20" i="22"/>
  <c r="C17" i="22"/>
  <c r="C14" i="22"/>
  <c r="C11" i="22"/>
  <c r="C7" i="22"/>
  <c r="C43" i="23"/>
  <c r="C33" i="23"/>
  <c r="C52" i="23" s="1"/>
  <c r="C27" i="23"/>
  <c r="C22" i="23"/>
  <c r="C20" i="23"/>
  <c r="C17" i="23"/>
  <c r="C14" i="23"/>
  <c r="C11" i="23"/>
  <c r="C7" i="23"/>
  <c r="C43" i="20"/>
  <c r="C33" i="20"/>
  <c r="C52" i="20" s="1"/>
  <c r="C27" i="20"/>
  <c r="C22" i="20"/>
  <c r="C20" i="20"/>
  <c r="C17" i="20"/>
  <c r="C14" i="20"/>
  <c r="C11" i="20"/>
  <c r="C7" i="20"/>
  <c r="C43" i="21"/>
  <c r="C33" i="21"/>
  <c r="C52" i="21" s="1"/>
  <c r="C27" i="21"/>
  <c r="C22" i="21"/>
  <c r="C20" i="21"/>
  <c r="C17" i="21"/>
  <c r="C14" i="21"/>
  <c r="C11" i="21"/>
  <c r="C7" i="21"/>
  <c r="C14" i="19"/>
  <c r="C1484" i="29"/>
  <c r="G44" i="29"/>
  <c r="G43" i="29"/>
  <c r="K40" i="29"/>
  <c r="G42" i="29"/>
  <c r="K39" i="29"/>
  <c r="G41" i="29"/>
  <c r="K38" i="29"/>
  <c r="G40" i="29"/>
  <c r="K37" i="29"/>
  <c r="G39" i="29"/>
  <c r="K36" i="29"/>
  <c r="G37" i="29"/>
  <c r="G32" i="29"/>
  <c r="G34" i="29" s="1"/>
  <c r="K28" i="29"/>
  <c r="K30" i="29" s="1"/>
  <c r="H11" i="29"/>
  <c r="L11" i="29" s="1"/>
  <c r="H10" i="29"/>
  <c r="K10" i="29" s="1"/>
  <c r="C1484" i="28"/>
  <c r="G44" i="28"/>
  <c r="G43" i="28"/>
  <c r="K40" i="28"/>
  <c r="G42" i="28"/>
  <c r="K39" i="28"/>
  <c r="G41" i="28"/>
  <c r="K38" i="28"/>
  <c r="G40" i="28"/>
  <c r="K37" i="28"/>
  <c r="G39" i="28"/>
  <c r="K36" i="28"/>
  <c r="G37" i="28"/>
  <c r="G32" i="28"/>
  <c r="G34" i="28" s="1"/>
  <c r="K28" i="28"/>
  <c r="M27" i="28"/>
  <c r="H11" i="28"/>
  <c r="L11" i="28" s="1"/>
  <c r="H10" i="28"/>
  <c r="K10" i="28" s="1"/>
  <c r="C1484" i="27"/>
  <c r="M42" i="27"/>
  <c r="G44" i="27"/>
  <c r="I44" i="27" s="1"/>
  <c r="M41" i="27"/>
  <c r="G43" i="27"/>
  <c r="I43" i="27" s="1"/>
  <c r="K40" i="27"/>
  <c r="M40" i="27" s="1"/>
  <c r="G42" i="27"/>
  <c r="I42" i="27" s="1"/>
  <c r="K39" i="27"/>
  <c r="G41" i="27"/>
  <c r="I41" i="27" s="1"/>
  <c r="K38" i="27"/>
  <c r="G40" i="27"/>
  <c r="I40" i="27" s="1"/>
  <c r="K37" i="27"/>
  <c r="G39" i="27"/>
  <c r="I39" i="27" s="1"/>
  <c r="K36" i="27"/>
  <c r="G37" i="27"/>
  <c r="G32" i="27"/>
  <c r="G34" i="27" s="1"/>
  <c r="I31" i="27"/>
  <c r="I30" i="27"/>
  <c r="K28" i="27"/>
  <c r="K30" i="27" s="1"/>
  <c r="I29" i="27"/>
  <c r="M27" i="27"/>
  <c r="I28" i="27"/>
  <c r="M26" i="27"/>
  <c r="I27" i="27"/>
  <c r="M25" i="27"/>
  <c r="I26" i="27"/>
  <c r="M24" i="27"/>
  <c r="I25" i="27"/>
  <c r="M23" i="27"/>
  <c r="I23" i="27"/>
  <c r="H11" i="27"/>
  <c r="L11" i="27" s="1"/>
  <c r="H10" i="27"/>
  <c r="K10" i="27" s="1"/>
  <c r="J5" i="27"/>
  <c r="C1484" i="26"/>
  <c r="M42" i="26"/>
  <c r="G44" i="26"/>
  <c r="I44" i="26" s="1"/>
  <c r="M41" i="26"/>
  <c r="G43" i="26"/>
  <c r="I43" i="26" s="1"/>
  <c r="K40" i="26"/>
  <c r="M40" i="26" s="1"/>
  <c r="G42" i="26"/>
  <c r="I42" i="26" s="1"/>
  <c r="K39" i="26"/>
  <c r="M39" i="26" s="1"/>
  <c r="G41" i="26"/>
  <c r="I41" i="26" s="1"/>
  <c r="K38" i="26"/>
  <c r="G40" i="26"/>
  <c r="I40" i="26" s="1"/>
  <c r="K37" i="26"/>
  <c r="G39" i="26"/>
  <c r="I39" i="26" s="1"/>
  <c r="K36" i="26"/>
  <c r="G37" i="26"/>
  <c r="G32" i="26"/>
  <c r="I31" i="26"/>
  <c r="I30" i="26"/>
  <c r="K28" i="26"/>
  <c r="K30" i="26" s="1"/>
  <c r="I29" i="26"/>
  <c r="M27" i="26"/>
  <c r="I28" i="26"/>
  <c r="M26" i="26"/>
  <c r="I27" i="26"/>
  <c r="M25" i="26"/>
  <c r="I26" i="26"/>
  <c r="M24" i="26"/>
  <c r="I25" i="26"/>
  <c r="M23" i="26"/>
  <c r="I23" i="26"/>
  <c r="H11" i="26"/>
  <c r="L11" i="26" s="1"/>
  <c r="H10" i="26"/>
  <c r="K10" i="26" s="1"/>
  <c r="J5" i="26"/>
  <c r="C1484" i="25"/>
  <c r="M42" i="25"/>
  <c r="G44" i="25"/>
  <c r="I44" i="25" s="1"/>
  <c r="M41" i="25"/>
  <c r="G43" i="25"/>
  <c r="I43" i="25" s="1"/>
  <c r="K40" i="25"/>
  <c r="M40" i="25" s="1"/>
  <c r="G42" i="25"/>
  <c r="I42" i="25" s="1"/>
  <c r="K39" i="25"/>
  <c r="M39" i="25" s="1"/>
  <c r="G41" i="25"/>
  <c r="I41" i="25" s="1"/>
  <c r="K38" i="25"/>
  <c r="G40" i="25"/>
  <c r="I40" i="25" s="1"/>
  <c r="K37" i="25"/>
  <c r="G39" i="25"/>
  <c r="I39" i="25" s="1"/>
  <c r="K36" i="25"/>
  <c r="G37" i="25"/>
  <c r="G32" i="25"/>
  <c r="I31" i="25"/>
  <c r="I30" i="25"/>
  <c r="K28" i="25"/>
  <c r="K30" i="25" s="1"/>
  <c r="I29" i="25"/>
  <c r="M27" i="25"/>
  <c r="I28" i="25"/>
  <c r="M26" i="25"/>
  <c r="I27" i="25"/>
  <c r="M25" i="25"/>
  <c r="I26" i="25"/>
  <c r="M24" i="25"/>
  <c r="I25" i="25"/>
  <c r="M23" i="25"/>
  <c r="I23" i="25"/>
  <c r="H11" i="25"/>
  <c r="L11" i="25" s="1"/>
  <c r="H10" i="25"/>
  <c r="K10" i="25" s="1"/>
  <c r="J5" i="25"/>
  <c r="C1485" i="24"/>
  <c r="M42" i="24"/>
  <c r="G44" i="24"/>
  <c r="I44" i="24" s="1"/>
  <c r="M41" i="24"/>
  <c r="G43" i="24"/>
  <c r="I43" i="24" s="1"/>
  <c r="K40" i="24"/>
  <c r="M40" i="24" s="1"/>
  <c r="G42" i="24"/>
  <c r="I42" i="24" s="1"/>
  <c r="K39" i="24"/>
  <c r="AM55" i="17" s="1"/>
  <c r="G41" i="24"/>
  <c r="I41" i="24" s="1"/>
  <c r="K38" i="24"/>
  <c r="AM54" i="17" s="1"/>
  <c r="G40" i="24"/>
  <c r="I40" i="24" s="1"/>
  <c r="K37" i="24"/>
  <c r="G39" i="24"/>
  <c r="I39" i="24" s="1"/>
  <c r="K36" i="24"/>
  <c r="AA19" i="45" s="1"/>
  <c r="G37" i="24"/>
  <c r="I37" i="24" s="1"/>
  <c r="G32" i="24"/>
  <c r="I31" i="24"/>
  <c r="I30" i="24"/>
  <c r="K28" i="24"/>
  <c r="K30" i="24" s="1"/>
  <c r="I29" i="24"/>
  <c r="M27" i="24"/>
  <c r="I28" i="24"/>
  <c r="M26" i="24"/>
  <c r="I27" i="24"/>
  <c r="M25" i="24"/>
  <c r="I26" i="24"/>
  <c r="M24" i="24"/>
  <c r="M23" i="24"/>
  <c r="I23" i="24"/>
  <c r="H11" i="24"/>
  <c r="L11" i="24" s="1"/>
  <c r="H10" i="24"/>
  <c r="K10" i="24" s="1"/>
  <c r="J5" i="24"/>
  <c r="C1484" i="23"/>
  <c r="M42" i="23"/>
  <c r="G44" i="23"/>
  <c r="I44" i="23" s="1"/>
  <c r="M41" i="23"/>
  <c r="G43" i="23"/>
  <c r="I43" i="23" s="1"/>
  <c r="K40" i="23"/>
  <c r="M40" i="23" s="1"/>
  <c r="G42" i="23"/>
  <c r="I42" i="23" s="1"/>
  <c r="K39" i="23"/>
  <c r="AK55" i="45" s="1"/>
  <c r="G41" i="23"/>
  <c r="I41" i="23" s="1"/>
  <c r="K38" i="23"/>
  <c r="AK54" i="45" s="1"/>
  <c r="G40" i="23"/>
  <c r="I40" i="23" s="1"/>
  <c r="K37" i="23"/>
  <c r="G39" i="23"/>
  <c r="I39" i="23" s="1"/>
  <c r="K36" i="23"/>
  <c r="G37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J5" i="23"/>
  <c r="C1484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J5" i="22"/>
  <c r="C1484" i="21"/>
  <c r="M42" i="21"/>
  <c r="G44" i="21"/>
  <c r="I44" i="21" s="1"/>
  <c r="M41" i="21"/>
  <c r="G43" i="21"/>
  <c r="I43" i="21" s="1"/>
  <c r="K40" i="21"/>
  <c r="M40" i="21" s="1"/>
  <c r="G42" i="21"/>
  <c r="I42" i="21" s="1"/>
  <c r="K39" i="21"/>
  <c r="G41" i="21"/>
  <c r="I41" i="21" s="1"/>
  <c r="K38" i="21"/>
  <c r="G40" i="21"/>
  <c r="I40" i="21" s="1"/>
  <c r="K37" i="21"/>
  <c r="G39" i="21"/>
  <c r="I39" i="21" s="1"/>
  <c r="K36" i="21"/>
  <c r="G37" i="21"/>
  <c r="G34" i="21"/>
  <c r="I31" i="21"/>
  <c r="I30" i="21"/>
  <c r="K28" i="21"/>
  <c r="K30" i="21" s="1"/>
  <c r="I29" i="21"/>
  <c r="M27" i="21"/>
  <c r="I28" i="21"/>
  <c r="M26" i="21"/>
  <c r="I27" i="21"/>
  <c r="M25" i="21"/>
  <c r="I26" i="21"/>
  <c r="M24" i="21"/>
  <c r="I25" i="21"/>
  <c r="M23" i="21"/>
  <c r="I23" i="21"/>
  <c r="H11" i="21"/>
  <c r="L11" i="21" s="1"/>
  <c r="H10" i="21"/>
  <c r="K10" i="21" s="1"/>
  <c r="J5" i="21"/>
  <c r="C1484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J5" i="20"/>
  <c r="C1484" i="19"/>
  <c r="C43" i="19"/>
  <c r="M42" i="19"/>
  <c r="G44" i="19"/>
  <c r="I44" i="19" s="1"/>
  <c r="M41" i="19"/>
  <c r="G43" i="19"/>
  <c r="I43" i="19" s="1"/>
  <c r="K40" i="19"/>
  <c r="M40" i="19" s="1"/>
  <c r="G42" i="19"/>
  <c r="I42" i="19" s="1"/>
  <c r="K39" i="19"/>
  <c r="G41" i="19"/>
  <c r="I41" i="19" s="1"/>
  <c r="K38" i="19"/>
  <c r="G40" i="19"/>
  <c r="I40" i="19" s="1"/>
  <c r="K37" i="19"/>
  <c r="G39" i="19"/>
  <c r="I39" i="19" s="1"/>
  <c r="K36" i="19"/>
  <c r="G37" i="19"/>
  <c r="I37" i="19" s="1"/>
  <c r="G32" i="19"/>
  <c r="I31" i="19"/>
  <c r="I30" i="19"/>
  <c r="K28" i="19"/>
  <c r="K30" i="19" s="1"/>
  <c r="I29" i="19"/>
  <c r="M27" i="19"/>
  <c r="I28" i="19"/>
  <c r="C27" i="19"/>
  <c r="M26" i="19"/>
  <c r="I27" i="19"/>
  <c r="M25" i="19"/>
  <c r="I26" i="19"/>
  <c r="M24" i="19"/>
  <c r="I25" i="19"/>
  <c r="M23" i="19"/>
  <c r="I23" i="19"/>
  <c r="C22" i="19"/>
  <c r="C20" i="19"/>
  <c r="C17" i="19"/>
  <c r="H11" i="19"/>
  <c r="L11" i="19" s="1"/>
  <c r="H10" i="19"/>
  <c r="K10" i="19" s="1"/>
  <c r="C11" i="19"/>
  <c r="J5" i="19"/>
  <c r="C33" i="19"/>
  <c r="C52" i="19" s="1"/>
  <c r="C7" i="19"/>
  <c r="AF52" i="45" l="1"/>
  <c r="AF19" i="45"/>
  <c r="AF53" i="45"/>
  <c r="C53" i="45" s="1"/>
  <c r="AF20" i="45"/>
  <c r="AF27" i="45" s="1"/>
  <c r="AF55" i="44"/>
  <c r="C55" i="44" s="1"/>
  <c r="AF55" i="45"/>
  <c r="C55" i="45" s="1"/>
  <c r="AF54" i="44"/>
  <c r="C54" i="44" s="1"/>
  <c r="AF54" i="45"/>
  <c r="C54" i="45" s="1"/>
  <c r="AL20" i="45"/>
  <c r="AL53" i="45"/>
  <c r="AL55" i="17"/>
  <c r="AL55" i="45"/>
  <c r="AL54" i="17"/>
  <c r="AL54" i="45"/>
  <c r="AK52" i="45"/>
  <c r="AK19" i="45"/>
  <c r="AK53" i="45"/>
  <c r="AK20" i="45"/>
  <c r="AJ53" i="45"/>
  <c r="AJ20" i="45"/>
  <c r="AJ43" i="45" s="1"/>
  <c r="AJ55" i="44"/>
  <c r="AJ55" i="45"/>
  <c r="AJ19" i="45"/>
  <c r="AJ52" i="45"/>
  <c r="AJ54" i="44"/>
  <c r="AJ54" i="45"/>
  <c r="AI54" i="44"/>
  <c r="AI54" i="45"/>
  <c r="AI52" i="45"/>
  <c r="AI19" i="45"/>
  <c r="AI53" i="45"/>
  <c r="AI20" i="45"/>
  <c r="AI55" i="44"/>
  <c r="AI55" i="45"/>
  <c r="AH52" i="45"/>
  <c r="AH19" i="45"/>
  <c r="AR53" i="45"/>
  <c r="AR60" i="45" s="1"/>
  <c r="AN53" i="45"/>
  <c r="AN60" i="45" s="1"/>
  <c r="AQ53" i="45"/>
  <c r="AQ60" i="45" s="1"/>
  <c r="AH53" i="45"/>
  <c r="AH20" i="45"/>
  <c r="AP53" i="45"/>
  <c r="AO53" i="45"/>
  <c r="AO60" i="45" s="1"/>
  <c r="AH55" i="44"/>
  <c r="AH55" i="45"/>
  <c r="AH54" i="44"/>
  <c r="AH54" i="45"/>
  <c r="AM53" i="45"/>
  <c r="AM60" i="45" s="1"/>
  <c r="AA20" i="45"/>
  <c r="AA27" i="45" s="1"/>
  <c r="AA20" i="44"/>
  <c r="AM53" i="17"/>
  <c r="AM20" i="17"/>
  <c r="AA19" i="44"/>
  <c r="AM52" i="17"/>
  <c r="AM19" i="17"/>
  <c r="AL53" i="17"/>
  <c r="AL60" i="17" s="1"/>
  <c r="AL20" i="17"/>
  <c r="M40" i="22"/>
  <c r="AP53" i="44"/>
  <c r="AL53" i="44"/>
  <c r="AL60" i="44" s="1"/>
  <c r="AO53" i="44"/>
  <c r="AO60" i="44" s="1"/>
  <c r="AH53" i="44"/>
  <c r="AH20" i="44"/>
  <c r="AR53" i="44"/>
  <c r="AR60" i="44" s="1"/>
  <c r="AN53" i="44"/>
  <c r="AN60" i="44" s="1"/>
  <c r="AQ53" i="44"/>
  <c r="AQ60" i="44" s="1"/>
  <c r="AM53" i="44"/>
  <c r="AM60" i="44" s="1"/>
  <c r="AH19" i="44"/>
  <c r="AH52" i="44"/>
  <c r="C30" i="22"/>
  <c r="C32" i="22" s="1"/>
  <c r="C34" i="22" s="1"/>
  <c r="AF20" i="44"/>
  <c r="AF53" i="44"/>
  <c r="C53" i="44" s="1"/>
  <c r="AF52" i="44"/>
  <c r="AF19" i="44"/>
  <c r="AK55" i="17"/>
  <c r="AK55" i="44"/>
  <c r="AK53" i="44"/>
  <c r="AK20" i="44"/>
  <c r="AK52" i="44"/>
  <c r="AK19" i="44"/>
  <c r="AK54" i="17"/>
  <c r="AK54" i="44"/>
  <c r="AJ20" i="44"/>
  <c r="AJ53" i="44"/>
  <c r="AJ52" i="44"/>
  <c r="AJ19" i="44"/>
  <c r="AI52" i="44"/>
  <c r="AI19" i="44"/>
  <c r="AI20" i="44"/>
  <c r="AI53" i="44"/>
  <c r="AF53" i="39"/>
  <c r="C53" i="39" s="1"/>
  <c r="AF20" i="39"/>
  <c r="AF53" i="36"/>
  <c r="C53" i="36" s="1"/>
  <c r="AF20" i="36"/>
  <c r="AF53" i="35"/>
  <c r="C53" i="35" s="1"/>
  <c r="AF20" i="35"/>
  <c r="AF55" i="39"/>
  <c r="C55" i="39" s="1"/>
  <c r="AF55" i="36"/>
  <c r="C55" i="36" s="1"/>
  <c r="AF55" i="35"/>
  <c r="C55" i="35" s="1"/>
  <c r="AF19" i="39"/>
  <c r="AF27" i="39" s="1"/>
  <c r="AF52" i="39"/>
  <c r="AF52" i="36"/>
  <c r="AF19" i="36"/>
  <c r="AF19" i="35"/>
  <c r="AF52" i="35"/>
  <c r="AF54" i="39"/>
  <c r="C54" i="39" s="1"/>
  <c r="AF54" i="36"/>
  <c r="C54" i="36" s="1"/>
  <c r="AF54" i="35"/>
  <c r="C54" i="35" s="1"/>
  <c r="AA20" i="39"/>
  <c r="AA20" i="36"/>
  <c r="AA20" i="35"/>
  <c r="AA19" i="39"/>
  <c r="AA19" i="36"/>
  <c r="AA19" i="35"/>
  <c r="AK20" i="17"/>
  <c r="AK53" i="17"/>
  <c r="C30" i="23"/>
  <c r="C32" i="23" s="1"/>
  <c r="C34" i="23" s="1"/>
  <c r="H7" i="23" s="1"/>
  <c r="AK52" i="17"/>
  <c r="AK19" i="17"/>
  <c r="AJ52" i="39"/>
  <c r="AJ19" i="39"/>
  <c r="AJ52" i="17"/>
  <c r="AJ19" i="17"/>
  <c r="AJ54" i="39"/>
  <c r="AJ54" i="17"/>
  <c r="C55" i="20"/>
  <c r="C58" i="20" s="1"/>
  <c r="AJ53" i="39"/>
  <c r="AJ20" i="39"/>
  <c r="AJ53" i="17"/>
  <c r="AJ20" i="17"/>
  <c r="AJ55" i="39"/>
  <c r="AJ55" i="17"/>
  <c r="AI52" i="39"/>
  <c r="AI19" i="39"/>
  <c r="AI19" i="36"/>
  <c r="AI52" i="36"/>
  <c r="AI19" i="17"/>
  <c r="AI52" i="17"/>
  <c r="AI54" i="39"/>
  <c r="AI54" i="36"/>
  <c r="AI54" i="17"/>
  <c r="AI20" i="39"/>
  <c r="AI53" i="39"/>
  <c r="AI53" i="36"/>
  <c r="AI20" i="36"/>
  <c r="AI53" i="17"/>
  <c r="AI20" i="17"/>
  <c r="AI55" i="39"/>
  <c r="AI55" i="36"/>
  <c r="AI55" i="17"/>
  <c r="AP53" i="39"/>
  <c r="AL53" i="39"/>
  <c r="AL60" i="39" s="1"/>
  <c r="AH53" i="39"/>
  <c r="AO53" i="39"/>
  <c r="AO60" i="39" s="1"/>
  <c r="AK53" i="39"/>
  <c r="AK60" i="39" s="1"/>
  <c r="AR53" i="39"/>
  <c r="AR60" i="39" s="1"/>
  <c r="AN53" i="39"/>
  <c r="AN60" i="39" s="1"/>
  <c r="AH20" i="39"/>
  <c r="AQ53" i="39"/>
  <c r="AQ60" i="39" s="1"/>
  <c r="AM53" i="39"/>
  <c r="AM60" i="39" s="1"/>
  <c r="AP53" i="36"/>
  <c r="AL53" i="36"/>
  <c r="AL60" i="36" s="1"/>
  <c r="AH53" i="36"/>
  <c r="AO53" i="36"/>
  <c r="AO60" i="36" s="1"/>
  <c r="AK53" i="36"/>
  <c r="AK60" i="36" s="1"/>
  <c r="AR53" i="36"/>
  <c r="AR60" i="36" s="1"/>
  <c r="AN53" i="36"/>
  <c r="AN60" i="36" s="1"/>
  <c r="AJ53" i="36"/>
  <c r="AJ60" i="36" s="1"/>
  <c r="AH20" i="36"/>
  <c r="AQ53" i="36"/>
  <c r="AQ60" i="36" s="1"/>
  <c r="AM53" i="36"/>
  <c r="AM60" i="36" s="1"/>
  <c r="AP53" i="17"/>
  <c r="AQ53" i="17"/>
  <c r="AQ60" i="17" s="1"/>
  <c r="AR53" i="17"/>
  <c r="AR60" i="17" s="1"/>
  <c r="AN53" i="17"/>
  <c r="AN60" i="17" s="1"/>
  <c r="AO53" i="17"/>
  <c r="AO60" i="17" s="1"/>
  <c r="AH53" i="35"/>
  <c r="AH20" i="35"/>
  <c r="AH55" i="39"/>
  <c r="AH55" i="36"/>
  <c r="AH55" i="35"/>
  <c r="AH52" i="39"/>
  <c r="AH19" i="39"/>
  <c r="AH52" i="36"/>
  <c r="AH19" i="36"/>
  <c r="AH19" i="35"/>
  <c r="AH52" i="35"/>
  <c r="AH54" i="39"/>
  <c r="AH54" i="36"/>
  <c r="AH54" i="35"/>
  <c r="AH55" i="17"/>
  <c r="AH54" i="17"/>
  <c r="AH53" i="17"/>
  <c r="AH20" i="17"/>
  <c r="AH19" i="17"/>
  <c r="AH52" i="17"/>
  <c r="AX78" i="17"/>
  <c r="AY78" i="17"/>
  <c r="G34" i="26"/>
  <c r="G34" i="25"/>
  <c r="G34" i="24"/>
  <c r="G34" i="22"/>
  <c r="G34" i="23"/>
  <c r="G34" i="20"/>
  <c r="AI45" i="16"/>
  <c r="AI28" i="16"/>
  <c r="AI80" i="16"/>
  <c r="AI64" i="16"/>
  <c r="G34" i="19"/>
  <c r="AF54" i="17"/>
  <c r="M39" i="27"/>
  <c r="AF53" i="17"/>
  <c r="AF20" i="17"/>
  <c r="AF55" i="17"/>
  <c r="AF52" i="17"/>
  <c r="AF19" i="17"/>
  <c r="D53" i="17"/>
  <c r="M37" i="26"/>
  <c r="M36" i="26"/>
  <c r="M38" i="26"/>
  <c r="M37" i="25"/>
  <c r="M38" i="25"/>
  <c r="AA19" i="17"/>
  <c r="M37" i="24"/>
  <c r="AA20" i="17"/>
  <c r="M39" i="24"/>
  <c r="M38" i="24"/>
  <c r="M37" i="22"/>
  <c r="M38" i="22"/>
  <c r="M39" i="22"/>
  <c r="M38" i="23"/>
  <c r="M37" i="23"/>
  <c r="M39" i="23"/>
  <c r="M38" i="20"/>
  <c r="M37" i="20"/>
  <c r="M39" i="20"/>
  <c r="M39" i="21"/>
  <c r="M37" i="21"/>
  <c r="M38" i="21"/>
  <c r="M39" i="19"/>
  <c r="M38" i="19"/>
  <c r="M37" i="19"/>
  <c r="C30" i="27"/>
  <c r="C32" i="27" s="1"/>
  <c r="C34" i="27" s="1"/>
  <c r="K30" i="28"/>
  <c r="F1" i="19"/>
  <c r="C55" i="21"/>
  <c r="C58" i="21" s="1"/>
  <c r="C55" i="23"/>
  <c r="C55" i="22"/>
  <c r="C58" i="22" s="1"/>
  <c r="G45" i="26"/>
  <c r="G47" i="26" s="1"/>
  <c r="C1" i="20"/>
  <c r="F1" i="20" s="1"/>
  <c r="F1" i="21"/>
  <c r="M37" i="27"/>
  <c r="C30" i="25"/>
  <c r="C32" i="25" s="1"/>
  <c r="C34" i="25" s="1"/>
  <c r="H7" i="25" s="1"/>
  <c r="C55" i="26"/>
  <c r="C58" i="26" s="1"/>
  <c r="C30" i="21"/>
  <c r="C32" i="21" s="1"/>
  <c r="C34" i="21" s="1"/>
  <c r="H7" i="21" s="1"/>
  <c r="I32" i="26"/>
  <c r="I33" i="26" s="1"/>
  <c r="C30" i="29"/>
  <c r="C32" i="29" s="1"/>
  <c r="C34" i="29" s="1"/>
  <c r="H7" i="29" s="1"/>
  <c r="C56" i="24"/>
  <c r="C59" i="24" s="1"/>
  <c r="M28" i="27"/>
  <c r="M29" i="27" s="1"/>
  <c r="G45" i="28"/>
  <c r="G47" i="28" s="1"/>
  <c r="G45" i="29"/>
  <c r="G47" i="29" s="1"/>
  <c r="C55" i="25"/>
  <c r="C58" i="25" s="1"/>
  <c r="C30" i="28"/>
  <c r="C32" i="28" s="1"/>
  <c r="C34" i="28" s="1"/>
  <c r="H7" i="28" s="1"/>
  <c r="J7" i="28" s="1"/>
  <c r="C55" i="29"/>
  <c r="C58" i="29" s="1"/>
  <c r="M28" i="23"/>
  <c r="K53" i="23" s="1"/>
  <c r="I20" i="30" s="1"/>
  <c r="M28" i="24"/>
  <c r="K53" i="24" s="1"/>
  <c r="K20" i="30" s="1"/>
  <c r="K43" i="27"/>
  <c r="I45" i="28"/>
  <c r="C55" i="27"/>
  <c r="M28" i="19"/>
  <c r="K53" i="19" s="1"/>
  <c r="F20" i="30" s="1"/>
  <c r="K43" i="19"/>
  <c r="K45" i="19" s="1"/>
  <c r="K43" i="20"/>
  <c r="K45" i="20" s="1"/>
  <c r="I32" i="21"/>
  <c r="I53" i="21" s="1"/>
  <c r="G11" i="30" s="1"/>
  <c r="I32" i="22"/>
  <c r="I33" i="22" s="1"/>
  <c r="I32" i="23"/>
  <c r="I33" i="23" s="1"/>
  <c r="K43" i="23"/>
  <c r="K47" i="23" s="1"/>
  <c r="K43" i="24"/>
  <c r="K47" i="24" s="1"/>
  <c r="M28" i="26"/>
  <c r="K53" i="26" s="1"/>
  <c r="M20" i="30" s="1"/>
  <c r="G45" i="27"/>
  <c r="G47" i="27" s="1"/>
  <c r="M28" i="29"/>
  <c r="M29" i="29" s="1"/>
  <c r="C30" i="26"/>
  <c r="C32" i="26" s="1"/>
  <c r="C34" i="26" s="1"/>
  <c r="I32" i="19"/>
  <c r="I53" i="19" s="1"/>
  <c r="F11" i="30" s="1"/>
  <c r="G45" i="21"/>
  <c r="G47" i="21" s="1"/>
  <c r="G45" i="23"/>
  <c r="G47" i="23" s="1"/>
  <c r="K43" i="29"/>
  <c r="K45" i="29" s="1"/>
  <c r="C30" i="20"/>
  <c r="C32" i="20" s="1"/>
  <c r="C34" i="20" s="1"/>
  <c r="C55" i="28"/>
  <c r="C58" i="28" s="1"/>
  <c r="C55" i="19"/>
  <c r="H9" i="19" s="1"/>
  <c r="I45" i="29"/>
  <c r="I32" i="29"/>
  <c r="I53" i="29" s="1"/>
  <c r="M28" i="28"/>
  <c r="K43" i="28"/>
  <c r="K45" i="28" s="1"/>
  <c r="I32" i="28"/>
  <c r="I53" i="28" s="1"/>
  <c r="M38" i="27"/>
  <c r="M36" i="27"/>
  <c r="I32" i="27"/>
  <c r="I53" i="27" s="1"/>
  <c r="I37" i="27"/>
  <c r="I45" i="27" s="1"/>
  <c r="I37" i="26"/>
  <c r="I45" i="26" s="1"/>
  <c r="H53" i="26" s="1"/>
  <c r="M28" i="25"/>
  <c r="M29" i="25" s="1"/>
  <c r="K43" i="25"/>
  <c r="K47" i="25" s="1"/>
  <c r="I32" i="25"/>
  <c r="I53" i="25" s="1"/>
  <c r="G45" i="25"/>
  <c r="G47" i="25" s="1"/>
  <c r="I37" i="25"/>
  <c r="I45" i="25" s="1"/>
  <c r="I32" i="24"/>
  <c r="I33" i="24" s="1"/>
  <c r="M28" i="22"/>
  <c r="K53" i="22" s="1"/>
  <c r="J20" i="30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G47" i="20" s="1"/>
  <c r="M28" i="21"/>
  <c r="M29" i="21" s="1"/>
  <c r="K43" i="21"/>
  <c r="K47" i="21" s="1"/>
  <c r="I37" i="21"/>
  <c r="I45" i="21" s="1"/>
  <c r="I45" i="19"/>
  <c r="H53" i="19" s="1"/>
  <c r="I45" i="24"/>
  <c r="M36" i="25"/>
  <c r="M43" i="29"/>
  <c r="M36" i="24"/>
  <c r="G45" i="24"/>
  <c r="K43" i="26"/>
  <c r="K47" i="26" s="1"/>
  <c r="M43" i="28"/>
  <c r="I44" i="22"/>
  <c r="I45" i="22" s="1"/>
  <c r="M36" i="23"/>
  <c r="M36" i="22"/>
  <c r="I44" i="20"/>
  <c r="I45" i="20" s="1"/>
  <c r="M36" i="21"/>
  <c r="M36" i="20"/>
  <c r="C30" i="19"/>
  <c r="C32" i="19" s="1"/>
  <c r="C34" i="19" s="1"/>
  <c r="H7" i="19" s="1"/>
  <c r="M36" i="19"/>
  <c r="G45" i="19"/>
  <c r="AK60" i="45" l="1"/>
  <c r="C27" i="45"/>
  <c r="C52" i="45"/>
  <c r="AF60" i="45"/>
  <c r="C60" i="45" s="1"/>
  <c r="AP59" i="44"/>
  <c r="AP59" i="45"/>
  <c r="AP60" i="45"/>
  <c r="AM60" i="17"/>
  <c r="AL60" i="45"/>
  <c r="AL27" i="45"/>
  <c r="AL43" i="45"/>
  <c r="AK43" i="45"/>
  <c r="AK27" i="45"/>
  <c r="AJ60" i="45"/>
  <c r="AJ27" i="45"/>
  <c r="AI27" i="45"/>
  <c r="AI43" i="45"/>
  <c r="AI60" i="45"/>
  <c r="AH27" i="45"/>
  <c r="AH43" i="45"/>
  <c r="AH60" i="45"/>
  <c r="AA27" i="44"/>
  <c r="C34" i="24"/>
  <c r="AM43" i="17"/>
  <c r="AM27" i="17"/>
  <c r="AH60" i="44"/>
  <c r="AI60" i="44"/>
  <c r="AP60" i="44"/>
  <c r="AL43" i="17"/>
  <c r="AL27" i="17"/>
  <c r="AH43" i="44"/>
  <c r="AH27" i="44"/>
  <c r="AF27" i="44"/>
  <c r="AF60" i="44"/>
  <c r="C60" i="44" s="1"/>
  <c r="C52" i="44"/>
  <c r="AK43" i="44"/>
  <c r="AK27" i="44"/>
  <c r="AK60" i="44"/>
  <c r="AJ27" i="44"/>
  <c r="AJ43" i="44"/>
  <c r="AJ60" i="44"/>
  <c r="AI27" i="44"/>
  <c r="AI43" i="44"/>
  <c r="AF27" i="35"/>
  <c r="AH60" i="35"/>
  <c r="AA27" i="36"/>
  <c r="AA27" i="39"/>
  <c r="C27" i="39" s="1"/>
  <c r="AK60" i="17"/>
  <c r="AF60" i="36"/>
  <c r="C60" i="36" s="1"/>
  <c r="C52" i="36"/>
  <c r="AF27" i="36"/>
  <c r="C52" i="35"/>
  <c r="AF60" i="35"/>
  <c r="C60" i="35" s="1"/>
  <c r="C52" i="39"/>
  <c r="AF60" i="39"/>
  <c r="C60" i="39" s="1"/>
  <c r="AP59" i="39"/>
  <c r="AP60" i="39" s="1"/>
  <c r="AP59" i="36"/>
  <c r="AP60" i="36" s="1"/>
  <c r="AP59" i="35"/>
  <c r="AP60" i="35" s="1"/>
  <c r="AA27" i="35"/>
  <c r="AK43" i="17"/>
  <c r="AK27" i="17"/>
  <c r="AJ43" i="17"/>
  <c r="AJ27" i="17"/>
  <c r="AJ60" i="17"/>
  <c r="AJ27" i="39"/>
  <c r="AJ43" i="39"/>
  <c r="AJ60" i="39"/>
  <c r="AI60" i="36"/>
  <c r="AI27" i="36"/>
  <c r="AI43" i="36"/>
  <c r="AI60" i="17"/>
  <c r="AI27" i="39"/>
  <c r="AI43" i="39"/>
  <c r="AI43" i="17"/>
  <c r="AI27" i="17"/>
  <c r="AI60" i="39"/>
  <c r="AH60" i="36"/>
  <c r="AH43" i="39"/>
  <c r="AH27" i="39"/>
  <c r="AH43" i="36"/>
  <c r="AH60" i="17"/>
  <c r="AH43" i="35"/>
  <c r="AH27" i="35"/>
  <c r="AH60" i="39"/>
  <c r="AH27" i="36"/>
  <c r="AH43" i="17"/>
  <c r="AH27" i="17"/>
  <c r="K45" i="27"/>
  <c r="AP59" i="17"/>
  <c r="AP60" i="17" s="1"/>
  <c r="M43" i="26"/>
  <c r="J53" i="26" s="1"/>
  <c r="M17" i="30" s="1"/>
  <c r="AO45" i="16"/>
  <c r="AO28" i="16"/>
  <c r="AO80" i="16"/>
  <c r="AO64" i="16"/>
  <c r="AN80" i="16"/>
  <c r="AN64" i="16"/>
  <c r="AN45" i="16"/>
  <c r="AN28" i="16"/>
  <c r="M43" i="25"/>
  <c r="J53" i="25" s="1"/>
  <c r="L17" i="30" s="1"/>
  <c r="AM45" i="16"/>
  <c r="AM80" i="16"/>
  <c r="AL64" i="16"/>
  <c r="AK45" i="16"/>
  <c r="AK28" i="16"/>
  <c r="AK80" i="16"/>
  <c r="AK64" i="16"/>
  <c r="AJ80" i="16"/>
  <c r="AJ64" i="16"/>
  <c r="AJ45" i="16"/>
  <c r="AJ28" i="16"/>
  <c r="F8" i="30"/>
  <c r="C63" i="16"/>
  <c r="AH80" i="16"/>
  <c r="AH64" i="16"/>
  <c r="D63" i="16"/>
  <c r="AH45" i="16"/>
  <c r="AH28" i="16"/>
  <c r="D55" i="17"/>
  <c r="D54" i="17"/>
  <c r="D52" i="17"/>
  <c r="C60" i="29"/>
  <c r="C62" i="29" s="1"/>
  <c r="N43" i="28"/>
  <c r="M43" i="22"/>
  <c r="M44" i="22" s="1"/>
  <c r="M43" i="24"/>
  <c r="M44" i="24" s="1"/>
  <c r="M43" i="20"/>
  <c r="M44" i="20" s="1"/>
  <c r="M43" i="21"/>
  <c r="M44" i="21" s="1"/>
  <c r="AC43" i="17"/>
  <c r="AE27" i="17"/>
  <c r="C53" i="17"/>
  <c r="C55" i="17"/>
  <c r="C54" i="17"/>
  <c r="C52" i="17"/>
  <c r="AF60" i="17"/>
  <c r="AF27" i="17"/>
  <c r="AE60" i="17"/>
  <c r="AD27" i="17"/>
  <c r="AD43" i="17"/>
  <c r="AD60" i="17"/>
  <c r="AC60" i="17"/>
  <c r="AC27" i="17"/>
  <c r="C60" i="26"/>
  <c r="C62" i="26" s="1"/>
  <c r="AB27" i="17"/>
  <c r="AB60" i="17"/>
  <c r="AA27" i="17"/>
  <c r="AA60" i="17"/>
  <c r="Z27" i="17"/>
  <c r="Z60" i="17"/>
  <c r="Y60" i="17"/>
  <c r="M43" i="23"/>
  <c r="J53" i="23" s="1"/>
  <c r="I17" i="30" s="1"/>
  <c r="Y27" i="17"/>
  <c r="X27" i="17"/>
  <c r="X60" i="17"/>
  <c r="W27" i="17"/>
  <c r="W43" i="17"/>
  <c r="W60" i="17"/>
  <c r="V60" i="17"/>
  <c r="C76" i="17"/>
  <c r="M43" i="19"/>
  <c r="M44" i="19" s="1"/>
  <c r="V27" i="17"/>
  <c r="V43" i="17"/>
  <c r="K53" i="28"/>
  <c r="N28" i="28"/>
  <c r="M29" i="28"/>
  <c r="H7" i="27"/>
  <c r="J7" i="27" s="1"/>
  <c r="J14" i="27" s="1"/>
  <c r="H53" i="27"/>
  <c r="C58" i="27"/>
  <c r="C60" i="27" s="1"/>
  <c r="C62" i="27" s="1"/>
  <c r="H9" i="27"/>
  <c r="C1" i="23"/>
  <c r="F1" i="23" s="1"/>
  <c r="C58" i="23"/>
  <c r="H9" i="23"/>
  <c r="M29" i="22"/>
  <c r="K53" i="27"/>
  <c r="N20" i="30" s="1"/>
  <c r="I33" i="19"/>
  <c r="K53" i="29"/>
  <c r="I46" i="26"/>
  <c r="H7" i="20"/>
  <c r="J7" i="20" s="1"/>
  <c r="J14" i="20" s="1"/>
  <c r="C60" i="20"/>
  <c r="C62" i="20" s="1"/>
  <c r="I33" i="27"/>
  <c r="K53" i="20"/>
  <c r="H20" i="30" s="1"/>
  <c r="I53" i="22"/>
  <c r="K53" i="25"/>
  <c r="L20" i="30" s="1"/>
  <c r="M29" i="19"/>
  <c r="K5" i="29"/>
  <c r="L5" i="29" s="1"/>
  <c r="M29" i="26"/>
  <c r="C60" i="21"/>
  <c r="C62" i="21" s="1"/>
  <c r="M29" i="23"/>
  <c r="I33" i="28"/>
  <c r="C60" i="25"/>
  <c r="C62" i="25" s="1"/>
  <c r="I33" i="21"/>
  <c r="I46" i="21"/>
  <c r="H53" i="21"/>
  <c r="C58" i="19"/>
  <c r="C60" i="19" s="1"/>
  <c r="C62" i="19" s="1"/>
  <c r="K5" i="28"/>
  <c r="L5" i="28" s="1"/>
  <c r="K5" i="20"/>
  <c r="L5" i="20" s="1"/>
  <c r="I33" i="20"/>
  <c r="K5" i="23"/>
  <c r="L5" i="23" s="1"/>
  <c r="H7" i="26"/>
  <c r="J7" i="26" s="1"/>
  <c r="I7" i="28"/>
  <c r="I14" i="28" s="1"/>
  <c r="I52" i="28" s="1"/>
  <c r="I55" i="28" s="1"/>
  <c r="I53" i="26"/>
  <c r="K5" i="27"/>
  <c r="L5" i="27" s="1"/>
  <c r="H9" i="22"/>
  <c r="C60" i="22"/>
  <c r="C62" i="22" s="1"/>
  <c r="K53" i="21"/>
  <c r="G20" i="30" s="1"/>
  <c r="C60" i="28"/>
  <c r="C62" i="28" s="1"/>
  <c r="I33" i="25"/>
  <c r="H7" i="22"/>
  <c r="I53" i="23"/>
  <c r="M29" i="24"/>
  <c r="M43" i="27"/>
  <c r="I66" i="27" s="1"/>
  <c r="I46" i="29"/>
  <c r="H53" i="29"/>
  <c r="I33" i="29"/>
  <c r="I46" i="27"/>
  <c r="K5" i="25"/>
  <c r="L5" i="25" s="1"/>
  <c r="I53" i="24"/>
  <c r="K5" i="22"/>
  <c r="L5" i="22" s="1"/>
  <c r="K5" i="21"/>
  <c r="L5" i="21" s="1"/>
  <c r="J53" i="28"/>
  <c r="M44" i="28"/>
  <c r="H9" i="28"/>
  <c r="H9" i="26"/>
  <c r="J14" i="28"/>
  <c r="K52" i="28" s="1"/>
  <c r="H9" i="25"/>
  <c r="K5" i="26"/>
  <c r="L5" i="26" s="1"/>
  <c r="M44" i="29"/>
  <c r="J53" i="29"/>
  <c r="I7" i="29"/>
  <c r="I14" i="29" s="1"/>
  <c r="I52" i="29" s="1"/>
  <c r="J7" i="29"/>
  <c r="I46" i="28"/>
  <c r="H53" i="28"/>
  <c r="H53" i="25"/>
  <c r="I46" i="25"/>
  <c r="I46" i="24"/>
  <c r="H53" i="24"/>
  <c r="G47" i="24"/>
  <c r="K5" i="24"/>
  <c r="L5" i="24" s="1"/>
  <c r="H9" i="29"/>
  <c r="H9" i="24"/>
  <c r="I7" i="25"/>
  <c r="I14" i="25" s="1"/>
  <c r="I52" i="25" s="1"/>
  <c r="J7" i="25"/>
  <c r="I46" i="22"/>
  <c r="H53" i="22"/>
  <c r="I7" i="23"/>
  <c r="I14" i="23" s="1"/>
  <c r="I52" i="23" s="1"/>
  <c r="J7" i="23"/>
  <c r="H53" i="23"/>
  <c r="I46" i="23"/>
  <c r="I46" i="20"/>
  <c r="H53" i="20"/>
  <c r="I7" i="21"/>
  <c r="I14" i="21" s="1"/>
  <c r="J7" i="21"/>
  <c r="H9" i="20"/>
  <c r="H9" i="21"/>
  <c r="G47" i="19"/>
  <c r="K5" i="19"/>
  <c r="L5" i="19" s="1"/>
  <c r="L9" i="19" s="1"/>
  <c r="L12" i="19" s="1"/>
  <c r="J7" i="19"/>
  <c r="I7" i="19"/>
  <c r="I14" i="19" s="1"/>
  <c r="H12" i="19"/>
  <c r="J53" i="19"/>
  <c r="F17" i="30" s="1"/>
  <c r="I46" i="19"/>
  <c r="AQ7" i="43" l="1"/>
  <c r="AQ7" i="46"/>
  <c r="L53" i="26"/>
  <c r="C27" i="44"/>
  <c r="AY45" i="45"/>
  <c r="AX45" i="45"/>
  <c r="L53" i="23"/>
  <c r="H7" i="24"/>
  <c r="C61" i="24"/>
  <c r="C63" i="24" s="1"/>
  <c r="M44" i="25"/>
  <c r="L53" i="25"/>
  <c r="J7" i="22"/>
  <c r="J14" i="22" s="1"/>
  <c r="I7" i="22"/>
  <c r="I14" i="22" s="1"/>
  <c r="I52" i="22" s="1"/>
  <c r="I55" i="22" s="1"/>
  <c r="AL7" i="46" s="1"/>
  <c r="H12" i="22"/>
  <c r="K9" i="22"/>
  <c r="K12" i="22" s="1"/>
  <c r="C27" i="35"/>
  <c r="AY45" i="44"/>
  <c r="AX45" i="44"/>
  <c r="L53" i="28"/>
  <c r="C27" i="36"/>
  <c r="AQ7" i="16"/>
  <c r="AQ7" i="38"/>
  <c r="AQ7" i="37"/>
  <c r="AQ7" i="34"/>
  <c r="C60" i="23"/>
  <c r="C62" i="23" s="1"/>
  <c r="AY45" i="39"/>
  <c r="AX45" i="39"/>
  <c r="AX45" i="36"/>
  <c r="AY45" i="36"/>
  <c r="AY45" i="35"/>
  <c r="AX45" i="35"/>
  <c r="L53" i="19"/>
  <c r="AY76" i="16"/>
  <c r="AX76" i="16"/>
  <c r="AX77" i="16"/>
  <c r="AY77" i="16"/>
  <c r="M44" i="26"/>
  <c r="J61" i="26"/>
  <c r="J53" i="21"/>
  <c r="G17" i="30" s="1"/>
  <c r="J53" i="24"/>
  <c r="K17" i="30" s="1"/>
  <c r="J53" i="22"/>
  <c r="J17" i="30" s="1"/>
  <c r="M44" i="23"/>
  <c r="C64" i="16"/>
  <c r="J61" i="19"/>
  <c r="D80" i="16"/>
  <c r="C80" i="16"/>
  <c r="C82" i="16" s="1"/>
  <c r="D60" i="17"/>
  <c r="L53" i="29"/>
  <c r="K55" i="28"/>
  <c r="J53" i="20"/>
  <c r="H17" i="30" s="1"/>
  <c r="C60" i="17"/>
  <c r="I7" i="27"/>
  <c r="I14" i="27" s="1"/>
  <c r="I52" i="27" s="1"/>
  <c r="I55" i="27" s="1"/>
  <c r="N22" i="30"/>
  <c r="K52" i="27"/>
  <c r="K55" i="27" s="1"/>
  <c r="K52" i="20"/>
  <c r="K55" i="20" s="1"/>
  <c r="AJ7" i="45" s="1"/>
  <c r="H22" i="30"/>
  <c r="G8" i="30"/>
  <c r="K8" i="30"/>
  <c r="J8" i="30"/>
  <c r="N8" i="30"/>
  <c r="I8" i="30"/>
  <c r="M8" i="30"/>
  <c r="H8" i="30"/>
  <c r="L8" i="30"/>
  <c r="I55" i="23"/>
  <c r="I7" i="26"/>
  <c r="I14" i="26" s="1"/>
  <c r="I52" i="26" s="1"/>
  <c r="I55" i="26" s="1"/>
  <c r="C1" i="22"/>
  <c r="C1" i="24" s="1"/>
  <c r="L9" i="22"/>
  <c r="L12" i="22" s="1"/>
  <c r="L14" i="22" s="1"/>
  <c r="J19" i="30" s="1"/>
  <c r="J15" i="28"/>
  <c r="I7" i="20"/>
  <c r="I14" i="20" s="1"/>
  <c r="I52" i="20" s="1"/>
  <c r="I55" i="20" s="1"/>
  <c r="AJ7" i="46" s="1"/>
  <c r="I52" i="19"/>
  <c r="I55" i="19" s="1"/>
  <c r="F13" i="30"/>
  <c r="I52" i="21"/>
  <c r="G13" i="30"/>
  <c r="I55" i="25"/>
  <c r="I55" i="29"/>
  <c r="M44" i="27"/>
  <c r="J53" i="27"/>
  <c r="N17" i="30" s="1"/>
  <c r="J61" i="29"/>
  <c r="K9" i="19"/>
  <c r="K12" i="19" s="1"/>
  <c r="K9" i="26"/>
  <c r="K12" i="26" s="1"/>
  <c r="H12" i="26"/>
  <c r="L9" i="26"/>
  <c r="L12" i="26" s="1"/>
  <c r="H12" i="28"/>
  <c r="L9" i="28"/>
  <c r="L12" i="28" s="1"/>
  <c r="K9" i="28"/>
  <c r="K12" i="28" s="1"/>
  <c r="J14" i="26"/>
  <c r="H12" i="24"/>
  <c r="L9" i="24"/>
  <c r="L12" i="24" s="1"/>
  <c r="K9" i="24"/>
  <c r="K12" i="24" s="1"/>
  <c r="J61" i="25"/>
  <c r="K9" i="27"/>
  <c r="K12" i="27" s="1"/>
  <c r="H12" i="27"/>
  <c r="L9" i="27"/>
  <c r="L12" i="27" s="1"/>
  <c r="J15" i="25"/>
  <c r="J14" i="25"/>
  <c r="K9" i="29"/>
  <c r="K12" i="29" s="1"/>
  <c r="H12" i="29"/>
  <c r="L9" i="29"/>
  <c r="L12" i="29" s="1"/>
  <c r="J61" i="28"/>
  <c r="J15" i="29"/>
  <c r="J14" i="29"/>
  <c r="K52" i="29" s="1"/>
  <c r="K55" i="29" s="1"/>
  <c r="K9" i="25"/>
  <c r="K12" i="25" s="1"/>
  <c r="H12" i="25"/>
  <c r="L9" i="25"/>
  <c r="L12" i="25" s="1"/>
  <c r="K9" i="23"/>
  <c r="K12" i="23" s="1"/>
  <c r="H12" i="23"/>
  <c r="H14" i="23" s="1"/>
  <c r="L9" i="23"/>
  <c r="L12" i="23" s="1"/>
  <c r="H14" i="22"/>
  <c r="H15" i="22" s="1"/>
  <c r="J61" i="23"/>
  <c r="J15" i="23"/>
  <c r="J14" i="23"/>
  <c r="H12" i="20"/>
  <c r="L9" i="20"/>
  <c r="L12" i="20" s="1"/>
  <c r="K9" i="20"/>
  <c r="K12" i="20" s="1"/>
  <c r="K9" i="21"/>
  <c r="K12" i="21" s="1"/>
  <c r="H12" i="21"/>
  <c r="L9" i="21"/>
  <c r="L12" i="21" s="1"/>
  <c r="J15" i="21"/>
  <c r="J14" i="21"/>
  <c r="J52" i="19"/>
  <c r="L14" i="19"/>
  <c r="F19" i="30" s="1"/>
  <c r="J15" i="19"/>
  <c r="J14" i="19"/>
  <c r="H14" i="19"/>
  <c r="H15" i="19" s="1"/>
  <c r="AR7" i="46" l="1"/>
  <c r="AF7" i="46"/>
  <c r="D7" i="46" s="1"/>
  <c r="AR7" i="45"/>
  <c r="AF7" i="45"/>
  <c r="D7" i="45" s="1"/>
  <c r="AQ7" i="44"/>
  <c r="AQ7" i="45"/>
  <c r="AP7" i="43"/>
  <c r="AP7" i="46"/>
  <c r="AP7" i="44"/>
  <c r="AP7" i="45"/>
  <c r="AO7" i="43"/>
  <c r="AO7" i="46"/>
  <c r="AN7" i="43"/>
  <c r="AN7" i="46"/>
  <c r="J15" i="22"/>
  <c r="AK7" i="43"/>
  <c r="AK7" i="46"/>
  <c r="AH7" i="43"/>
  <c r="AH7" i="46"/>
  <c r="J7" i="24"/>
  <c r="I7" i="24"/>
  <c r="I14" i="24" s="1"/>
  <c r="I52" i="24" s="1"/>
  <c r="I55" i="24" s="1"/>
  <c r="AM7" i="37" s="1"/>
  <c r="AL7" i="43"/>
  <c r="AL7" i="37"/>
  <c r="I4" i="31"/>
  <c r="AL7" i="16"/>
  <c r="AL7" i="38"/>
  <c r="AL7" i="34"/>
  <c r="L53" i="27"/>
  <c r="L53" i="24"/>
  <c r="L53" i="22"/>
  <c r="H52" i="22"/>
  <c r="H55" i="22" s="1"/>
  <c r="AL6" i="46" s="1"/>
  <c r="K14" i="22"/>
  <c r="J61" i="22"/>
  <c r="AR7" i="44"/>
  <c r="AF7" i="44"/>
  <c r="D7" i="44" s="1"/>
  <c r="AR7" i="43"/>
  <c r="AF7" i="43"/>
  <c r="D7" i="43" s="1"/>
  <c r="AJ7" i="39"/>
  <c r="AJ7" i="44"/>
  <c r="AJ7" i="38"/>
  <c r="AJ7" i="43"/>
  <c r="AR7" i="17"/>
  <c r="AF7" i="39"/>
  <c r="D7" i="39" s="1"/>
  <c r="AR7" i="39"/>
  <c r="AR7" i="36"/>
  <c r="AF7" i="36"/>
  <c r="D7" i="36" s="1"/>
  <c r="AR7" i="35"/>
  <c r="AF7" i="35"/>
  <c r="D7" i="35" s="1"/>
  <c r="AR7" i="16"/>
  <c r="AR7" i="38"/>
  <c r="AF7" i="38"/>
  <c r="D7" i="38" s="1"/>
  <c r="AR7" i="37"/>
  <c r="AF7" i="37"/>
  <c r="D7" i="37" s="1"/>
  <c r="AR7" i="34"/>
  <c r="AF7" i="34"/>
  <c r="D7" i="34" s="1"/>
  <c r="AQ7" i="17"/>
  <c r="AQ7" i="39"/>
  <c r="AQ7" i="36"/>
  <c r="AQ7" i="35"/>
  <c r="AP7" i="17"/>
  <c r="AP7" i="39"/>
  <c r="AP7" i="36"/>
  <c r="AP7" i="35"/>
  <c r="AP7" i="38"/>
  <c r="AP7" i="37"/>
  <c r="AP7" i="34"/>
  <c r="AO7" i="38"/>
  <c r="AO7" i="37"/>
  <c r="AO7" i="34"/>
  <c r="AN7" i="38"/>
  <c r="AN7" i="37"/>
  <c r="AN7" i="34"/>
  <c r="AH7" i="38"/>
  <c r="AH7" i="37"/>
  <c r="AH7" i="34"/>
  <c r="AK7" i="38"/>
  <c r="AK7" i="37"/>
  <c r="AK7" i="34"/>
  <c r="L53" i="20"/>
  <c r="AJ7" i="17"/>
  <c r="AJ7" i="36"/>
  <c r="AJ7" i="35"/>
  <c r="AJ7" i="37"/>
  <c r="AJ7" i="34"/>
  <c r="L53" i="21"/>
  <c r="I55" i="21"/>
  <c r="AP7" i="16"/>
  <c r="AO7" i="16"/>
  <c r="AN7" i="16"/>
  <c r="AK7" i="16"/>
  <c r="AJ7" i="16"/>
  <c r="AH7" i="16"/>
  <c r="J61" i="21"/>
  <c r="J61" i="24"/>
  <c r="AF7" i="17"/>
  <c r="D7" i="17" s="1"/>
  <c r="AF7" i="16"/>
  <c r="D7" i="16" s="1"/>
  <c r="J61" i="20"/>
  <c r="J15" i="27"/>
  <c r="M4" i="31"/>
  <c r="M11" i="31"/>
  <c r="L4" i="31"/>
  <c r="K52" i="26"/>
  <c r="K55" i="26" s="1"/>
  <c r="M22" i="30"/>
  <c r="K52" i="25"/>
  <c r="K55" i="25" s="1"/>
  <c r="L22" i="30"/>
  <c r="K4" i="31"/>
  <c r="K52" i="23"/>
  <c r="I22" i="30"/>
  <c r="H4" i="31"/>
  <c r="G11" i="31"/>
  <c r="G4" i="31"/>
  <c r="E4" i="31"/>
  <c r="J15" i="26"/>
  <c r="F1" i="22"/>
  <c r="J52" i="22"/>
  <c r="J55" i="22" s="1"/>
  <c r="AL6" i="45" s="1"/>
  <c r="J15" i="20"/>
  <c r="K52" i="19"/>
  <c r="K55" i="19" s="1"/>
  <c r="F22" i="30"/>
  <c r="K52" i="21"/>
  <c r="K55" i="21" s="1"/>
  <c r="G22" i="30"/>
  <c r="J55" i="19"/>
  <c r="K14" i="19"/>
  <c r="H52" i="19"/>
  <c r="J61" i="27"/>
  <c r="L15" i="22"/>
  <c r="H14" i="29"/>
  <c r="H15" i="29" s="1"/>
  <c r="H52" i="26"/>
  <c r="K14" i="26"/>
  <c r="J52" i="29"/>
  <c r="J55" i="29" s="1"/>
  <c r="L14" i="29"/>
  <c r="H52" i="27"/>
  <c r="K14" i="27"/>
  <c r="H52" i="28"/>
  <c r="K14" i="28"/>
  <c r="H14" i="26"/>
  <c r="H15" i="26" s="1"/>
  <c r="J52" i="25"/>
  <c r="J55" i="25" s="1"/>
  <c r="L14" i="25"/>
  <c r="L19" i="30" s="1"/>
  <c r="K14" i="25"/>
  <c r="H52" i="25"/>
  <c r="H14" i="27"/>
  <c r="H15" i="27" s="1"/>
  <c r="H14" i="24"/>
  <c r="H15" i="24" s="1"/>
  <c r="J52" i="26"/>
  <c r="J55" i="26" s="1"/>
  <c r="L14" i="26"/>
  <c r="M19" i="30" s="1"/>
  <c r="H52" i="24"/>
  <c r="K14" i="24"/>
  <c r="J52" i="28"/>
  <c r="J55" i="28" s="1"/>
  <c r="L14" i="28"/>
  <c r="H14" i="25"/>
  <c r="H15" i="25" s="1"/>
  <c r="K14" i="29"/>
  <c r="H52" i="29"/>
  <c r="J52" i="27"/>
  <c r="J55" i="27" s="1"/>
  <c r="L14" i="27"/>
  <c r="J52" i="24"/>
  <c r="J55" i="24" s="1"/>
  <c r="L14" i="24"/>
  <c r="K19" i="30" s="1"/>
  <c r="H14" i="28"/>
  <c r="H15" i="28" s="1"/>
  <c r="K14" i="23"/>
  <c r="H52" i="23"/>
  <c r="H15" i="23"/>
  <c r="J52" i="23"/>
  <c r="J55" i="23" s="1"/>
  <c r="L14" i="23"/>
  <c r="I19" i="30" s="1"/>
  <c r="H14" i="21"/>
  <c r="H15" i="21" s="1"/>
  <c r="H14" i="20"/>
  <c r="H15" i="20" s="1"/>
  <c r="J52" i="21"/>
  <c r="J55" i="21" s="1"/>
  <c r="L14" i="21"/>
  <c r="G19" i="30" s="1"/>
  <c r="J52" i="20"/>
  <c r="J55" i="20" s="1"/>
  <c r="AJ6" i="45" s="1"/>
  <c r="L14" i="20"/>
  <c r="H19" i="30" s="1"/>
  <c r="H52" i="20"/>
  <c r="K14" i="20"/>
  <c r="K14" i="21"/>
  <c r="G10" i="30" s="1"/>
  <c r="H52" i="21"/>
  <c r="AR6" i="45" l="1"/>
  <c r="AF6" i="45"/>
  <c r="AQ6" i="44"/>
  <c r="AQ6" i="45"/>
  <c r="AP6" i="44"/>
  <c r="AP6" i="45"/>
  <c r="AO6" i="44"/>
  <c r="AO6" i="45"/>
  <c r="AO7" i="44"/>
  <c r="AO7" i="45"/>
  <c r="AN6" i="44"/>
  <c r="AN6" i="45"/>
  <c r="AN7" i="44"/>
  <c r="AN7" i="45"/>
  <c r="AM7" i="38"/>
  <c r="AY8" i="46"/>
  <c r="AX8" i="46"/>
  <c r="AK6" i="44"/>
  <c r="AK6" i="45"/>
  <c r="AI7" i="44"/>
  <c r="AI7" i="45"/>
  <c r="AI7" i="43"/>
  <c r="AI7" i="46"/>
  <c r="AI6" i="44"/>
  <c r="AI6" i="45"/>
  <c r="AH6" i="44"/>
  <c r="AH6" i="45"/>
  <c r="AH7" i="44"/>
  <c r="AH7" i="45"/>
  <c r="J4" i="31"/>
  <c r="AM7" i="34"/>
  <c r="AM7" i="16"/>
  <c r="AM7" i="43"/>
  <c r="AM7" i="46"/>
  <c r="J14" i="24"/>
  <c r="J15" i="24"/>
  <c r="AM6" i="44"/>
  <c r="AM6" i="45"/>
  <c r="L52" i="26"/>
  <c r="L54" i="26" s="1"/>
  <c r="L52" i="23"/>
  <c r="L54" i="23" s="1"/>
  <c r="AL6" i="16"/>
  <c r="AL6" i="37"/>
  <c r="I3" i="31"/>
  <c r="AL6" i="43"/>
  <c r="AL6" i="38"/>
  <c r="AL6" i="34"/>
  <c r="AL6" i="17"/>
  <c r="AL6" i="44"/>
  <c r="AL6" i="36"/>
  <c r="AL6" i="35"/>
  <c r="AL6" i="39"/>
  <c r="I10" i="31"/>
  <c r="L52" i="27"/>
  <c r="L54" i="27" s="1"/>
  <c r="L52" i="25"/>
  <c r="L54" i="25" s="1"/>
  <c r="I56" i="22"/>
  <c r="AI7" i="16"/>
  <c r="AR6" i="44"/>
  <c r="AF6" i="44"/>
  <c r="AJ6" i="39"/>
  <c r="AY8" i="39" s="1"/>
  <c r="AJ6" i="44"/>
  <c r="AR6" i="17"/>
  <c r="AR6" i="39"/>
  <c r="AF6" i="39"/>
  <c r="AF6" i="36"/>
  <c r="AR6" i="36"/>
  <c r="AR6" i="35"/>
  <c r="AF6" i="35"/>
  <c r="AQ6" i="17"/>
  <c r="AQ6" i="39"/>
  <c r="AQ6" i="36"/>
  <c r="AQ6" i="35"/>
  <c r="AP6" i="17"/>
  <c r="AP6" i="39"/>
  <c r="AP6" i="36"/>
  <c r="AP6" i="35"/>
  <c r="AO6" i="39"/>
  <c r="AO6" i="36"/>
  <c r="AO6" i="35"/>
  <c r="AO7" i="17"/>
  <c r="AO7" i="39"/>
  <c r="AO7" i="36"/>
  <c r="AO7" i="35"/>
  <c r="AN6" i="39"/>
  <c r="AN6" i="36"/>
  <c r="AN6" i="35"/>
  <c r="AN7" i="17"/>
  <c r="AN7" i="39"/>
  <c r="AN7" i="36"/>
  <c r="AN7" i="35"/>
  <c r="AM6" i="39"/>
  <c r="AM6" i="36"/>
  <c r="AM6" i="35"/>
  <c r="AI7" i="39"/>
  <c r="AI7" i="36"/>
  <c r="AI6" i="35"/>
  <c r="AI6" i="39"/>
  <c r="AI6" i="36"/>
  <c r="F4" i="31"/>
  <c r="AI7" i="38"/>
  <c r="AI7" i="37"/>
  <c r="AH7" i="39"/>
  <c r="AH7" i="36"/>
  <c r="AH7" i="35"/>
  <c r="AH6" i="39"/>
  <c r="AH6" i="36"/>
  <c r="AH6" i="35"/>
  <c r="AK6" i="39"/>
  <c r="AK6" i="36"/>
  <c r="AK6" i="35"/>
  <c r="K55" i="23"/>
  <c r="AK7" i="45" s="1"/>
  <c r="H55" i="20"/>
  <c r="AJ6" i="46" s="1"/>
  <c r="L52" i="20"/>
  <c r="L54" i="20" s="1"/>
  <c r="AJ6" i="36"/>
  <c r="AJ6" i="35"/>
  <c r="AI7" i="17"/>
  <c r="AI7" i="35"/>
  <c r="L52" i="21"/>
  <c r="AI7" i="34"/>
  <c r="AO6" i="17"/>
  <c r="AN6" i="17"/>
  <c r="AM6" i="17"/>
  <c r="AK6" i="17"/>
  <c r="AJ6" i="17"/>
  <c r="AI6" i="17"/>
  <c r="L52" i="19"/>
  <c r="L54" i="19" s="1"/>
  <c r="AH7" i="17"/>
  <c r="AH6" i="17"/>
  <c r="L52" i="28"/>
  <c r="L54" i="28" s="1"/>
  <c r="H55" i="26"/>
  <c r="AO6" i="46" s="1"/>
  <c r="H55" i="25"/>
  <c r="AN6" i="46" s="1"/>
  <c r="H55" i="24"/>
  <c r="AM6" i="46" s="1"/>
  <c r="H55" i="23"/>
  <c r="AK6" i="46" s="1"/>
  <c r="H55" i="21"/>
  <c r="H55" i="19"/>
  <c r="L52" i="29"/>
  <c r="H55" i="29"/>
  <c r="AF6" i="17"/>
  <c r="D6" i="17" s="1"/>
  <c r="H55" i="28"/>
  <c r="H55" i="27"/>
  <c r="AP6" i="46" s="1"/>
  <c r="L10" i="31"/>
  <c r="K10" i="31"/>
  <c r="J10" i="31"/>
  <c r="H10" i="31"/>
  <c r="G10" i="31"/>
  <c r="G12" i="31" s="1"/>
  <c r="F10" i="31"/>
  <c r="L15" i="27"/>
  <c r="N19" i="30"/>
  <c r="K56" i="27"/>
  <c r="M10" i="31"/>
  <c r="M12" i="31" s="1"/>
  <c r="I67" i="27"/>
  <c r="L11" i="31"/>
  <c r="K11" i="31"/>
  <c r="K52" i="22"/>
  <c r="K55" i="22" s="1"/>
  <c r="J22" i="30"/>
  <c r="F11" i="31"/>
  <c r="E10" i="31"/>
  <c r="E11" i="31"/>
  <c r="L15" i="19"/>
  <c r="F10" i="30"/>
  <c r="K56" i="19"/>
  <c r="L15" i="26"/>
  <c r="K56" i="29"/>
  <c r="L15" i="29"/>
  <c r="L15" i="28"/>
  <c r="K56" i="28"/>
  <c r="K56" i="26"/>
  <c r="L15" i="25"/>
  <c r="K56" i="25"/>
  <c r="L15" i="24"/>
  <c r="L15" i="23"/>
  <c r="L15" i="20"/>
  <c r="K56" i="20"/>
  <c r="K56" i="21"/>
  <c r="L15" i="21"/>
  <c r="I31" i="5"/>
  <c r="I30" i="5"/>
  <c r="I29" i="5"/>
  <c r="I28" i="5"/>
  <c r="I27" i="5"/>
  <c r="I26" i="5"/>
  <c r="I25" i="5"/>
  <c r="I23" i="5"/>
  <c r="D6" i="45" l="1"/>
  <c r="AF8" i="45"/>
  <c r="AF6" i="46"/>
  <c r="AR6" i="46"/>
  <c r="AQ6" i="43"/>
  <c r="AQ6" i="46"/>
  <c r="L55" i="22"/>
  <c r="AL7" i="45"/>
  <c r="AX8" i="39"/>
  <c r="AI6" i="43"/>
  <c r="AI6" i="46"/>
  <c r="AH6" i="43"/>
  <c r="AH6" i="46"/>
  <c r="K52" i="24"/>
  <c r="K22" i="30"/>
  <c r="AL7" i="39"/>
  <c r="I11" i="31"/>
  <c r="I12" i="31" s="1"/>
  <c r="AL7" i="44"/>
  <c r="AL7" i="36"/>
  <c r="AL7" i="17"/>
  <c r="AL7" i="35"/>
  <c r="AP6" i="43"/>
  <c r="L55" i="27"/>
  <c r="AO6" i="43"/>
  <c r="L55" i="26"/>
  <c r="AN6" i="43"/>
  <c r="L55" i="25"/>
  <c r="L52" i="22"/>
  <c r="L54" i="22" s="1"/>
  <c r="L56" i="22" s="1"/>
  <c r="AK6" i="43"/>
  <c r="AY8" i="43" s="1"/>
  <c r="BN8" i="43" s="1"/>
  <c r="L55" i="23"/>
  <c r="AM6" i="43"/>
  <c r="AF6" i="43"/>
  <c r="AR6" i="43"/>
  <c r="D6" i="44"/>
  <c r="AF8" i="44"/>
  <c r="H11" i="31"/>
  <c r="H12" i="31" s="1"/>
  <c r="AK7" i="44"/>
  <c r="AJ6" i="34"/>
  <c r="AJ6" i="43"/>
  <c r="AJ6" i="37"/>
  <c r="G3" i="31"/>
  <c r="G5" i="31" s="1"/>
  <c r="D6" i="36"/>
  <c r="AF8" i="36"/>
  <c r="D8" i="36" s="1"/>
  <c r="AR6" i="16"/>
  <c r="AF6" i="38"/>
  <c r="AR6" i="38"/>
  <c r="AR6" i="37"/>
  <c r="AF6" i="37"/>
  <c r="AF6" i="34"/>
  <c r="AR6" i="34"/>
  <c r="D6" i="35"/>
  <c r="AF8" i="35"/>
  <c r="D8" i="35" s="1"/>
  <c r="D6" i="39"/>
  <c r="AF8" i="39"/>
  <c r="D8" i="39" s="1"/>
  <c r="AQ6" i="38"/>
  <c r="AQ6" i="37"/>
  <c r="AQ6" i="34"/>
  <c r="AP6" i="38"/>
  <c r="AP6" i="37"/>
  <c r="AP6" i="34"/>
  <c r="AO6" i="38"/>
  <c r="AO6" i="37"/>
  <c r="AO6" i="34"/>
  <c r="AN6" i="38"/>
  <c r="AN6" i="37"/>
  <c r="AN6" i="34"/>
  <c r="AM6" i="38"/>
  <c r="AM6" i="37"/>
  <c r="AM6" i="34"/>
  <c r="AJ6" i="16"/>
  <c r="L55" i="20"/>
  <c r="L56" i="20" s="1"/>
  <c r="AJ6" i="38"/>
  <c r="AI6" i="34"/>
  <c r="AI6" i="38"/>
  <c r="AI6" i="37"/>
  <c r="AY8" i="36"/>
  <c r="AX8" i="36"/>
  <c r="AH6" i="38"/>
  <c r="AH6" i="37"/>
  <c r="AH6" i="34"/>
  <c r="AY8" i="35"/>
  <c r="AX8" i="35"/>
  <c r="K56" i="23"/>
  <c r="AK6" i="38"/>
  <c r="AK6" i="37"/>
  <c r="AK6" i="34"/>
  <c r="AK7" i="17"/>
  <c r="AK7" i="39"/>
  <c r="AK7" i="36"/>
  <c r="AK7" i="35"/>
  <c r="L55" i="21"/>
  <c r="AI6" i="16"/>
  <c r="L55" i="19"/>
  <c r="L56" i="19" s="1"/>
  <c r="F3" i="31"/>
  <c r="F5" i="31" s="1"/>
  <c r="AQ6" i="16"/>
  <c r="L55" i="28"/>
  <c r="AP6" i="16"/>
  <c r="L3" i="31"/>
  <c r="L5" i="31" s="1"/>
  <c r="AO6" i="16"/>
  <c r="K3" i="31"/>
  <c r="K5" i="31" s="1"/>
  <c r="AN6" i="16"/>
  <c r="J3" i="31"/>
  <c r="J5" i="31" s="1"/>
  <c r="AM6" i="16"/>
  <c r="AX8" i="16" s="1"/>
  <c r="I5" i="31"/>
  <c r="H3" i="31"/>
  <c r="H5" i="31" s="1"/>
  <c r="AK6" i="16"/>
  <c r="E3" i="31"/>
  <c r="E5" i="31" s="1"/>
  <c r="AH6" i="16"/>
  <c r="L54" i="21"/>
  <c r="I56" i="19"/>
  <c r="G59" i="19" s="1"/>
  <c r="L55" i="29"/>
  <c r="AF6" i="16"/>
  <c r="D6" i="16" s="1"/>
  <c r="L54" i="29"/>
  <c r="M3" i="31"/>
  <c r="M5" i="31" s="1"/>
  <c r="I56" i="27"/>
  <c r="F12" i="31"/>
  <c r="L12" i="31"/>
  <c r="K12" i="31"/>
  <c r="K56" i="22"/>
  <c r="E12" i="31"/>
  <c r="I56" i="25"/>
  <c r="G59" i="25" s="1"/>
  <c r="L56" i="25"/>
  <c r="I56" i="29"/>
  <c r="G59" i="29" s="1"/>
  <c r="I56" i="26"/>
  <c r="G59" i="26" s="1"/>
  <c r="I56" i="24"/>
  <c r="I56" i="28"/>
  <c r="I56" i="23"/>
  <c r="I56" i="20"/>
  <c r="G59" i="20" s="1"/>
  <c r="I56" i="21"/>
  <c r="G59" i="21" s="1"/>
  <c r="D6" i="46" l="1"/>
  <c r="AF8" i="46"/>
  <c r="AF13" i="45"/>
  <c r="D8" i="45"/>
  <c r="AY8" i="45"/>
  <c r="AX8" i="45"/>
  <c r="K55" i="24"/>
  <c r="L52" i="24"/>
  <c r="L54" i="24" s="1"/>
  <c r="AX8" i="43"/>
  <c r="BM8" i="43" s="1"/>
  <c r="BO8" i="43" s="1"/>
  <c r="L56" i="26"/>
  <c r="AF13" i="44"/>
  <c r="D8" i="44"/>
  <c r="D6" i="43"/>
  <c r="AF8" i="43"/>
  <c r="D8" i="43" s="1"/>
  <c r="AY8" i="44"/>
  <c r="AX8" i="44"/>
  <c r="BI8" i="44" s="1"/>
  <c r="AF13" i="36"/>
  <c r="AF15" i="36" s="1"/>
  <c r="AF13" i="39"/>
  <c r="AF13" i="35"/>
  <c r="D6" i="37"/>
  <c r="AF8" i="37"/>
  <c r="D6" i="34"/>
  <c r="AF8" i="34"/>
  <c r="D6" i="38"/>
  <c r="AF8" i="38"/>
  <c r="D8" i="38" s="1"/>
  <c r="AY8" i="38"/>
  <c r="AX8" i="38"/>
  <c r="AY8" i="37"/>
  <c r="AX8" i="37"/>
  <c r="AX8" i="34"/>
  <c r="AY8" i="34"/>
  <c r="G59" i="23"/>
  <c r="L56" i="23"/>
  <c r="L56" i="21"/>
  <c r="L56" i="27"/>
  <c r="G59" i="22"/>
  <c r="L56" i="29"/>
  <c r="L56" i="28"/>
  <c r="AG5" i="45" l="1"/>
  <c r="AF15" i="45"/>
  <c r="AF13" i="46"/>
  <c r="D8" i="46"/>
  <c r="AM7" i="44"/>
  <c r="AM7" i="45"/>
  <c r="AM7" i="35"/>
  <c r="K56" i="24"/>
  <c r="G59" i="24" s="1"/>
  <c r="AM7" i="17"/>
  <c r="AX8" i="17" s="1"/>
  <c r="AM7" i="39"/>
  <c r="J11" i="31"/>
  <c r="J12" i="31" s="1"/>
  <c r="AM7" i="36"/>
  <c r="L55" i="24"/>
  <c r="L56" i="24" s="1"/>
  <c r="AF13" i="43"/>
  <c r="AF15" i="43" s="1"/>
  <c r="AG5" i="36"/>
  <c r="AG5" i="44"/>
  <c r="AF15" i="44"/>
  <c r="AF13" i="38"/>
  <c r="AF15" i="38" s="1"/>
  <c r="AF13" i="34"/>
  <c r="D8" i="34"/>
  <c r="AF13" i="37"/>
  <c r="D8" i="37"/>
  <c r="AG5" i="35"/>
  <c r="AF15" i="35"/>
  <c r="AG5" i="39"/>
  <c r="AF15" i="39"/>
  <c r="D28" i="17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AG5" i="46" l="1"/>
  <c r="AF15" i="46"/>
  <c r="AG5" i="43"/>
  <c r="AG5" i="38"/>
  <c r="AF15" i="34"/>
  <c r="AG5" i="34"/>
  <c r="AG5" i="37"/>
  <c r="AF15" i="37"/>
  <c r="H76" i="17"/>
  <c r="H43" i="17"/>
  <c r="F260" i="7" l="1"/>
  <c r="E8" i="17"/>
  <c r="E76" i="17" l="1"/>
  <c r="F73" i="17"/>
  <c r="F63" i="17"/>
  <c r="G63" i="17" s="1"/>
  <c r="H63" i="17" s="1"/>
  <c r="H60" i="17"/>
  <c r="G60" i="17"/>
  <c r="F60" i="17"/>
  <c r="D59" i="17"/>
  <c r="C59" i="17"/>
  <c r="D57" i="17"/>
  <c r="D56" i="17"/>
  <c r="F51" i="17"/>
  <c r="G51" i="17" s="1"/>
  <c r="H51" i="17" s="1"/>
  <c r="G73" i="17" l="1"/>
  <c r="E77" i="17"/>
  <c r="E43" i="17"/>
  <c r="F40" i="17"/>
  <c r="F30" i="17"/>
  <c r="G30" i="17" s="1"/>
  <c r="H30" i="17" s="1"/>
  <c r="H27" i="17"/>
  <c r="G27" i="17"/>
  <c r="E27" i="17"/>
  <c r="D26" i="17"/>
  <c r="C26" i="17"/>
  <c r="D25" i="17"/>
  <c r="C25" i="17"/>
  <c r="F18" i="17"/>
  <c r="G18" i="17" s="1"/>
  <c r="H18" i="17" s="1"/>
  <c r="F48" i="17"/>
  <c r="H73" i="17" l="1"/>
  <c r="G40" i="17"/>
  <c r="F77" i="17"/>
  <c r="E13" i="17"/>
  <c r="F3" i="17"/>
  <c r="F14" i="17"/>
  <c r="G48" i="17"/>
  <c r="H40" i="17" l="1"/>
  <c r="G3" i="17"/>
  <c r="E15" i="17"/>
  <c r="F5" i="17"/>
  <c r="F8" i="17" s="1"/>
  <c r="F80" i="16"/>
  <c r="E80" i="16"/>
  <c r="F78" i="16"/>
  <c r="F67" i="16"/>
  <c r="G67" i="16" s="1"/>
  <c r="H67" i="16" s="1"/>
  <c r="H64" i="16"/>
  <c r="G64" i="16"/>
  <c r="F64" i="16"/>
  <c r="E64" i="16"/>
  <c r="F54" i="16"/>
  <c r="G54" i="16" s="1"/>
  <c r="H54" i="16" s="1"/>
  <c r="H48" i="17"/>
  <c r="G14" i="17"/>
  <c r="F83" i="16"/>
  <c r="F13" i="17" l="1"/>
  <c r="G5" i="17" s="1"/>
  <c r="G8" i="17" s="1"/>
  <c r="H3" i="17"/>
  <c r="G78" i="16"/>
  <c r="E82" i="16"/>
  <c r="F282" i="10"/>
  <c r="F45" i="16"/>
  <c r="F28" i="16"/>
  <c r="G28" i="16"/>
  <c r="H28" i="16"/>
  <c r="E28" i="16"/>
  <c r="C238" i="10"/>
  <c r="E45" i="16"/>
  <c r="E46" i="16" s="1"/>
  <c r="H14" i="17"/>
  <c r="G83" i="16"/>
  <c r="F15" i="17" l="1"/>
  <c r="H78" i="16"/>
  <c r="E84" i="16"/>
  <c r="F79" i="16"/>
  <c r="F31" i="16"/>
  <c r="G31" i="16" s="1"/>
  <c r="H31" i="16" s="1"/>
  <c r="F18" i="16"/>
  <c r="G18" i="16" s="1"/>
  <c r="H18" i="16" s="1"/>
  <c r="E49" i="16"/>
  <c r="F42" i="16"/>
  <c r="H83" i="16"/>
  <c r="F50" i="16"/>
  <c r="G13" i="17" l="1"/>
  <c r="H5" i="17" s="1"/>
  <c r="H8" i="17" s="1"/>
  <c r="F82" i="16"/>
  <c r="G42" i="16"/>
  <c r="E51" i="16"/>
  <c r="F44" i="16"/>
  <c r="F46" i="16" s="1"/>
  <c r="G50" i="16"/>
  <c r="G15" i="17" l="1"/>
  <c r="F84" i="16"/>
  <c r="G79" i="16"/>
  <c r="H42" i="16"/>
  <c r="E8" i="16"/>
  <c r="H50" i="16"/>
  <c r="E13" i="16" l="1"/>
  <c r="F5" i="16" s="1"/>
  <c r="F8" i="16" s="1"/>
  <c r="G82" i="16"/>
  <c r="F49" i="16"/>
  <c r="F3" i="16"/>
  <c r="F14" i="16"/>
  <c r="F13" i="16" l="1"/>
  <c r="F15" i="16" s="1"/>
  <c r="E15" i="16"/>
  <c r="H13" i="17"/>
  <c r="G84" i="16"/>
  <c r="H79" i="16"/>
  <c r="F51" i="16"/>
  <c r="G44" i="16"/>
  <c r="G46" i="16" s="1"/>
  <c r="G3" i="16"/>
  <c r="C127" i="3"/>
  <c r="C160" i="6"/>
  <c r="C4" i="15"/>
  <c r="C7" i="15" s="1"/>
  <c r="B13" i="15"/>
  <c r="B7" i="15"/>
  <c r="N15" i="13"/>
  <c r="N14" i="13"/>
  <c r="G14" i="16"/>
  <c r="G5" i="16" l="1"/>
  <c r="G8" i="16" s="1"/>
  <c r="H15" i="17"/>
  <c r="H82" i="16"/>
  <c r="G49" i="16"/>
  <c r="H3" i="16"/>
  <c r="D4" i="15"/>
  <c r="C13" i="15"/>
  <c r="N16" i="13"/>
  <c r="H14" i="16"/>
  <c r="G13" i="16" l="1"/>
  <c r="H84" i="16"/>
  <c r="G51" i="16"/>
  <c r="H44" i="16"/>
  <c r="H46" i="16" s="1"/>
  <c r="E4" i="15"/>
  <c r="D7" i="15"/>
  <c r="D13" i="15"/>
  <c r="Q141" i="3"/>
  <c r="R140" i="3"/>
  <c r="R133" i="3"/>
  <c r="R132" i="3"/>
  <c r="S178" i="6"/>
  <c r="T177" i="6"/>
  <c r="S176" i="6"/>
  <c r="T173" i="6"/>
  <c r="T168" i="6"/>
  <c r="T167" i="6"/>
  <c r="G15" i="16" l="1"/>
  <c r="H5" i="16"/>
  <c r="T170" i="6"/>
  <c r="H49" i="16"/>
  <c r="F4" i="15"/>
  <c r="E7" i="15"/>
  <c r="E13" i="15"/>
  <c r="H8" i="16" l="1"/>
  <c r="H13" i="16" s="1"/>
  <c r="H51" i="16"/>
  <c r="G4" i="15"/>
  <c r="F7" i="15"/>
  <c r="F13" i="15"/>
  <c r="E293" i="7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H15" i="16" l="1"/>
  <c r="L10" i="18"/>
  <c r="L9" i="18"/>
  <c r="K10" i="18"/>
  <c r="H4" i="15"/>
  <c r="G13" i="15"/>
  <c r="G7" i="15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Y80" i="16"/>
  <c r="H13" i="15"/>
  <c r="I4" i="15"/>
  <c r="H7" i="15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I13" i="15" l="1"/>
  <c r="J4" i="15"/>
  <c r="I7" i="15"/>
  <c r="E39" i="14"/>
  <c r="A266" i="7"/>
  <c r="A284" i="7" s="1"/>
  <c r="A112" i="3"/>
  <c r="A120" i="3" s="1"/>
  <c r="A167" i="9"/>
  <c r="A183" i="9" s="1"/>
  <c r="G186" i="9" s="1"/>
  <c r="J13" i="15" l="1"/>
  <c r="J7" i="15"/>
  <c r="K4" i="15"/>
  <c r="A126" i="3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L4" i="15" l="1"/>
  <c r="K13" i="15"/>
  <c r="K7" i="15"/>
  <c r="J173" i="9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M4" i="15" l="1"/>
  <c r="L7" i="15"/>
  <c r="L13" i="15"/>
  <c r="I276" i="10"/>
  <c r="J276" i="10"/>
  <c r="M13" i="15" l="1"/>
  <c r="N4" i="15"/>
  <c r="N7" i="15" s="1"/>
  <c r="M7" i="15"/>
  <c r="C148" i="6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V82" i="16" l="1"/>
  <c r="J217" i="7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V84" i="16" l="1"/>
  <c r="W82" i="16"/>
  <c r="J199" i="7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W84" i="16" l="1"/>
  <c r="X82" i="16"/>
  <c r="J77" i="9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X84" i="16" l="1"/>
  <c r="Y82" i="16"/>
  <c r="J145" i="7"/>
  <c r="I60" i="9"/>
  <c r="Y84" i="16" l="1"/>
  <c r="Z82" i="16"/>
  <c r="J61" i="9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Z84" i="16" l="1"/>
  <c r="AA82" i="16"/>
  <c r="C131" i="7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AA84" i="16" l="1"/>
  <c r="AB82" i="16"/>
  <c r="J106" i="10"/>
  <c r="AB84" i="16" l="1"/>
  <c r="AC82" i="16"/>
  <c r="D117" i="7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AC84" i="16" l="1"/>
  <c r="AD82" i="16"/>
  <c r="C44" i="12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AD84" i="16" l="1"/>
  <c r="AE82" i="16"/>
  <c r="S41" i="12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AE84" i="16" l="1"/>
  <c r="AF79" i="16"/>
  <c r="AF82" i="16" s="1"/>
  <c r="J30" i="9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AF84" i="16" l="1"/>
  <c r="AG79" i="16"/>
  <c r="AG82" i="16" s="1"/>
  <c r="I12" i="9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AG84" i="16" l="1"/>
  <c r="AH79" i="16"/>
  <c r="AH82" i="16" s="1"/>
  <c r="J13" i="9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AH84" i="16" l="1"/>
  <c r="AI79" i="16"/>
  <c r="AI82" i="16" s="1"/>
  <c r="M132" i="6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AI84" i="16" l="1"/>
  <c r="AJ79" i="16"/>
  <c r="AJ82" i="16" s="1"/>
  <c r="J58" i="7"/>
  <c r="AJ84" i="16" l="1"/>
  <c r="AK79" i="16"/>
  <c r="AK82" i="16" s="1"/>
  <c r="A23" i="12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AL79" i="16" l="1"/>
  <c r="AL82" i="16" s="1"/>
  <c r="AK84" i="16"/>
  <c r="C26" i="10"/>
  <c r="C28" i="10" s="1"/>
  <c r="T21" i="12"/>
  <c r="S21" i="12"/>
  <c r="S16" i="12"/>
  <c r="T15" i="12"/>
  <c r="C16" i="12"/>
  <c r="T12" i="12"/>
  <c r="S12" i="12"/>
  <c r="H11" i="6"/>
  <c r="E11" i="6" s="1"/>
  <c r="H10" i="6"/>
  <c r="AM79" i="16" l="1"/>
  <c r="AM82" i="16" s="1"/>
  <c r="AL84" i="16"/>
  <c r="H22" i="12"/>
  <c r="C22" i="12" s="1"/>
  <c r="E10" i="6"/>
  <c r="E9" i="12" s="1"/>
  <c r="E16" i="12" s="1"/>
  <c r="H9" i="12"/>
  <c r="H16" i="12" s="1"/>
  <c r="D11" i="6"/>
  <c r="D10" i="6"/>
  <c r="D9" i="12" s="1"/>
  <c r="D16" i="12" s="1"/>
  <c r="AM84" i="16" l="1"/>
  <c r="AN79" i="16"/>
  <c r="AN82" i="16" s="1"/>
  <c r="E23" i="12"/>
  <c r="D23" i="12"/>
  <c r="S19" i="12"/>
  <c r="T19" i="12"/>
  <c r="T22" i="12"/>
  <c r="C23" i="12"/>
  <c r="S23" i="12"/>
  <c r="H23" i="12"/>
  <c r="AN84" i="16" l="1"/>
  <c r="AO79" i="16"/>
  <c r="AO82" i="16" s="1"/>
  <c r="D30" i="12"/>
  <c r="E30" i="12"/>
  <c r="H29" i="12"/>
  <c r="C29" i="12" s="1"/>
  <c r="A16" i="12"/>
  <c r="T18" i="6"/>
  <c r="E8" i="7"/>
  <c r="AO84" i="16" l="1"/>
  <c r="AP79" i="16"/>
  <c r="AP82" i="16" s="1"/>
  <c r="V49" i="16"/>
  <c r="V51" i="16" s="1"/>
  <c r="D37" i="12"/>
  <c r="E37" i="12"/>
  <c r="H30" i="12"/>
  <c r="S26" i="12"/>
  <c r="T26" i="12"/>
  <c r="S30" i="12"/>
  <c r="T29" i="12"/>
  <c r="C30" i="12"/>
  <c r="C1153" i="12"/>
  <c r="D27" i="7"/>
  <c r="G15" i="7"/>
  <c r="A20" i="6"/>
  <c r="C18" i="6"/>
  <c r="AQ79" i="16" l="1"/>
  <c r="AQ82" i="16" s="1"/>
  <c r="AP84" i="16"/>
  <c r="E45" i="12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AR79" i="16" l="1"/>
  <c r="AR82" i="16" s="1"/>
  <c r="AR84" i="16" s="1"/>
  <c r="AQ84" i="16"/>
  <c r="W49" i="16"/>
  <c r="E61" i="12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W51" i="16" l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X49" i="16" l="1"/>
  <c r="L110" i="3"/>
  <c r="L118" i="3" s="1"/>
  <c r="L126" i="3" s="1"/>
  <c r="L128" i="3" s="1"/>
  <c r="J141" i="6"/>
  <c r="L141" i="6"/>
  <c r="I132" i="6"/>
  <c r="I141" i="6" s="1"/>
  <c r="K132" i="6"/>
  <c r="C60" i="12"/>
  <c r="X51" i="16" l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G32" i="5"/>
  <c r="C43" i="5"/>
  <c r="C27" i="5"/>
  <c r="C22" i="5"/>
  <c r="C30" i="5" l="1"/>
  <c r="C32" i="5" s="1"/>
  <c r="C34" i="5" s="1"/>
  <c r="D27" i="16"/>
  <c r="C27" i="16"/>
  <c r="C28" i="16"/>
  <c r="AG45" i="16"/>
  <c r="Y49" i="16"/>
  <c r="Y51" i="16" s="1"/>
  <c r="K150" i="6"/>
  <c r="K159" i="6" s="1"/>
  <c r="C68" i="12"/>
  <c r="C55" i="5"/>
  <c r="C58" i="5" s="1"/>
  <c r="AX44" i="16" l="1"/>
  <c r="AY44" i="16"/>
  <c r="C60" i="5"/>
  <c r="C62" i="5" s="1"/>
  <c r="C45" i="16"/>
  <c r="D45" i="16"/>
  <c r="S69" i="12"/>
  <c r="T68" i="12"/>
  <c r="T65" i="12"/>
  <c r="S65" i="12"/>
  <c r="C69" i="12"/>
  <c r="H69" i="12"/>
  <c r="K8" i="18" l="1"/>
  <c r="L8" i="18"/>
  <c r="Z49" i="16"/>
  <c r="Z51" i="16" s="1"/>
  <c r="H76" i="12"/>
  <c r="C76" i="12" s="1"/>
  <c r="C77" i="12" s="1"/>
  <c r="H7" i="5"/>
  <c r="E9" i="7"/>
  <c r="H84" i="12" l="1"/>
  <c r="C84" i="12" s="1"/>
  <c r="H77" i="12"/>
  <c r="T76" i="12"/>
  <c r="S77" i="12"/>
  <c r="T73" i="12"/>
  <c r="S73" i="12"/>
  <c r="E25" i="7"/>
  <c r="E26" i="7"/>
  <c r="I18" i="7" s="1"/>
  <c r="G25" i="7"/>
  <c r="AA49" i="16" l="1"/>
  <c r="S81" i="12"/>
  <c r="S85" i="12"/>
  <c r="T84" i="12"/>
  <c r="T81" i="12"/>
  <c r="C85" i="12"/>
  <c r="H85" i="12"/>
  <c r="E27" i="7"/>
  <c r="E61" i="7" s="1"/>
  <c r="E63" i="7" s="1"/>
  <c r="AA51" i="16" l="1"/>
  <c r="C92" i="12"/>
  <c r="C93" i="12" s="1"/>
  <c r="E80" i="7"/>
  <c r="I72" i="7" s="1"/>
  <c r="E79" i="7"/>
  <c r="G79" i="7"/>
  <c r="I21" i="7"/>
  <c r="J22" i="7" s="1"/>
  <c r="AB49" i="16" l="1"/>
  <c r="H100" i="12"/>
  <c r="C100" i="12" s="1"/>
  <c r="T92" i="12"/>
  <c r="S93" i="12"/>
  <c r="T89" i="12"/>
  <c r="S89" i="12"/>
  <c r="H93" i="12"/>
  <c r="E81" i="7"/>
  <c r="AB51" i="16" l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C49" i="16" l="1"/>
  <c r="AC51" i="16" s="1"/>
  <c r="I16" i="14"/>
  <c r="J15" i="14"/>
  <c r="G23" i="14"/>
  <c r="E23" i="14"/>
  <c r="T102" i="12"/>
  <c r="E99" i="7"/>
  <c r="I17" i="14" l="1"/>
  <c r="J17" i="14"/>
  <c r="E25" i="14"/>
  <c r="G115" i="7"/>
  <c r="E116" i="7"/>
  <c r="I108" i="7" s="1"/>
  <c r="E115" i="7"/>
  <c r="I93" i="7"/>
  <c r="J94" i="7" s="1"/>
  <c r="C1484" i="5"/>
  <c r="C1010" i="3"/>
  <c r="C1066" i="6"/>
  <c r="AD49" i="16" l="1"/>
  <c r="E42" i="14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AD51" i="16" l="1"/>
  <c r="G42" i="14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AE49" i="16" l="1"/>
  <c r="AF44" i="16" s="1"/>
  <c r="J37" i="14"/>
  <c r="I37" i="14"/>
  <c r="E135" i="7"/>
  <c r="G20" i="6"/>
  <c r="F20" i="6"/>
  <c r="P355" i="7"/>
  <c r="F1" i="5"/>
  <c r="AE51" i="16" l="1"/>
  <c r="AF46" i="16"/>
  <c r="J38" i="14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G44" i="5"/>
  <c r="I44" i="5" s="1"/>
  <c r="AY41" i="16" l="1"/>
  <c r="AF49" i="16"/>
  <c r="G159" i="6"/>
  <c r="G161" i="6" s="1"/>
  <c r="F110" i="6"/>
  <c r="F119" i="6" s="1"/>
  <c r="F128" i="6" s="1"/>
  <c r="F132" i="6" s="1"/>
  <c r="F141" i="6" s="1"/>
  <c r="F150" i="6" s="1"/>
  <c r="E153" i="7"/>
  <c r="G43" i="5"/>
  <c r="I43" i="5" s="1"/>
  <c r="G42" i="5"/>
  <c r="I42" i="5" s="1"/>
  <c r="G40" i="5"/>
  <c r="I40" i="5" s="1"/>
  <c r="AF51" i="16" l="1"/>
  <c r="AG44" i="16"/>
  <c r="F159" i="6"/>
  <c r="F161" i="6" s="1"/>
  <c r="E169" i="7"/>
  <c r="E170" i="7"/>
  <c r="I162" i="7" s="1"/>
  <c r="I147" i="7"/>
  <c r="J148" i="7" s="1"/>
  <c r="G169" i="7"/>
  <c r="G41" i="5"/>
  <c r="I41" i="5" s="1"/>
  <c r="AG46" i="16" l="1"/>
  <c r="AG49" i="16" s="1"/>
  <c r="E171" i="7"/>
  <c r="G37" i="5"/>
  <c r="I37" i="5" s="1"/>
  <c r="G34" i="5"/>
  <c r="G39" i="5"/>
  <c r="I39" i="5" s="1"/>
  <c r="AH44" i="16" l="1"/>
  <c r="AG51" i="16"/>
  <c r="E188" i="7"/>
  <c r="I180" i="7" s="1"/>
  <c r="E187" i="7"/>
  <c r="I165" i="7"/>
  <c r="J166" i="7" s="1"/>
  <c r="G187" i="7"/>
  <c r="I45" i="5"/>
  <c r="H53" i="5" s="1"/>
  <c r="G45" i="5"/>
  <c r="I32" i="5"/>
  <c r="I53" i="5" s="1"/>
  <c r="E11" i="30" s="1"/>
  <c r="AH46" i="16" l="1"/>
  <c r="E8" i="30"/>
  <c r="E189" i="7"/>
  <c r="I33" i="5"/>
  <c r="I46" i="5"/>
  <c r="G47" i="5"/>
  <c r="AH49" i="16" l="1"/>
  <c r="AH51" i="16" s="1"/>
  <c r="E205" i="7"/>
  <c r="E206" i="7"/>
  <c r="I183" i="7"/>
  <c r="J184" i="7" s="1"/>
  <c r="G205" i="7"/>
  <c r="K39" i="5"/>
  <c r="K38" i="5"/>
  <c r="AS54" i="45" l="1"/>
  <c r="AG54" i="45"/>
  <c r="AS55" i="45"/>
  <c r="AG55" i="45"/>
  <c r="AS54" i="44"/>
  <c r="AG54" i="44"/>
  <c r="AG55" i="44"/>
  <c r="AS55" i="44"/>
  <c r="AI44" i="16"/>
  <c r="AI46" i="16" s="1"/>
  <c r="AS55" i="39"/>
  <c r="AG55" i="39"/>
  <c r="AG55" i="36"/>
  <c r="AS55" i="36"/>
  <c r="AG55" i="35"/>
  <c r="AS55" i="35"/>
  <c r="AS54" i="39"/>
  <c r="AG54" i="39"/>
  <c r="AS54" i="36"/>
  <c r="AG54" i="36"/>
  <c r="AG54" i="35"/>
  <c r="AS54" i="35"/>
  <c r="AG54" i="17"/>
  <c r="AG55" i="17"/>
  <c r="C51" i="14"/>
  <c r="E51" i="14" s="1"/>
  <c r="M39" i="5"/>
  <c r="C50" i="14"/>
  <c r="E50" i="14" s="1"/>
  <c r="M38" i="5"/>
  <c r="E207" i="7"/>
  <c r="E223" i="7" s="1"/>
  <c r="I198" i="7"/>
  <c r="K40" i="5"/>
  <c r="M40" i="5" s="1"/>
  <c r="K37" i="5"/>
  <c r="AG20" i="45" l="1"/>
  <c r="AS53" i="45"/>
  <c r="AG53" i="45"/>
  <c r="AS53" i="44"/>
  <c r="AG53" i="44"/>
  <c r="AG20" i="44"/>
  <c r="AG20" i="39"/>
  <c r="AS53" i="39"/>
  <c r="AG53" i="39"/>
  <c r="AG20" i="36"/>
  <c r="AS53" i="36"/>
  <c r="AG53" i="36"/>
  <c r="AS53" i="35"/>
  <c r="AG20" i="35"/>
  <c r="AG53" i="35"/>
  <c r="AI49" i="16"/>
  <c r="AI51" i="16" s="1"/>
  <c r="AG53" i="17"/>
  <c r="AG20" i="17"/>
  <c r="C49" i="14"/>
  <c r="E49" i="14" s="1"/>
  <c r="M37" i="5"/>
  <c r="G223" i="7"/>
  <c r="I201" i="7"/>
  <c r="J202" i="7" s="1"/>
  <c r="E224" i="7"/>
  <c r="I216" i="7" s="1"/>
  <c r="M28" i="5"/>
  <c r="M29" i="5" s="1"/>
  <c r="K36" i="5"/>
  <c r="AS52" i="45" l="1"/>
  <c r="AS60" i="45" s="1"/>
  <c r="AG19" i="45"/>
  <c r="AG52" i="45"/>
  <c r="AG60" i="45" s="1"/>
  <c r="D20" i="45"/>
  <c r="C20" i="45"/>
  <c r="C20" i="44"/>
  <c r="D20" i="44"/>
  <c r="AS52" i="44"/>
  <c r="AS60" i="44" s="1"/>
  <c r="AG19" i="44"/>
  <c r="AG52" i="44"/>
  <c r="AG60" i="44" s="1"/>
  <c r="AG19" i="39"/>
  <c r="AG27" i="39" s="1"/>
  <c r="AG52" i="39"/>
  <c r="AG60" i="39" s="1"/>
  <c r="AS52" i="39"/>
  <c r="AS60" i="39" s="1"/>
  <c r="AG19" i="36"/>
  <c r="AG27" i="36" s="1"/>
  <c r="AG52" i="36"/>
  <c r="AG60" i="36" s="1"/>
  <c r="AS52" i="36"/>
  <c r="AS60" i="36" s="1"/>
  <c r="AS52" i="35"/>
  <c r="AS60" i="35" s="1"/>
  <c r="AG52" i="35"/>
  <c r="AG60" i="35" s="1"/>
  <c r="AG19" i="35"/>
  <c r="AG43" i="35" s="1"/>
  <c r="AJ44" i="16"/>
  <c r="AJ46" i="16" s="1"/>
  <c r="D20" i="36"/>
  <c r="C20" i="36"/>
  <c r="AG27" i="35"/>
  <c r="D20" i="35"/>
  <c r="C20" i="35"/>
  <c r="D20" i="39"/>
  <c r="C20" i="39"/>
  <c r="D20" i="17"/>
  <c r="C20" i="17"/>
  <c r="AG19" i="17"/>
  <c r="AG52" i="17"/>
  <c r="AG60" i="17" s="1"/>
  <c r="C48" i="14"/>
  <c r="M36" i="5"/>
  <c r="M43" i="5" s="1"/>
  <c r="J53" i="5" s="1"/>
  <c r="E225" i="7"/>
  <c r="K43" i="5"/>
  <c r="K5" i="5" s="1"/>
  <c r="K53" i="5"/>
  <c r="E20" i="30" s="1"/>
  <c r="E42" i="44" l="1"/>
  <c r="E42" i="45"/>
  <c r="E44" i="45" s="1"/>
  <c r="E47" i="45" s="1"/>
  <c r="C19" i="45"/>
  <c r="AG43" i="45"/>
  <c r="AG27" i="45"/>
  <c r="D19" i="45"/>
  <c r="E44" i="44"/>
  <c r="E47" i="44" s="1"/>
  <c r="AG43" i="44"/>
  <c r="C19" i="44"/>
  <c r="AG27" i="44"/>
  <c r="D19" i="44"/>
  <c r="AG43" i="36"/>
  <c r="D43" i="36" s="1"/>
  <c r="AG43" i="39"/>
  <c r="AG44" i="39" s="1"/>
  <c r="AG47" i="39" s="1"/>
  <c r="D19" i="35"/>
  <c r="C19" i="35"/>
  <c r="C19" i="39"/>
  <c r="D19" i="39"/>
  <c r="C19" i="36"/>
  <c r="D19" i="36"/>
  <c r="E42" i="39"/>
  <c r="E42" i="36"/>
  <c r="E42" i="35"/>
  <c r="E44" i="35" s="1"/>
  <c r="E47" i="35" s="1"/>
  <c r="D43" i="35"/>
  <c r="C43" i="35"/>
  <c r="AG44" i="35"/>
  <c r="AG47" i="35" s="1"/>
  <c r="AJ49" i="16"/>
  <c r="AK44" i="16" s="1"/>
  <c r="L53" i="5"/>
  <c r="AG27" i="17"/>
  <c r="AG43" i="17"/>
  <c r="D19" i="17"/>
  <c r="C19" i="17"/>
  <c r="E17" i="30"/>
  <c r="J61" i="5"/>
  <c r="U27" i="17"/>
  <c r="C27" i="17" s="1"/>
  <c r="I219" i="7"/>
  <c r="J220" i="7" s="1"/>
  <c r="E42" i="17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E49" i="45" l="1"/>
  <c r="F42" i="45"/>
  <c r="F44" i="45" s="1"/>
  <c r="F47" i="45" s="1"/>
  <c r="C43" i="45"/>
  <c r="D43" i="45"/>
  <c r="AG44" i="45"/>
  <c r="AG47" i="45" s="1"/>
  <c r="AG44" i="36"/>
  <c r="AG47" i="36" s="1"/>
  <c r="AH42" i="36" s="1"/>
  <c r="AH44" i="36" s="1"/>
  <c r="AH47" i="36" s="1"/>
  <c r="F42" i="44"/>
  <c r="E49" i="44"/>
  <c r="C43" i="36"/>
  <c r="D43" i="44"/>
  <c r="C43" i="44"/>
  <c r="AG44" i="44"/>
  <c r="AG47" i="44" s="1"/>
  <c r="C43" i="39"/>
  <c r="D43" i="39"/>
  <c r="E44" i="36"/>
  <c r="E47" i="36" s="1"/>
  <c r="E49" i="35"/>
  <c r="F42" i="35"/>
  <c r="F44" i="35" s="1"/>
  <c r="F47" i="35" s="1"/>
  <c r="E44" i="39"/>
  <c r="E47" i="39" s="1"/>
  <c r="AJ51" i="16"/>
  <c r="AG49" i="39"/>
  <c r="AH42" i="39"/>
  <c r="AH42" i="35"/>
  <c r="AG49" i="35"/>
  <c r="AK46" i="16"/>
  <c r="AY45" i="17"/>
  <c r="AX45" i="17"/>
  <c r="D43" i="17"/>
  <c r="C43" i="17"/>
  <c r="E44" i="17"/>
  <c r="E47" i="17" s="1"/>
  <c r="L28" i="18"/>
  <c r="K28" i="18"/>
  <c r="D27" i="17"/>
  <c r="G59" i="14"/>
  <c r="E59" i="14"/>
  <c r="E243" i="7"/>
  <c r="H11" i="5"/>
  <c r="L11" i="5" s="1"/>
  <c r="H10" i="5"/>
  <c r="K10" i="5" s="1"/>
  <c r="F49" i="45" l="1"/>
  <c r="G42" i="45"/>
  <c r="AG49" i="36"/>
  <c r="AH42" i="45"/>
  <c r="AG49" i="45"/>
  <c r="F44" i="44"/>
  <c r="F47" i="44" s="1"/>
  <c r="AH42" i="44"/>
  <c r="AG49" i="44"/>
  <c r="F42" i="39"/>
  <c r="E49" i="39"/>
  <c r="F42" i="36"/>
  <c r="F44" i="36" s="1"/>
  <c r="F47" i="36" s="1"/>
  <c r="E49" i="36"/>
  <c r="G42" i="35"/>
  <c r="G44" i="35" s="1"/>
  <c r="G47" i="35" s="1"/>
  <c r="F49" i="35"/>
  <c r="AI42" i="36"/>
  <c r="AH49" i="36"/>
  <c r="AH44" i="39"/>
  <c r="AH47" i="39" s="1"/>
  <c r="AH44" i="35"/>
  <c r="AH47" i="35" s="1"/>
  <c r="AK49" i="16"/>
  <c r="AL44" i="16" s="1"/>
  <c r="K20" i="18"/>
  <c r="L20" i="18"/>
  <c r="F42" i="17"/>
  <c r="F44" i="17" s="1"/>
  <c r="E49" i="17"/>
  <c r="I53" i="14"/>
  <c r="E61" i="14"/>
  <c r="J53" i="14"/>
  <c r="I52" i="14"/>
  <c r="J51" i="14"/>
  <c r="I237" i="7"/>
  <c r="J238" i="7" s="1"/>
  <c r="G261" i="7"/>
  <c r="I7" i="5"/>
  <c r="I14" i="5" s="1"/>
  <c r="H61" i="14"/>
  <c r="G44" i="45" l="1"/>
  <c r="G47" i="45"/>
  <c r="AH44" i="45"/>
  <c r="AH47" i="45" s="1"/>
  <c r="AK51" i="16"/>
  <c r="AL46" i="16"/>
  <c r="G42" i="44"/>
  <c r="F49" i="44"/>
  <c r="AH44" i="44"/>
  <c r="AH47" i="44" s="1"/>
  <c r="F49" i="36"/>
  <c r="G42" i="36"/>
  <c r="G44" i="36" s="1"/>
  <c r="G47" i="36" s="1"/>
  <c r="H42" i="35"/>
  <c r="H44" i="35" s="1"/>
  <c r="H47" i="35" s="1"/>
  <c r="H49" i="35" s="1"/>
  <c r="G49" i="35"/>
  <c r="F44" i="39"/>
  <c r="F47" i="39" s="1"/>
  <c r="AH49" i="39"/>
  <c r="AI42" i="39"/>
  <c r="AH49" i="35"/>
  <c r="AI42" i="35"/>
  <c r="AX44" i="35"/>
  <c r="AY42" i="35"/>
  <c r="AX43" i="35"/>
  <c r="AY44" i="35"/>
  <c r="AI44" i="36"/>
  <c r="AI47" i="36" s="1"/>
  <c r="I52" i="5"/>
  <c r="I55" i="5" s="1"/>
  <c r="E13" i="30"/>
  <c r="I55" i="14"/>
  <c r="J55" i="14"/>
  <c r="J7" i="5"/>
  <c r="J14" i="5" s="1"/>
  <c r="E22" i="30" s="1"/>
  <c r="H42" i="45" l="1"/>
  <c r="H44" i="45" s="1"/>
  <c r="H47" i="45" s="1"/>
  <c r="H49" i="45" s="1"/>
  <c r="G49" i="45"/>
  <c r="AG7" i="43"/>
  <c r="C7" i="43" s="1"/>
  <c r="AG7" i="46"/>
  <c r="C7" i="46" s="1"/>
  <c r="AI42" i="45"/>
  <c r="AH49" i="45"/>
  <c r="AL49" i="16"/>
  <c r="AM44" i="16" s="1"/>
  <c r="G44" i="44"/>
  <c r="G47" i="44" s="1"/>
  <c r="AH49" i="44"/>
  <c r="AI42" i="44"/>
  <c r="H42" i="36"/>
  <c r="H44" i="36" s="1"/>
  <c r="H47" i="36" s="1"/>
  <c r="H49" i="36" s="1"/>
  <c r="G49" i="36"/>
  <c r="G42" i="39"/>
  <c r="G44" i="39" s="1"/>
  <c r="G47" i="39" s="1"/>
  <c r="F49" i="39"/>
  <c r="AY48" i="35"/>
  <c r="AG7" i="38"/>
  <c r="C7" i="38" s="1"/>
  <c r="AG7" i="37"/>
  <c r="C7" i="37" s="1"/>
  <c r="AG7" i="34"/>
  <c r="C7" i="34" s="1"/>
  <c r="AY44" i="36"/>
  <c r="AX43" i="36"/>
  <c r="AY42" i="36"/>
  <c r="AX44" i="36"/>
  <c r="AI44" i="39"/>
  <c r="AI47" i="39" s="1"/>
  <c r="AI44" i="35"/>
  <c r="AI47" i="35" s="1"/>
  <c r="AI49" i="36"/>
  <c r="AJ42" i="36"/>
  <c r="AG7" i="16"/>
  <c r="C7" i="16" s="1"/>
  <c r="E9" i="15"/>
  <c r="D4" i="31"/>
  <c r="J56" i="14"/>
  <c r="F47" i="17"/>
  <c r="E120" i="3"/>
  <c r="K52" i="5"/>
  <c r="K55" i="5" s="1"/>
  <c r="J15" i="5"/>
  <c r="H9" i="5"/>
  <c r="K9" i="5" s="1"/>
  <c r="AG7" i="44" l="1"/>
  <c r="C7" i="44" s="1"/>
  <c r="AG7" i="45"/>
  <c r="C7" i="45" s="1"/>
  <c r="AI44" i="45"/>
  <c r="AI47" i="45" s="1"/>
  <c r="AL51" i="16"/>
  <c r="H42" i="44"/>
  <c r="H44" i="44" s="1"/>
  <c r="H47" i="44" s="1"/>
  <c r="H49" i="44" s="1"/>
  <c r="G49" i="44"/>
  <c r="AI44" i="44"/>
  <c r="AI47" i="44" s="1"/>
  <c r="H42" i="39"/>
  <c r="H44" i="39" s="1"/>
  <c r="H47" i="39" s="1"/>
  <c r="H49" i="39" s="1"/>
  <c r="G49" i="39"/>
  <c r="AJ42" i="35"/>
  <c r="AI49" i="35"/>
  <c r="AJ42" i="39"/>
  <c r="AI49" i="39"/>
  <c r="AG7" i="17"/>
  <c r="C7" i="17" s="1"/>
  <c r="AG7" i="39"/>
  <c r="C7" i="39" s="1"/>
  <c r="AG7" i="36"/>
  <c r="C7" i="36" s="1"/>
  <c r="AG7" i="35"/>
  <c r="C7" i="35" s="1"/>
  <c r="AJ44" i="36"/>
  <c r="AJ47" i="36" s="1"/>
  <c r="AY48" i="36"/>
  <c r="AM46" i="16"/>
  <c r="AM49" i="16" s="1"/>
  <c r="AM51" i="16" s="1"/>
  <c r="E15" i="15"/>
  <c r="D11" i="31"/>
  <c r="P4" i="31"/>
  <c r="O4" i="31"/>
  <c r="G42" i="17"/>
  <c r="F49" i="17"/>
  <c r="E155" i="6"/>
  <c r="B9" i="13"/>
  <c r="E11" i="3"/>
  <c r="E19" i="3" s="1"/>
  <c r="K12" i="5"/>
  <c r="H52" i="5" s="1"/>
  <c r="L9" i="5"/>
  <c r="L12" i="5" s="1"/>
  <c r="J52" i="5" s="1"/>
  <c r="H12" i="5"/>
  <c r="AI49" i="45" l="1"/>
  <c r="AJ42" i="45"/>
  <c r="AJ44" i="45" s="1"/>
  <c r="AJ47" i="45" s="1"/>
  <c r="AY43" i="16"/>
  <c r="L7" i="18" s="1"/>
  <c r="AX43" i="16"/>
  <c r="K7" i="18" s="1"/>
  <c r="AX42" i="16"/>
  <c r="AI49" i="44"/>
  <c r="AJ42" i="44"/>
  <c r="AJ44" i="39"/>
  <c r="AK42" i="36"/>
  <c r="AK44" i="36" s="1"/>
  <c r="AK47" i="36" s="1"/>
  <c r="AJ49" i="36"/>
  <c r="AJ44" i="35"/>
  <c r="AJ47" i="35" s="1"/>
  <c r="L52" i="5"/>
  <c r="H55" i="5"/>
  <c r="O11" i="31"/>
  <c r="P11" i="31"/>
  <c r="G44" i="17"/>
  <c r="G47" i="17" s="1"/>
  <c r="E27" i="3"/>
  <c r="D9" i="13" s="1"/>
  <c r="C9" i="13"/>
  <c r="L14" i="5"/>
  <c r="E19" i="30" s="1"/>
  <c r="J55" i="5"/>
  <c r="H14" i="5"/>
  <c r="H15" i="5" s="1"/>
  <c r="K14" i="5"/>
  <c r="E10" i="30" s="1"/>
  <c r="AG6" i="44" l="1"/>
  <c r="AG8" i="44" s="1"/>
  <c r="AG13" i="44" s="1"/>
  <c r="AG6" i="45"/>
  <c r="AJ49" i="45"/>
  <c r="AK42" i="45"/>
  <c r="AK44" i="45" s="1"/>
  <c r="AK47" i="45" s="1"/>
  <c r="AG6" i="43"/>
  <c r="AG8" i="43" s="1"/>
  <c r="AG13" i="43" s="1"/>
  <c r="AG6" i="46"/>
  <c r="AN44" i="16"/>
  <c r="AY47" i="16"/>
  <c r="K6" i="18"/>
  <c r="C6" i="43"/>
  <c r="AJ44" i="44"/>
  <c r="AJ47" i="44" s="1"/>
  <c r="AK49" i="36"/>
  <c r="AL42" i="36"/>
  <c r="AG6" i="38"/>
  <c r="AG6" i="37"/>
  <c r="AG6" i="34"/>
  <c r="AK42" i="35"/>
  <c r="AK44" i="35" s="1"/>
  <c r="AK47" i="35" s="1"/>
  <c r="AJ49" i="35"/>
  <c r="AY42" i="39"/>
  <c r="AX43" i="39"/>
  <c r="AY44" i="39"/>
  <c r="AX44" i="39"/>
  <c r="AG6" i="17"/>
  <c r="C6" i="17" s="1"/>
  <c r="AG6" i="39"/>
  <c r="AG6" i="36"/>
  <c r="AG6" i="35"/>
  <c r="AJ47" i="39"/>
  <c r="AN46" i="16"/>
  <c r="AN49" i="16" s="1"/>
  <c r="AY8" i="17"/>
  <c r="L16" i="18" s="1"/>
  <c r="K16" i="18"/>
  <c r="AG6" i="16"/>
  <c r="C6" i="16" s="1"/>
  <c r="L55" i="5"/>
  <c r="E14" i="15"/>
  <c r="D10" i="31"/>
  <c r="H42" i="17"/>
  <c r="G49" i="17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E8" i="15"/>
  <c r="C6" i="44" l="1"/>
  <c r="AG8" i="46"/>
  <c r="AG13" i="46" s="1"/>
  <c r="C6" i="46"/>
  <c r="AG8" i="45"/>
  <c r="AG13" i="45" s="1"/>
  <c r="C6" i="45"/>
  <c r="AL42" i="45"/>
  <c r="AL44" i="45" s="1"/>
  <c r="AK49" i="45"/>
  <c r="AH5" i="43"/>
  <c r="AG15" i="43"/>
  <c r="AJ49" i="44"/>
  <c r="AK42" i="44"/>
  <c r="AG15" i="44"/>
  <c r="AH5" i="44"/>
  <c r="AG8" i="35"/>
  <c r="AG13" i="35" s="1"/>
  <c r="C6" i="35"/>
  <c r="AG8" i="38"/>
  <c r="C6" i="38"/>
  <c r="AG8" i="36"/>
  <c r="AG13" i="36" s="1"/>
  <c r="C6" i="36"/>
  <c r="AL42" i="35"/>
  <c r="AL44" i="35" s="1"/>
  <c r="AL47" i="35" s="1"/>
  <c r="AK49" i="35"/>
  <c r="AL44" i="36"/>
  <c r="AL47" i="36" s="1"/>
  <c r="AJ49" i="39"/>
  <c r="AK42" i="39"/>
  <c r="AG8" i="37"/>
  <c r="AG13" i="37" s="1"/>
  <c r="C6" i="37"/>
  <c r="AG8" i="39"/>
  <c r="AG13" i="39" s="1"/>
  <c r="C6" i="39"/>
  <c r="AY48" i="39"/>
  <c r="AG8" i="34"/>
  <c r="AG13" i="34" s="1"/>
  <c r="C6" i="34"/>
  <c r="AN51" i="16"/>
  <c r="AO44" i="16"/>
  <c r="AO46" i="16" s="1"/>
  <c r="AO49" i="16" s="1"/>
  <c r="AY8" i="16"/>
  <c r="K5" i="18"/>
  <c r="D3" i="31"/>
  <c r="O10" i="31"/>
  <c r="O12" i="31" s="1"/>
  <c r="P10" i="31"/>
  <c r="P12" i="31" s="1"/>
  <c r="D12" i="31"/>
  <c r="E16" i="15"/>
  <c r="H44" i="17"/>
  <c r="H47" i="17" s="1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AG15" i="46" l="1"/>
  <c r="AH5" i="46"/>
  <c r="AG15" i="45"/>
  <c r="AH5" i="45"/>
  <c r="AL47" i="45"/>
  <c r="AY42" i="45"/>
  <c r="AX44" i="45"/>
  <c r="AX43" i="45"/>
  <c r="AY44" i="45"/>
  <c r="AK44" i="44"/>
  <c r="AK47" i="44" s="1"/>
  <c r="AH8" i="44"/>
  <c r="AH13" i="44" s="1"/>
  <c r="AH8" i="43"/>
  <c r="AH13" i="43" s="1"/>
  <c r="L5" i="18"/>
  <c r="AG15" i="36"/>
  <c r="AH5" i="36"/>
  <c r="AG15" i="34"/>
  <c r="AH5" i="34"/>
  <c r="AM42" i="36"/>
  <c r="AM44" i="36" s="1"/>
  <c r="AM47" i="36" s="1"/>
  <c r="AL49" i="36"/>
  <c r="AG15" i="39"/>
  <c r="AH5" i="39"/>
  <c r="AG15" i="35"/>
  <c r="AH5" i="35"/>
  <c r="AK44" i="39"/>
  <c r="AK47" i="39" s="1"/>
  <c r="AG15" i="37"/>
  <c r="AH5" i="37"/>
  <c r="AL49" i="35"/>
  <c r="AM42" i="35"/>
  <c r="AG13" i="38"/>
  <c r="AO51" i="16"/>
  <c r="AP44" i="16"/>
  <c r="O3" i="31"/>
  <c r="O5" i="31" s="1"/>
  <c r="P3" i="31"/>
  <c r="P5" i="31" s="1"/>
  <c r="D5" i="31"/>
  <c r="F16" i="15"/>
  <c r="H49" i="17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AY48" i="45" l="1"/>
  <c r="AH8" i="45"/>
  <c r="AH13" i="45"/>
  <c r="AH8" i="46"/>
  <c r="AH13" i="46" s="1"/>
  <c r="AL49" i="45"/>
  <c r="AM42" i="45"/>
  <c r="AK49" i="44"/>
  <c r="AL42" i="44"/>
  <c r="AI5" i="43"/>
  <c r="AH15" i="43"/>
  <c r="AH15" i="44"/>
  <c r="AI5" i="44"/>
  <c r="AX44" i="44"/>
  <c r="AY42" i="44"/>
  <c r="AX43" i="44"/>
  <c r="AY44" i="44"/>
  <c r="AH8" i="39"/>
  <c r="AH13" i="39" s="1"/>
  <c r="AH8" i="34"/>
  <c r="AH8" i="37"/>
  <c r="AH13" i="37" s="1"/>
  <c r="AH5" i="38"/>
  <c r="AG15" i="38"/>
  <c r="AH8" i="35"/>
  <c r="AH13" i="35" s="1"/>
  <c r="AH8" i="36"/>
  <c r="AH13" i="36" s="1"/>
  <c r="AM44" i="35"/>
  <c r="AM47" i="35" s="1"/>
  <c r="AK49" i="39"/>
  <c r="AL42" i="39"/>
  <c r="AL44" i="39" s="1"/>
  <c r="AL47" i="39" s="1"/>
  <c r="AN42" i="36"/>
  <c r="AN44" i="36" s="1"/>
  <c r="AN47" i="36" s="1"/>
  <c r="AM49" i="36"/>
  <c r="AP46" i="16"/>
  <c r="AP49" i="16" s="1"/>
  <c r="G16" i="15"/>
  <c r="E59" i="3"/>
  <c r="G9" i="13"/>
  <c r="Q115" i="3"/>
  <c r="R115" i="3"/>
  <c r="Q72" i="3"/>
  <c r="R40" i="3"/>
  <c r="Q40" i="3"/>
  <c r="B8" i="13"/>
  <c r="B10" i="13" s="1"/>
  <c r="D11" i="3"/>
  <c r="D19" i="3" s="1"/>
  <c r="AM44" i="45" l="1"/>
  <c r="AM47" i="45" s="1"/>
  <c r="AI5" i="45"/>
  <c r="AI8" i="45" s="1"/>
  <c r="AI13" i="45" s="1"/>
  <c r="AH15" i="45"/>
  <c r="AI5" i="46"/>
  <c r="AH15" i="46"/>
  <c r="AI8" i="43"/>
  <c r="AI13" i="43" s="1"/>
  <c r="AI8" i="44"/>
  <c r="AI13" i="44" s="1"/>
  <c r="AL44" i="44"/>
  <c r="AL47" i="44" s="1"/>
  <c r="AY48" i="44"/>
  <c r="AH15" i="35"/>
  <c r="AI5" i="35"/>
  <c r="AI8" i="35" s="1"/>
  <c r="AI13" i="35" s="1"/>
  <c r="AN42" i="35"/>
  <c r="AM49" i="35"/>
  <c r="AI5" i="36"/>
  <c r="AH15" i="36"/>
  <c r="AH15" i="37"/>
  <c r="AI5" i="37"/>
  <c r="AI5" i="39"/>
  <c r="AH15" i="39"/>
  <c r="AL49" i="39"/>
  <c r="AM42" i="39"/>
  <c r="AM44" i="39" s="1"/>
  <c r="AM47" i="39" s="1"/>
  <c r="AX6" i="34"/>
  <c r="AY7" i="34"/>
  <c r="AY5" i="34"/>
  <c r="AX7" i="34"/>
  <c r="AH8" i="38"/>
  <c r="AH13" i="38" s="1"/>
  <c r="AH13" i="34"/>
  <c r="AO42" i="36"/>
  <c r="AO44" i="36" s="1"/>
  <c r="AO47" i="36" s="1"/>
  <c r="AN49" i="36"/>
  <c r="AY5" i="35"/>
  <c r="AX6" i="35"/>
  <c r="AX7" i="35"/>
  <c r="AY7" i="35"/>
  <c r="AP51" i="16"/>
  <c r="AQ44" i="16"/>
  <c r="AQ46" i="16" s="1"/>
  <c r="AQ49" i="16" s="1"/>
  <c r="D46" i="16"/>
  <c r="H16" i="15"/>
  <c r="E67" i="3"/>
  <c r="H9" i="13"/>
  <c r="D27" i="3"/>
  <c r="C8" i="13"/>
  <c r="C10" i="13" s="1"/>
  <c r="AM49" i="45" l="1"/>
  <c r="AN42" i="45"/>
  <c r="AN44" i="45" s="1"/>
  <c r="AN47" i="45" s="1"/>
  <c r="AI15" i="45"/>
  <c r="AJ5" i="45"/>
  <c r="AI8" i="46"/>
  <c r="AI13" i="46" s="1"/>
  <c r="AI15" i="44"/>
  <c r="AJ5" i="44"/>
  <c r="AJ8" i="44" s="1"/>
  <c r="AJ13" i="44" s="1"/>
  <c r="AL49" i="44"/>
  <c r="AM42" i="44"/>
  <c r="AJ5" i="43"/>
  <c r="AI15" i="43"/>
  <c r="AO49" i="36"/>
  <c r="AP42" i="36"/>
  <c r="AN42" i="39"/>
  <c r="AM49" i="39"/>
  <c r="AI8" i="37"/>
  <c r="AI13" i="37" s="1"/>
  <c r="AH15" i="38"/>
  <c r="AI5" i="38"/>
  <c r="AY11" i="35"/>
  <c r="AH15" i="34"/>
  <c r="AI5" i="34"/>
  <c r="AI8" i="34" s="1"/>
  <c r="AI13" i="34" s="1"/>
  <c r="AJ5" i="34" s="1"/>
  <c r="AJ8" i="34" s="1"/>
  <c r="AJ13" i="34" s="1"/>
  <c r="AK5" i="34" s="1"/>
  <c r="AK8" i="34" s="1"/>
  <c r="AK13" i="34" s="1"/>
  <c r="AL5" i="34" s="1"/>
  <c r="AL8" i="34" s="1"/>
  <c r="AL13" i="34" s="1"/>
  <c r="AM5" i="34" s="1"/>
  <c r="AM8" i="34" s="1"/>
  <c r="AM13" i="34" s="1"/>
  <c r="AN5" i="34" s="1"/>
  <c r="AN8" i="34" s="1"/>
  <c r="AN13" i="34" s="1"/>
  <c r="AO5" i="34" s="1"/>
  <c r="AO8" i="34" s="1"/>
  <c r="AO13" i="34" s="1"/>
  <c r="AP5" i="34" s="1"/>
  <c r="AP8" i="34" s="1"/>
  <c r="AP13" i="34" s="1"/>
  <c r="AQ5" i="34" s="1"/>
  <c r="AQ8" i="34" s="1"/>
  <c r="AQ13" i="34" s="1"/>
  <c r="AR5" i="34" s="1"/>
  <c r="AN44" i="35"/>
  <c r="AN47" i="35" s="1"/>
  <c r="AI15" i="35"/>
  <c r="AJ5" i="35"/>
  <c r="AJ8" i="35" s="1"/>
  <c r="AJ13" i="35" s="1"/>
  <c r="AY11" i="34"/>
  <c r="AI8" i="39"/>
  <c r="AI13" i="39" s="1"/>
  <c r="AI8" i="36"/>
  <c r="AI13" i="36" s="1"/>
  <c r="AQ51" i="16"/>
  <c r="AR44" i="16"/>
  <c r="I16" i="15"/>
  <c r="E75" i="3"/>
  <c r="I9" i="13"/>
  <c r="D35" i="3"/>
  <c r="D8" i="13"/>
  <c r="D10" i="13" s="1"/>
  <c r="E12" i="6"/>
  <c r="E20" i="6" s="1"/>
  <c r="AI15" i="46" l="1"/>
  <c r="AJ5" i="46"/>
  <c r="AJ8" i="46" s="1"/>
  <c r="AJ13" i="46" s="1"/>
  <c r="AN49" i="45"/>
  <c r="AO42" i="45"/>
  <c r="AO44" i="45" s="1"/>
  <c r="AO47" i="45" s="1"/>
  <c r="AJ8" i="45"/>
  <c r="AJ13" i="45" s="1"/>
  <c r="AM44" i="44"/>
  <c r="AM47" i="44" s="1"/>
  <c r="AK5" i="44"/>
  <c r="AJ15" i="44"/>
  <c r="AJ8" i="43"/>
  <c r="AJ13" i="43" s="1"/>
  <c r="AI15" i="37"/>
  <c r="AJ5" i="37"/>
  <c r="AJ8" i="37" s="1"/>
  <c r="AJ13" i="37" s="1"/>
  <c r="AK5" i="37" s="1"/>
  <c r="AK8" i="37" s="1"/>
  <c r="AK13" i="37" s="1"/>
  <c r="AL5" i="37" s="1"/>
  <c r="AL8" i="37" s="1"/>
  <c r="AL13" i="37" s="1"/>
  <c r="AM5" i="37" s="1"/>
  <c r="AM8" i="37" s="1"/>
  <c r="AM13" i="37" s="1"/>
  <c r="AN5" i="37" s="1"/>
  <c r="AN8" i="37" s="1"/>
  <c r="AN13" i="37" s="1"/>
  <c r="AO5" i="37" s="1"/>
  <c r="AO8" i="37" s="1"/>
  <c r="AO13" i="37" s="1"/>
  <c r="AP5" i="37" s="1"/>
  <c r="AP8" i="37" s="1"/>
  <c r="AP13" i="37" s="1"/>
  <c r="AQ5" i="37" s="1"/>
  <c r="AQ8" i="37" s="1"/>
  <c r="AQ13" i="37" s="1"/>
  <c r="AR5" i="37" s="1"/>
  <c r="AR8" i="34"/>
  <c r="C8" i="34" s="1"/>
  <c r="C13" i="34" s="1"/>
  <c r="AI8" i="38"/>
  <c r="AJ5" i="36"/>
  <c r="AJ8" i="36" s="1"/>
  <c r="AJ13" i="36" s="1"/>
  <c r="AI15" i="36"/>
  <c r="AY5" i="36"/>
  <c r="AX7" i="36"/>
  <c r="AX6" i="36"/>
  <c r="AY7" i="36"/>
  <c r="AK5" i="35"/>
  <c r="AK8" i="35" s="1"/>
  <c r="AK13" i="35" s="1"/>
  <c r="AJ15" i="35"/>
  <c r="AN44" i="39"/>
  <c r="AN47" i="39" s="1"/>
  <c r="AJ5" i="39"/>
  <c r="AJ8" i="39" s="1"/>
  <c r="AI15" i="39"/>
  <c r="AP44" i="36"/>
  <c r="D44" i="36" s="1"/>
  <c r="AN49" i="35"/>
  <c r="AO42" i="35"/>
  <c r="AY5" i="37"/>
  <c r="AX7" i="37"/>
  <c r="AX6" i="37"/>
  <c r="AY7" i="37"/>
  <c r="AR46" i="16"/>
  <c r="C46" i="16" s="1"/>
  <c r="C49" i="16" s="1"/>
  <c r="J16" i="15"/>
  <c r="E109" i="3"/>
  <c r="E83" i="3"/>
  <c r="J9" i="13"/>
  <c r="D43" i="3"/>
  <c r="E8" i="13"/>
  <c r="E10" i="13" s="1"/>
  <c r="E38" i="6"/>
  <c r="E47" i="6" s="1"/>
  <c r="B15" i="13"/>
  <c r="E29" i="6"/>
  <c r="AK5" i="45" l="1"/>
  <c r="AJ15" i="45"/>
  <c r="AO49" i="45"/>
  <c r="AP42" i="45"/>
  <c r="AJ15" i="46"/>
  <c r="AK5" i="46"/>
  <c r="AK8" i="46" s="1"/>
  <c r="AK13" i="46" s="1"/>
  <c r="AN42" i="44"/>
  <c r="AM49" i="44"/>
  <c r="AK5" i="43"/>
  <c r="AK8" i="43" s="1"/>
  <c r="AJ15" i="43"/>
  <c r="AK8" i="44"/>
  <c r="AK13" i="44" s="1"/>
  <c r="AP47" i="36"/>
  <c r="AR13" i="34"/>
  <c r="AO44" i="35"/>
  <c r="AO47" i="35" s="1"/>
  <c r="AN49" i="39"/>
  <c r="AO42" i="39"/>
  <c r="AY11" i="36"/>
  <c r="AK5" i="36"/>
  <c r="AK8" i="36" s="1"/>
  <c r="AK13" i="36" s="1"/>
  <c r="AJ15" i="36"/>
  <c r="AR8" i="37"/>
  <c r="C8" i="37" s="1"/>
  <c r="C13" i="37" s="1"/>
  <c r="AY11" i="37"/>
  <c r="AJ13" i="39"/>
  <c r="AY7" i="39"/>
  <c r="AX7" i="39"/>
  <c r="AY5" i="39"/>
  <c r="AX6" i="39"/>
  <c r="AL5" i="35"/>
  <c r="AL8" i="35" s="1"/>
  <c r="AL13" i="35" s="1"/>
  <c r="AK15" i="35"/>
  <c r="AI13" i="38"/>
  <c r="AR49" i="16"/>
  <c r="AR51" i="16" s="1"/>
  <c r="K16" i="15"/>
  <c r="E91" i="3"/>
  <c r="K9" i="13"/>
  <c r="C15" i="13"/>
  <c r="D51" i="3"/>
  <c r="F8" i="13"/>
  <c r="F10" i="13" s="1"/>
  <c r="E56" i="6"/>
  <c r="D15" i="13"/>
  <c r="F11" i="3"/>
  <c r="D12" i="6"/>
  <c r="D20" i="6" s="1"/>
  <c r="AP44" i="45" l="1"/>
  <c r="D44" i="45" s="1"/>
  <c r="AL5" i="46"/>
  <c r="AL8" i="46" s="1"/>
  <c r="AK15" i="46"/>
  <c r="AK8" i="45"/>
  <c r="AK13" i="45" s="1"/>
  <c r="AK15" i="44"/>
  <c r="AL5" i="44"/>
  <c r="AL8" i="44" s="1"/>
  <c r="AL13" i="44" s="1"/>
  <c r="AK13" i="43"/>
  <c r="AY5" i="43"/>
  <c r="BN5" i="43" s="1"/>
  <c r="BO5" i="43" s="1"/>
  <c r="AX6" i="43"/>
  <c r="AY7" i="43"/>
  <c r="BN7" i="43" s="1"/>
  <c r="AX7" i="43"/>
  <c r="BM7" i="43" s="1"/>
  <c r="AY5" i="44"/>
  <c r="AY7" i="44"/>
  <c r="BI7" i="44" s="1"/>
  <c r="AX6" i="44"/>
  <c r="AX7" i="44"/>
  <c r="AN44" i="44"/>
  <c r="AN47" i="44" s="1"/>
  <c r="AR13" i="37"/>
  <c r="AY11" i="39"/>
  <c r="AM5" i="35"/>
  <c r="AM8" i="35" s="1"/>
  <c r="AM13" i="35" s="1"/>
  <c r="AL15" i="35"/>
  <c r="AJ15" i="39"/>
  <c r="AK5" i="39"/>
  <c r="AK8" i="39" s="1"/>
  <c r="AK13" i="39" s="1"/>
  <c r="AL5" i="36"/>
  <c r="AL8" i="36" s="1"/>
  <c r="AL13" i="36" s="1"/>
  <c r="AK15" i="36"/>
  <c r="AP42" i="35"/>
  <c r="AO49" i="35"/>
  <c r="AO44" i="39"/>
  <c r="AO47" i="39" s="1"/>
  <c r="AJ5" i="38"/>
  <c r="AI15" i="38"/>
  <c r="AQ42" i="36"/>
  <c r="AQ44" i="36" s="1"/>
  <c r="AQ47" i="36" s="1"/>
  <c r="AP49" i="36"/>
  <c r="L16" i="15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AP47" i="45" l="1"/>
  <c r="AP49" i="45" s="1"/>
  <c r="AL5" i="45"/>
  <c r="AL8" i="45" s="1"/>
  <c r="AK15" i="45"/>
  <c r="AL13" i="46"/>
  <c r="AX7" i="46"/>
  <c r="AY7" i="46"/>
  <c r="AX6" i="46"/>
  <c r="AY5" i="46"/>
  <c r="AQ42" i="45"/>
  <c r="AQ44" i="45" s="1"/>
  <c r="AQ47" i="45" s="1"/>
  <c r="AN49" i="44"/>
  <c r="AO42" i="44"/>
  <c r="AO44" i="44" s="1"/>
  <c r="AO47" i="44" s="1"/>
  <c r="BO7" i="43"/>
  <c r="AL5" i="43"/>
  <c r="AL8" i="43" s="1"/>
  <c r="AL13" i="43" s="1"/>
  <c r="AM5" i="43" s="1"/>
  <c r="AM8" i="43" s="1"/>
  <c r="AM13" i="43" s="1"/>
  <c r="AN5" i="43" s="1"/>
  <c r="AN8" i="43" s="1"/>
  <c r="AN13" i="43" s="1"/>
  <c r="AO5" i="43" s="1"/>
  <c r="AO8" i="43" s="1"/>
  <c r="AO13" i="43" s="1"/>
  <c r="AP5" i="43" s="1"/>
  <c r="AP8" i="43" s="1"/>
  <c r="AP13" i="43" s="1"/>
  <c r="AQ5" i="43" s="1"/>
  <c r="AQ8" i="43" s="1"/>
  <c r="AQ13" i="43" s="1"/>
  <c r="AR5" i="43" s="1"/>
  <c r="AK15" i="43"/>
  <c r="AY11" i="44"/>
  <c r="BI6" i="44"/>
  <c r="BI11" i="44" s="1"/>
  <c r="AL15" i="44"/>
  <c r="AM5" i="44"/>
  <c r="AM8" i="44" s="1"/>
  <c r="AM13" i="44" s="1"/>
  <c r="AY11" i="43"/>
  <c r="BM6" i="43"/>
  <c r="BO6" i="43" s="1"/>
  <c r="BO11" i="43" s="1"/>
  <c r="AL15" i="36"/>
  <c r="AM5" i="36"/>
  <c r="AM8" i="36" s="1"/>
  <c r="AM13" i="36" s="1"/>
  <c r="AL5" i="39"/>
  <c r="AL8" i="39" s="1"/>
  <c r="AL13" i="39" s="1"/>
  <c r="AK15" i="39"/>
  <c r="AO49" i="39"/>
  <c r="AP42" i="39"/>
  <c r="AJ8" i="38"/>
  <c r="AJ13" i="38" s="1"/>
  <c r="AP44" i="35"/>
  <c r="D44" i="35" s="1"/>
  <c r="AQ49" i="36"/>
  <c r="AR42" i="36"/>
  <c r="AN5" i="35"/>
  <c r="AN8" i="35" s="1"/>
  <c r="AN13" i="35" s="1"/>
  <c r="AM15" i="35"/>
  <c r="N16" i="15"/>
  <c r="M16" i="15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AL15" i="46" l="1"/>
  <c r="AM5" i="46"/>
  <c r="AM8" i="46" s="1"/>
  <c r="AM13" i="46" s="1"/>
  <c r="AY11" i="46"/>
  <c r="AR42" i="45"/>
  <c r="AQ49" i="45"/>
  <c r="AL13" i="45"/>
  <c r="AY5" i="45"/>
  <c r="AX7" i="45"/>
  <c r="AY7" i="45"/>
  <c r="AX6" i="45"/>
  <c r="AR8" i="43"/>
  <c r="C8" i="43" s="1"/>
  <c r="C13" i="43" s="1"/>
  <c r="AO49" i="44"/>
  <c r="AP42" i="44"/>
  <c r="AN5" i="44"/>
  <c r="AN8" i="44" s="1"/>
  <c r="AN13" i="44" s="1"/>
  <c r="AM15" i="44"/>
  <c r="AJ15" i="38"/>
  <c r="AK5" i="38"/>
  <c r="AK8" i="38" s="1"/>
  <c r="AK13" i="38" s="1"/>
  <c r="AL5" i="38" s="1"/>
  <c r="AL8" i="38" s="1"/>
  <c r="AL13" i="38" s="1"/>
  <c r="AM5" i="38" s="1"/>
  <c r="AM8" i="38" s="1"/>
  <c r="AM13" i="38" s="1"/>
  <c r="AN5" i="38" s="1"/>
  <c r="AN8" i="38" s="1"/>
  <c r="AN13" i="38" s="1"/>
  <c r="AO5" i="38" s="1"/>
  <c r="AO8" i="38" s="1"/>
  <c r="AO13" i="38" s="1"/>
  <c r="AP5" i="38" s="1"/>
  <c r="AP8" i="38" s="1"/>
  <c r="AP13" i="38" s="1"/>
  <c r="AQ5" i="38" s="1"/>
  <c r="AQ8" i="38" s="1"/>
  <c r="AQ13" i="38" s="1"/>
  <c r="AR5" i="38" s="1"/>
  <c r="AR44" i="36"/>
  <c r="C44" i="36" s="1"/>
  <c r="AY7" i="38"/>
  <c r="AY5" i="38"/>
  <c r="AX7" i="38"/>
  <c r="AX6" i="38"/>
  <c r="AL15" i="39"/>
  <c r="AM5" i="39"/>
  <c r="AM8" i="39" s="1"/>
  <c r="AM13" i="39" s="1"/>
  <c r="AP47" i="35"/>
  <c r="AP44" i="39"/>
  <c r="D44" i="39" s="1"/>
  <c r="AM15" i="36"/>
  <c r="AN5" i="36"/>
  <c r="AN8" i="36" s="1"/>
  <c r="AN13" i="36" s="1"/>
  <c r="AO5" i="35"/>
  <c r="AO8" i="35" s="1"/>
  <c r="AO13" i="35" s="1"/>
  <c r="AN15" i="35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AY11" i="45" l="1"/>
  <c r="AL15" i="45"/>
  <c r="AM5" i="45"/>
  <c r="AM8" i="45" s="1"/>
  <c r="AM13" i="45" s="1"/>
  <c r="AM15" i="46"/>
  <c r="AN5" i="46"/>
  <c r="AN8" i="46" s="1"/>
  <c r="AN13" i="46" s="1"/>
  <c r="AO5" i="46" s="1"/>
  <c r="AO8" i="46" s="1"/>
  <c r="AO13" i="46" s="1"/>
  <c r="AP5" i="46" s="1"/>
  <c r="AP8" i="46" s="1"/>
  <c r="AP13" i="46" s="1"/>
  <c r="AQ5" i="46" s="1"/>
  <c r="AQ8" i="46" s="1"/>
  <c r="AQ13" i="46" s="1"/>
  <c r="AR5" i="46" s="1"/>
  <c r="AR44" i="45"/>
  <c r="C44" i="45" s="1"/>
  <c r="AR47" i="45"/>
  <c r="AR49" i="45" s="1"/>
  <c r="AP47" i="39"/>
  <c r="AQ42" i="39" s="1"/>
  <c r="AQ44" i="39" s="1"/>
  <c r="AQ47" i="39" s="1"/>
  <c r="AP44" i="44"/>
  <c r="D44" i="44" s="1"/>
  <c r="AR13" i="43"/>
  <c r="AN15" i="44"/>
  <c r="AO5" i="44"/>
  <c r="AO8" i="44" s="1"/>
  <c r="AO13" i="44" s="1"/>
  <c r="AO15" i="35"/>
  <c r="AP5" i="35"/>
  <c r="AP8" i="35" s="1"/>
  <c r="AP13" i="35" s="1"/>
  <c r="AY11" i="38"/>
  <c r="AR47" i="36"/>
  <c r="AR49" i="36" s="1"/>
  <c r="AN15" i="36"/>
  <c r="AO5" i="36"/>
  <c r="AO8" i="36" s="1"/>
  <c r="AO13" i="36" s="1"/>
  <c r="AP49" i="35"/>
  <c r="AQ42" i="35"/>
  <c r="AM15" i="39"/>
  <c r="AN5" i="39"/>
  <c r="AN8" i="39" s="1"/>
  <c r="AN13" i="39" s="1"/>
  <c r="AR8" i="38"/>
  <c r="C8" i="38" s="1"/>
  <c r="C13" i="38" s="1"/>
  <c r="E126" i="3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AN5" i="45" l="1"/>
  <c r="AN8" i="45" s="1"/>
  <c r="AN13" i="45" s="1"/>
  <c r="AM15" i="45"/>
  <c r="AR8" i="46"/>
  <c r="C8" i="46" s="1"/>
  <c r="C13" i="46" s="1"/>
  <c r="AP49" i="39"/>
  <c r="AP47" i="44"/>
  <c r="AP49" i="44" s="1"/>
  <c r="AP5" i="44"/>
  <c r="AP8" i="44" s="1"/>
  <c r="AP13" i="44" s="1"/>
  <c r="AO15" i="44"/>
  <c r="AN15" i="39"/>
  <c r="AO5" i="39"/>
  <c r="AO8" i="39" s="1"/>
  <c r="AO13" i="39" s="1"/>
  <c r="AO15" i="36"/>
  <c r="AP5" i="36"/>
  <c r="AP8" i="36" s="1"/>
  <c r="AP13" i="36" s="1"/>
  <c r="AR13" i="38"/>
  <c r="AQ44" i="35"/>
  <c r="AQ47" i="35" s="1"/>
  <c r="AR42" i="39"/>
  <c r="AQ49" i="39"/>
  <c r="AQ5" i="35"/>
  <c r="AQ8" i="35" s="1"/>
  <c r="AQ13" i="35" s="1"/>
  <c r="AP15" i="35"/>
  <c r="D91" i="3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AR13" i="46" l="1"/>
  <c r="AO5" i="45"/>
  <c r="AO8" i="45" s="1"/>
  <c r="AO13" i="45" s="1"/>
  <c r="AN15" i="45"/>
  <c r="AQ42" i="44"/>
  <c r="AQ44" i="44" s="1"/>
  <c r="AQ47" i="44" s="1"/>
  <c r="AQ5" i="44"/>
  <c r="AQ8" i="44" s="1"/>
  <c r="AQ13" i="44" s="1"/>
  <c r="AP15" i="44"/>
  <c r="AQ49" i="35"/>
  <c r="AR42" i="35"/>
  <c r="AR5" i="35"/>
  <c r="AQ15" i="35"/>
  <c r="AR44" i="39"/>
  <c r="C44" i="39" s="1"/>
  <c r="AQ5" i="36"/>
  <c r="AQ8" i="36" s="1"/>
  <c r="AQ13" i="36" s="1"/>
  <c r="AP15" i="36"/>
  <c r="AO15" i="39"/>
  <c r="AP5" i="39"/>
  <c r="AP8" i="39" s="1"/>
  <c r="AP13" i="39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AO15" i="45" l="1"/>
  <c r="AP5" i="45"/>
  <c r="AP8" i="45" s="1"/>
  <c r="AP13" i="45" s="1"/>
  <c r="AQ49" i="44"/>
  <c r="AR42" i="44"/>
  <c r="AR5" i="44"/>
  <c r="AQ15" i="44"/>
  <c r="AQ15" i="36"/>
  <c r="AR5" i="36"/>
  <c r="AR8" i="35"/>
  <c r="C8" i="35" s="1"/>
  <c r="AP15" i="39"/>
  <c r="AQ5" i="39"/>
  <c r="AQ8" i="39" s="1"/>
  <c r="AQ13" i="39" s="1"/>
  <c r="AR47" i="39"/>
  <c r="AR49" i="39" s="1"/>
  <c r="AR44" i="35"/>
  <c r="C44" i="35" s="1"/>
  <c r="D150" i="6"/>
  <c r="C16" i="15" s="1"/>
  <c r="B16" i="15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AQ5" i="45" l="1"/>
  <c r="AQ8" i="45" s="1"/>
  <c r="AQ13" i="45" s="1"/>
  <c r="AP15" i="45"/>
  <c r="AR8" i="44"/>
  <c r="C8" i="44" s="1"/>
  <c r="AR44" i="44"/>
  <c r="C44" i="44" s="1"/>
  <c r="D159" i="6"/>
  <c r="D161" i="6" s="1"/>
  <c r="D16" i="15" s="1"/>
  <c r="AR13" i="35"/>
  <c r="AR15" i="35" s="1"/>
  <c r="AQ15" i="39"/>
  <c r="AR5" i="39"/>
  <c r="AR8" i="36"/>
  <c r="C8" i="36" s="1"/>
  <c r="AR47" i="35"/>
  <c r="AR49" i="35" s="1"/>
  <c r="D110" i="3"/>
  <c r="D118" i="3" s="1"/>
  <c r="E54" i="10"/>
  <c r="C34" i="3"/>
  <c r="C35" i="3" s="1"/>
  <c r="J41" i="10"/>
  <c r="R23" i="3"/>
  <c r="R27" i="3" s="1"/>
  <c r="AQ15" i="45" l="1"/>
  <c r="AR5" i="45"/>
  <c r="AR47" i="44"/>
  <c r="AR49" i="44" s="1"/>
  <c r="AR13" i="44"/>
  <c r="AR15" i="44" s="1"/>
  <c r="AR13" i="36"/>
  <c r="AR15" i="36" s="1"/>
  <c r="AR8" i="39"/>
  <c r="C8" i="39" s="1"/>
  <c r="B10" i="15"/>
  <c r="D126" i="3"/>
  <c r="D128" i="3" s="1"/>
  <c r="D10" i="15" s="1"/>
  <c r="C10" i="15"/>
  <c r="I45" i="10"/>
  <c r="J46" i="10" s="1"/>
  <c r="E72" i="10"/>
  <c r="J64" i="10" s="1"/>
  <c r="R34" i="3"/>
  <c r="Q34" i="3"/>
  <c r="R33" i="3"/>
  <c r="AR8" i="45" l="1"/>
  <c r="C8" i="45" s="1"/>
  <c r="AR13" i="39"/>
  <c r="AR15" i="39" s="1"/>
  <c r="E10" i="15"/>
  <c r="E73" i="10"/>
  <c r="E74" i="10"/>
  <c r="I63" i="10" s="1"/>
  <c r="C42" i="3"/>
  <c r="C43" i="3" s="1"/>
  <c r="F51" i="3" s="1"/>
  <c r="G73" i="10"/>
  <c r="Q31" i="3"/>
  <c r="R31" i="3"/>
  <c r="AR13" i="45" l="1"/>
  <c r="AR15" i="45" s="1"/>
  <c r="F10" i="15"/>
  <c r="E75" i="10"/>
  <c r="I66" i="10" s="1"/>
  <c r="Q42" i="3"/>
  <c r="R42" i="3"/>
  <c r="R41" i="3"/>
  <c r="J62" i="10"/>
  <c r="R35" i="3"/>
  <c r="G10" i="15" l="1"/>
  <c r="E95" i="10"/>
  <c r="I84" i="10" s="1"/>
  <c r="E94" i="10"/>
  <c r="J67" i="10"/>
  <c r="C50" i="3"/>
  <c r="C51" i="3" s="1"/>
  <c r="F59" i="3" s="1"/>
  <c r="G94" i="10"/>
  <c r="R39" i="3"/>
  <c r="Q39" i="3"/>
  <c r="H10" i="15" l="1"/>
  <c r="E96" i="10"/>
  <c r="I87" i="10" s="1"/>
  <c r="R49" i="3"/>
  <c r="Q50" i="3"/>
  <c r="R50" i="3"/>
  <c r="R43" i="3"/>
  <c r="J83" i="10"/>
  <c r="H12" i="6"/>
  <c r="I10" i="15" l="1"/>
  <c r="G115" i="10"/>
  <c r="E116" i="10"/>
  <c r="J104" i="10" s="1"/>
  <c r="E115" i="10"/>
  <c r="C58" i="3"/>
  <c r="C59" i="3" s="1"/>
  <c r="R47" i="3"/>
  <c r="Q47" i="3"/>
  <c r="J88" i="10"/>
  <c r="H20" i="6"/>
  <c r="H38" i="6" s="1"/>
  <c r="AY10" i="16" l="1"/>
  <c r="J10" i="15"/>
  <c r="F67" i="3"/>
  <c r="I105" i="10"/>
  <c r="E117" i="10"/>
  <c r="E137" i="10" s="1"/>
  <c r="R57" i="3"/>
  <c r="R58" i="3"/>
  <c r="Q58" i="3"/>
  <c r="R51" i="3"/>
  <c r="C19" i="6"/>
  <c r="K10" i="15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L10" i="15" l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N10" i="15" l="1"/>
  <c r="M10" i="15"/>
  <c r="C74" i="3"/>
  <c r="E159" i="10"/>
  <c r="E179" i="10" s="1"/>
  <c r="J146" i="10"/>
  <c r="I147" i="10"/>
  <c r="R63" i="3"/>
  <c r="Q63" i="3"/>
  <c r="C20" i="6"/>
  <c r="C38" i="6" s="1"/>
  <c r="C75" i="3" l="1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F83" i="3" l="1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U47" i="17" l="1"/>
  <c r="U49" i="17" s="1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V42" i="17" l="1"/>
  <c r="E201" i="10"/>
  <c r="E221" i="10" s="1"/>
  <c r="J188" i="10"/>
  <c r="I189" i="10"/>
  <c r="Q82" i="3"/>
  <c r="R82" i="3"/>
  <c r="R81" i="3"/>
  <c r="C55" i="6"/>
  <c r="H56" i="6"/>
  <c r="S43" i="6"/>
  <c r="T43" i="6"/>
  <c r="I192" i="10" l="1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V47" i="17" l="1"/>
  <c r="W42" i="17" s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V49" i="17" l="1"/>
  <c r="U13" i="17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W47" i="17" l="1"/>
  <c r="X42" i="17" s="1"/>
  <c r="U15" i="17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W49" i="17" l="1"/>
  <c r="V13" i="17"/>
  <c r="V15" i="17" s="1"/>
  <c r="X47" i="17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X49" i="17" l="1"/>
  <c r="Y42" i="17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W13" i="17" l="1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Y47" i="17" l="1"/>
  <c r="W15" i="17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Y49" i="17" l="1"/>
  <c r="X13" i="17"/>
  <c r="X15" i="17" s="1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Z47" i="17" l="1"/>
  <c r="E261" i="7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Z49" i="17" l="1"/>
  <c r="Y13" i="17"/>
  <c r="J255" i="7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AA47" i="17" l="1"/>
  <c r="AA49" i="17" s="1"/>
  <c r="Y15" i="17"/>
  <c r="H279" i="7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Z13" i="17" l="1"/>
  <c r="Z15" i="17" s="1"/>
  <c r="I273" i="7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AB47" i="17" l="1"/>
  <c r="AB49" i="17" s="1"/>
  <c r="E297" i="7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AC42" i="17" l="1"/>
  <c r="AC44" i="17" s="1"/>
  <c r="AA13" i="17"/>
  <c r="AA15" i="17" s="1"/>
  <c r="E299" i="7"/>
  <c r="J293" i="7" s="1"/>
  <c r="I291" i="7"/>
  <c r="J276" i="7"/>
  <c r="R134" i="3"/>
  <c r="R142" i="3"/>
  <c r="Q122" i="3"/>
  <c r="R126" i="3" s="1"/>
  <c r="C141" i="6"/>
  <c r="H150" i="6" s="1"/>
  <c r="T141" i="6"/>
  <c r="S142" i="6"/>
  <c r="AC47" i="17" l="1"/>
  <c r="AD42" i="17" s="1"/>
  <c r="I293" i="7"/>
  <c r="J294" i="7" s="1"/>
  <c r="T137" i="6"/>
  <c r="S137" i="6"/>
  <c r="H299" i="7"/>
  <c r="AC49" i="17" l="1"/>
  <c r="AB13" i="17"/>
  <c r="AD44" i="17"/>
  <c r="T143" i="6"/>
  <c r="C149" i="6"/>
  <c r="AD47" i="17" l="1"/>
  <c r="AE42" i="17" s="1"/>
  <c r="AB15" i="17"/>
  <c r="C150" i="6"/>
  <c r="H158" i="6" s="1"/>
  <c r="T150" i="6"/>
  <c r="S151" i="6"/>
  <c r="AD49" i="17" l="1"/>
  <c r="AC13" i="17"/>
  <c r="AE44" i="17"/>
  <c r="T146" i="6"/>
  <c r="S146" i="6"/>
  <c r="AC15" i="17" l="1"/>
  <c r="AE47" i="17"/>
  <c r="AE49" i="17" s="1"/>
  <c r="C158" i="6"/>
  <c r="C159" i="6" s="1"/>
  <c r="C161" i="6" s="1"/>
  <c r="C163" i="6" s="1"/>
  <c r="H159" i="6"/>
  <c r="H161" i="6" s="1"/>
  <c r="T152" i="6"/>
  <c r="AD13" i="17" l="1"/>
  <c r="AF42" i="17"/>
  <c r="AF44" i="17" s="1"/>
  <c r="S160" i="6"/>
  <c r="T178" i="6" s="1"/>
  <c r="T159" i="6"/>
  <c r="AD15" i="17" l="1"/>
  <c r="AF47" i="17"/>
  <c r="T155" i="6"/>
  <c r="S155" i="6"/>
  <c r="AF49" i="17" l="1"/>
  <c r="AG42" i="17"/>
  <c r="AE13" i="17"/>
  <c r="AF5" i="17" s="1"/>
  <c r="S173" i="6"/>
  <c r="T161" i="6"/>
  <c r="AG44" i="17" l="1"/>
  <c r="AE15" i="17"/>
  <c r="AF8" i="17"/>
  <c r="D8" i="17" s="1"/>
  <c r="T179" i="6"/>
  <c r="H77" i="17"/>
  <c r="AG47" i="17" l="1"/>
  <c r="AH42" i="17" s="1"/>
  <c r="AH44" i="17" s="1"/>
  <c r="AH47" i="17" s="1"/>
  <c r="AF13" i="17"/>
  <c r="AF15" i="17" l="1"/>
  <c r="AG5" i="17"/>
  <c r="AG8" i="17" s="1"/>
  <c r="AG49" i="17"/>
  <c r="AH49" i="17"/>
  <c r="AI42" i="17"/>
  <c r="AG13" i="17" l="1"/>
  <c r="AI44" i="17"/>
  <c r="V13" i="16"/>
  <c r="V79" i="17"/>
  <c r="AG15" i="17" l="1"/>
  <c r="AH5" i="17"/>
  <c r="AH8" i="17" s="1"/>
  <c r="AI47" i="17"/>
  <c r="V15" i="16"/>
  <c r="V81" i="17"/>
  <c r="AH13" i="17" l="1"/>
  <c r="AH15" i="17" s="1"/>
  <c r="AI49" i="17"/>
  <c r="AJ42" i="17"/>
  <c r="AJ44" i="17" s="1"/>
  <c r="W13" i="16"/>
  <c r="AI5" i="17" l="1"/>
  <c r="AI8" i="17" s="1"/>
  <c r="AI13" i="17" s="1"/>
  <c r="AI15" i="17" s="1"/>
  <c r="AJ47" i="17"/>
  <c r="W79" i="17"/>
  <c r="X75" i="17" s="1"/>
  <c r="W15" i="16"/>
  <c r="AJ5" i="17" l="1"/>
  <c r="AJ8" i="17" s="1"/>
  <c r="AK42" i="17"/>
  <c r="AK44" i="17" s="1"/>
  <c r="AJ49" i="17"/>
  <c r="W81" i="17"/>
  <c r="X13" i="16"/>
  <c r="X77" i="17"/>
  <c r="AJ13" i="17" l="1"/>
  <c r="AK5" i="17" s="1"/>
  <c r="AK47" i="17"/>
  <c r="X79" i="17"/>
  <c r="X81" i="17" s="1"/>
  <c r="X15" i="16"/>
  <c r="AK8" i="17" l="1"/>
  <c r="AK13" i="17" s="1"/>
  <c r="AJ15" i="17"/>
  <c r="AL42" i="17"/>
  <c r="AL44" i="17" s="1"/>
  <c r="AK49" i="17"/>
  <c r="Y13" i="16"/>
  <c r="AL5" i="17" l="1"/>
  <c r="AL8" i="17" s="1"/>
  <c r="AL13" i="17" s="1"/>
  <c r="AK15" i="17"/>
  <c r="AL47" i="17"/>
  <c r="Y79" i="17"/>
  <c r="Y15" i="16"/>
  <c r="AM5" i="17" l="1"/>
  <c r="AM8" i="17" s="1"/>
  <c r="AL15" i="17"/>
  <c r="AM42" i="17"/>
  <c r="AM44" i="17" s="1"/>
  <c r="AL49" i="17"/>
  <c r="Y81" i="17"/>
  <c r="Z13" i="16"/>
  <c r="AX6" i="17" l="1"/>
  <c r="AX7" i="17"/>
  <c r="K15" i="18" s="1"/>
  <c r="AY5" i="17"/>
  <c r="L13" i="18" s="1"/>
  <c r="AY7" i="17"/>
  <c r="L15" i="18" s="1"/>
  <c r="AM13" i="17"/>
  <c r="AX43" i="17"/>
  <c r="AY42" i="17"/>
  <c r="L17" i="18" s="1"/>
  <c r="AY44" i="17"/>
  <c r="L19" i="18" s="1"/>
  <c r="AX44" i="17"/>
  <c r="K19" i="18" s="1"/>
  <c r="AM47" i="17"/>
  <c r="Z79" i="17"/>
  <c r="Z15" i="16"/>
  <c r="AN5" i="17" l="1"/>
  <c r="AN8" i="17" s="1"/>
  <c r="AN13" i="17" s="1"/>
  <c r="AM15" i="17"/>
  <c r="K14" i="18"/>
  <c r="AY11" i="17"/>
  <c r="K18" i="18"/>
  <c r="AY48" i="17"/>
  <c r="AN42" i="17"/>
  <c r="AN44" i="17" s="1"/>
  <c r="AM49" i="17"/>
  <c r="Z81" i="17"/>
  <c r="AA13" i="16"/>
  <c r="AO5" i="17" l="1"/>
  <c r="AO8" i="17" s="1"/>
  <c r="AO13" i="17" s="1"/>
  <c r="AN15" i="17"/>
  <c r="AN47" i="17"/>
  <c r="AA79" i="17"/>
  <c r="AB75" i="17" s="1"/>
  <c r="AA15" i="16"/>
  <c r="AP5" i="17" l="1"/>
  <c r="AP8" i="17" s="1"/>
  <c r="AP13" i="17" s="1"/>
  <c r="AO15" i="17"/>
  <c r="AO42" i="17"/>
  <c r="AO44" i="17" s="1"/>
  <c r="AO47" i="17" s="1"/>
  <c r="AN49" i="17"/>
  <c r="AA81" i="17"/>
  <c r="AB13" i="16"/>
  <c r="AB77" i="17"/>
  <c r="AB79" i="17" s="1"/>
  <c r="AQ5" i="17" l="1"/>
  <c r="AQ8" i="17" s="1"/>
  <c r="AQ13" i="17" s="1"/>
  <c r="AP15" i="17"/>
  <c r="AP42" i="17"/>
  <c r="AO49" i="17"/>
  <c r="AB15" i="16"/>
  <c r="AB81" i="17"/>
  <c r="AC75" i="17"/>
  <c r="AR5" i="17" l="1"/>
  <c r="AQ15" i="17"/>
  <c r="AP44" i="17"/>
  <c r="D44" i="17" s="1"/>
  <c r="AC13" i="16"/>
  <c r="AC77" i="17"/>
  <c r="AC79" i="17" s="1"/>
  <c r="AR8" i="17" l="1"/>
  <c r="C8" i="17" s="1"/>
  <c r="AP47" i="17"/>
  <c r="AC15" i="16"/>
  <c r="AC81" i="17"/>
  <c r="AD75" i="17"/>
  <c r="AR13" i="17" l="1"/>
  <c r="AR15" i="17" s="1"/>
  <c r="AQ42" i="17"/>
  <c r="AP49" i="17"/>
  <c r="AD13" i="16"/>
  <c r="AD15" i="16" s="1"/>
  <c r="AD77" i="17"/>
  <c r="AQ44" i="17" l="1"/>
  <c r="AQ47" i="17" s="1"/>
  <c r="AD79" i="17"/>
  <c r="AE75" i="17" s="1"/>
  <c r="D77" i="17"/>
  <c r="AR42" i="17" l="1"/>
  <c r="AR44" i="17" s="1"/>
  <c r="AQ49" i="17"/>
  <c r="AD81" i="17"/>
  <c r="AE13" i="16"/>
  <c r="AF5" i="16" s="1"/>
  <c r="AE77" i="17"/>
  <c r="AE79" i="17" s="1"/>
  <c r="AR47" i="17" l="1"/>
  <c r="AR49" i="17" s="1"/>
  <c r="C44" i="17"/>
  <c r="AE15" i="16"/>
  <c r="AE81" i="17"/>
  <c r="AF75" i="17"/>
  <c r="AF8" i="16"/>
  <c r="D8" i="16" s="1"/>
  <c r="AF13" i="16" l="1"/>
  <c r="AG5" i="16" s="1"/>
  <c r="AG8" i="16" s="1"/>
  <c r="AF77" i="17"/>
  <c r="AG13" i="16" l="1"/>
  <c r="AF15" i="16"/>
  <c r="AF79" i="17"/>
  <c r="C77" i="17"/>
  <c r="AF81" i="17" l="1"/>
  <c r="AG75" i="17"/>
  <c r="AH5" i="16"/>
  <c r="AH8" i="16" s="1"/>
  <c r="AG15" i="16"/>
  <c r="AH13" i="16" l="1"/>
  <c r="AG77" i="17"/>
  <c r="AI5" i="16" l="1"/>
  <c r="AI8" i="16" s="1"/>
  <c r="AI13" i="16" s="1"/>
  <c r="AH15" i="16"/>
  <c r="AG79" i="17"/>
  <c r="AJ5" i="16" l="1"/>
  <c r="AJ8" i="16" s="1"/>
  <c r="AJ13" i="16" s="1"/>
  <c r="AI15" i="16"/>
  <c r="AH75" i="17"/>
  <c r="AH77" i="17" s="1"/>
  <c r="AH79" i="17" s="1"/>
  <c r="AG81" i="17"/>
  <c r="AK5" i="16" l="1"/>
  <c r="AJ15" i="16"/>
  <c r="AI75" i="17"/>
  <c r="AH81" i="17"/>
  <c r="AK8" i="16" l="1"/>
  <c r="AI77" i="17"/>
  <c r="AI79" i="17" s="1"/>
  <c r="AK13" i="16" l="1"/>
  <c r="AJ75" i="17"/>
  <c r="AI81" i="17"/>
  <c r="AL5" i="16" l="1"/>
  <c r="AK15" i="16"/>
  <c r="AJ77" i="17"/>
  <c r="AJ79" i="17" s="1"/>
  <c r="AL8" i="16" l="1"/>
  <c r="AK75" i="17"/>
  <c r="AJ81" i="17"/>
  <c r="AL13" i="16" l="1"/>
  <c r="AM5" i="16" s="1"/>
  <c r="AM8" i="16" s="1"/>
  <c r="AK77" i="17"/>
  <c r="AL15" i="16" l="1"/>
  <c r="AK79" i="17"/>
  <c r="AL75" i="17" s="1"/>
  <c r="AM13" i="16" l="1"/>
  <c r="AY7" i="16"/>
  <c r="L4" i="18" s="1"/>
  <c r="AY5" i="16"/>
  <c r="L2" i="18" s="1"/>
  <c r="AX6" i="16"/>
  <c r="AX7" i="16"/>
  <c r="K4" i="18" s="1"/>
  <c r="AK81" i="17"/>
  <c r="AL77" i="17"/>
  <c r="AN5" i="16" l="1"/>
  <c r="AN8" i="16" s="1"/>
  <c r="AN13" i="16" s="1"/>
  <c r="AO5" i="16" s="1"/>
  <c r="AO8" i="16" s="1"/>
  <c r="AO13" i="16" s="1"/>
  <c r="AP5" i="16" s="1"/>
  <c r="AP8" i="16" s="1"/>
  <c r="AP13" i="16" s="1"/>
  <c r="AQ5" i="16" s="1"/>
  <c r="AQ8" i="16" s="1"/>
  <c r="AQ13" i="16" s="1"/>
  <c r="AR5" i="16" s="1"/>
  <c r="AR8" i="16" s="1"/>
  <c r="C8" i="16" s="1"/>
  <c r="C13" i="16" s="1"/>
  <c r="AM15" i="16"/>
  <c r="K3" i="18"/>
  <c r="AY11" i="16"/>
  <c r="AL79" i="17"/>
  <c r="AM75" i="17" s="1"/>
  <c r="AR13" i="16" l="1"/>
  <c r="AL81" i="17"/>
  <c r="AM77" i="17"/>
  <c r="AM79" i="17" l="1"/>
  <c r="AY75" i="17"/>
  <c r="AX76" i="17"/>
  <c r="AX77" i="17"/>
  <c r="K27" i="18" s="1"/>
  <c r="AY77" i="17"/>
  <c r="L27" i="18" s="1"/>
  <c r="AN75" i="17"/>
  <c r="AM81" i="17"/>
  <c r="H61" i="29" l="1"/>
  <c r="H61" i="5"/>
  <c r="K26" i="18"/>
  <c r="K32" i="18" s="1"/>
  <c r="H61" i="24"/>
  <c r="H61" i="28"/>
  <c r="H61" i="25"/>
  <c r="AY81" i="17"/>
  <c r="H61" i="23"/>
  <c r="H61" i="20"/>
  <c r="H61" i="22"/>
  <c r="H61" i="19"/>
  <c r="H61" i="21"/>
  <c r="H61" i="27"/>
  <c r="H61" i="26"/>
  <c r="I61" i="26"/>
  <c r="I61" i="21"/>
  <c r="I61" i="23"/>
  <c r="I61" i="25"/>
  <c r="I61" i="20"/>
  <c r="I61" i="27"/>
  <c r="I61" i="29"/>
  <c r="I61" i="5"/>
  <c r="I61" i="19"/>
  <c r="I61" i="28"/>
  <c r="L25" i="18"/>
  <c r="L32" i="18" s="1"/>
  <c r="I61" i="24"/>
  <c r="I61" i="22"/>
  <c r="AN77" i="17"/>
  <c r="AN79" i="17" s="1"/>
  <c r="I62" i="23" l="1"/>
  <c r="I62" i="26"/>
  <c r="I62" i="21"/>
  <c r="I62" i="24"/>
  <c r="I62" i="19"/>
  <c r="I62" i="22"/>
  <c r="I62" i="25"/>
  <c r="I62" i="5"/>
  <c r="I62" i="27"/>
  <c r="I62" i="20"/>
  <c r="I62" i="28"/>
  <c r="I62" i="29"/>
  <c r="AO75" i="17"/>
  <c r="AN81" i="17"/>
  <c r="AO77" i="17" l="1"/>
  <c r="AO79" i="17" s="1"/>
  <c r="AP75" i="17" l="1"/>
  <c r="AP77" i="17" s="1"/>
  <c r="AP79" i="17" s="1"/>
  <c r="AO81" i="17"/>
  <c r="AQ75" i="17" l="1"/>
  <c r="AP81" i="17"/>
  <c r="AQ77" i="17" l="1"/>
  <c r="AQ79" i="17" s="1"/>
  <c r="AR75" i="17" l="1"/>
  <c r="AQ81" i="17"/>
  <c r="AR77" i="17" l="1"/>
  <c r="AR79" i="17" s="1"/>
  <c r="AR81" i="17" s="1"/>
  <c r="F1" i="24"/>
  <c r="C1" i="25"/>
  <c r="C1" i="26" s="1"/>
  <c r="F1" i="26" s="1"/>
  <c r="F1" i="25" l="1"/>
  <c r="C1" i="27"/>
  <c r="F1" i="27" l="1"/>
  <c r="C1" i="28"/>
  <c r="C1" i="29" l="1"/>
  <c r="F1" i="29" s="1"/>
  <c r="F1" i="28"/>
</calcChain>
</file>

<file path=xl/comments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Updated once per year; email to be provided by rates with a memo on the allocation %</t>
        </r>
      </text>
    </comment>
  </commentList>
</comments>
</file>

<file path=xl/comments10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3.xml><?xml version="1.0" encoding="utf-8"?>
<comments xmlns="http://schemas.openxmlformats.org/spreadsheetml/2006/main">
  <authors>
    <author>MGG9990</author>
    <author>Christine Machado</author>
    <author>Berg, Jenny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26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W29" authorId="3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37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39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14.xml><?xml version="1.0" encoding="utf-8"?>
<comments xmlns="http://schemas.openxmlformats.org/spreadsheetml/2006/main">
  <authors>
    <author>MGG9990</author>
    <author>Christine Machado</author>
    <author>Berg, Jenny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leave blank</t>
        </r>
      </text>
    </comment>
    <comment ref="W28" authorId="3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3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15.xml><?xml version="1.0" encoding="utf-8"?>
<comments xmlns="http://schemas.openxmlformats.org/spreadsheetml/2006/main">
  <authors>
    <author>MGG9990</author>
    <author>Christine Machado</author>
    <author>Berg, Jenny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26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W29" authorId="3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37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B39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should be left blank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16.xml><?xml version="1.0" encoding="utf-8"?>
<comments xmlns="http://schemas.openxmlformats.org/spreadsheetml/2006/main">
  <authors>
    <author>MGG9990</author>
    <author>Christine Machado</author>
    <author>Berg, Jenny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leave blank</t>
        </r>
      </text>
    </comment>
    <comment ref="W28" authorId="3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3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17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18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19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Updated once per year; email to be provided by rates with a memo on the allocation %</t>
        </r>
      </text>
    </comment>
  </commentList>
</comments>
</file>

<file path=xl/comments20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21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22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23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24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25.xml><?xml version="1.0" encoding="utf-8"?>
<comments xmlns="http://schemas.openxmlformats.org/spreadsheetml/2006/main">
  <authors>
    <author>Christine Machado</author>
    <author>MGG9990</author>
    <author>Carolyn Groome</author>
  </authors>
  <commentList>
    <comment ref="AX6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$10.22 prior period adjustment</t>
        </r>
      </text>
    </comment>
    <comment ref="AY7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$7,556.99 prior period adjustment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X8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$7,546.77 prior period adjustment</t>
        </r>
      </text>
    </comment>
    <comment ref="G9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1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1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0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26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27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WA-Def-Amtz Correction 201504 tab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  <comment ref="W29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Large customer refund was surcharge rather than refund.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AF81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201511 picking up schedule 146 unbilled in proration report</t>
        </r>
      </text>
    </comment>
  </commentList>
</comments>
</file>

<file path=xl/comments28.xml><?xml version="1.0" encoding="utf-8"?>
<comments xmlns="http://schemas.openxmlformats.org/spreadsheetml/2006/main">
  <authors>
    <author>MGG9990</author>
    <author>Christine Machado</author>
    <author>Carolyn Groome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Adjusted formula as adjustment includes interest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Rate Proration Correction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PGA TRANSFER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MGG9990:</t>
        </r>
        <r>
          <rPr>
            <sz val="8"/>
            <color indexed="81"/>
            <rFont val="Tahoma"/>
            <family val="2"/>
          </rPr>
          <t xml:space="preserve">
NSJ025</t>
        </r>
      </text>
    </comment>
    <comment ref="U12" authorId="1" shapeId="0">
      <text>
        <r>
          <rPr>
            <sz val="9"/>
            <color indexed="81"/>
            <rFont val="Tahoma"/>
            <family val="2"/>
          </rPr>
          <t>commodity/demand correction from November</t>
        </r>
      </text>
    </comment>
    <comment ref="W12" authorId="1" shapeId="0">
      <text>
        <r>
          <rPr>
            <sz val="9"/>
            <color indexed="81"/>
            <rFont val="Tahoma"/>
            <family val="2"/>
          </rPr>
          <t>interest correction from January correction</t>
        </r>
      </text>
    </comment>
    <comment ref="X12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Correction from ID-Def-Amtz Correction 201504 tab</t>
        </r>
      </text>
    </comment>
    <comment ref="W28" authorId="2" shapeId="0">
      <text>
        <r>
          <rPr>
            <b/>
            <sz val="9"/>
            <color indexed="81"/>
            <rFont val="Tahoma"/>
            <family val="2"/>
          </rPr>
          <t>Carolyn Groome:</t>
        </r>
        <r>
          <rPr>
            <sz val="9"/>
            <color indexed="81"/>
            <rFont val="Tahoma"/>
            <family val="2"/>
          </rPr>
          <t xml:space="preserve">
From Calendar Sales file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From PGA Rate Changes Calculation workbook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MGG9990:</t>
        </r>
        <r>
          <rPr>
            <sz val="9"/>
            <color indexed="81"/>
            <rFont val="Tahoma"/>
            <family val="2"/>
          </rPr>
          <t xml:space="preserve">
Interest Calculation Includes Transfer in beginning balance</t>
        </r>
      </text>
    </comment>
    <comment ref="X46" authorId="1" shapeId="0">
      <text>
        <r>
          <rPr>
            <b/>
            <sz val="9"/>
            <color indexed="81"/>
            <rFont val="Tahoma"/>
            <family val="2"/>
          </rPr>
          <t>Christine Machado:</t>
        </r>
        <r>
          <rPr>
            <sz val="9"/>
            <color indexed="81"/>
            <rFont val="Tahoma"/>
            <family val="2"/>
          </rPr>
          <t xml:space="preserve">
Correcting entry from ID-Def-Amtz Correction 201504 tab</t>
        </r>
      </text>
    </comment>
    <comment ref="U76" authorId="2" shapeId="0">
      <text>
        <r>
          <rPr>
            <sz val="9"/>
            <color indexed="81"/>
            <rFont val="Tahoma"/>
            <family val="2"/>
          </rPr>
          <t>$175,667.22 was reclassed to 407229 GD ID via NSJ013.</t>
        </r>
      </text>
    </comment>
  </commentList>
</comments>
</file>

<file path=xl/comments29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9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sharedStrings.xml><?xml version="1.0" encoding="utf-8"?>
<sst xmlns="http://schemas.openxmlformats.org/spreadsheetml/2006/main" count="8679" uniqueCount="343">
  <si>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</si>
  <si>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</si>
  <si>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</si>
  <si>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</si>
  <si>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</si>
  <si>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</si>
  <si>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</si>
  <si>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</si>
  <si>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</si>
  <si>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</si>
  <si>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</si>
  <si>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</si>
  <si>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</si>
  <si>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</si>
  <si>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</si>
  <si>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</si>
  <si>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</si>
  <si>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</si>
  <si>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</si>
  <si>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</si>
  <si>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</si>
  <si>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</si>
  <si>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</si>
  <si>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</si>
  <si>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</si>
  <si>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</si>
  <si>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</si>
  <si>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</si>
  <si>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</si>
  <si>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</si>
  <si>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</si>
  <si>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</si>
  <si>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</si>
  <si>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</si>
  <si>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</si>
  <si>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</si>
  <si>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</si>
  <si>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</si>
  <si>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</si>
  <si>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</si>
  <si>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</si>
  <si>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</si>
  <si>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</si>
  <si>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</si>
  <si>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</si>
  <si>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</si>
  <si>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</si>
  <si>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</si>
  <si>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</si>
  <si>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</si>
  <si>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</si>
  <si>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</si>
  <si>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</si>
  <si>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</si>
  <si>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</si>
  <si>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</si>
  <si>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</si>
  <si>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</si>
  <si>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</si>
  <si>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</si>
  <si>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</si>
  <si>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</si>
  <si>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</si>
  <si>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</si>
  <si>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</si>
  <si>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</si>
  <si>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</si>
  <si>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</si>
  <si>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</si>
  <si>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</si>
  <si>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</si>
  <si>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</si>
  <si>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</si>
  <si>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</si>
  <si>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</si>
  <si>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</si>
  <si>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</si>
  <si>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</si>
  <si>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</si>
  <si>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</si>
  <si>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</si>
  <si>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</si>
  <si>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</si>
  <si>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</si>
  <si>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</si>
  <si>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</si>
  <si>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</si>
  <si>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</si>
  <si>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</si>
  <si>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</si>
  <si>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</si>
  <si>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</si>
  <si>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</si>
  <si>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</si>
  <si>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</si>
  <si>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</si>
  <si>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</si>
  <si>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</si>
  <si>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</si>
  <si>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</si>
  <si>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</si>
  <si>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</si>
  <si>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</si>
  <si>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</si>
  <si>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</si>
  <si>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</si>
  <si>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</si>
  <si>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</si>
  <si>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</si>
  <si>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</si>
  <si>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</si>
  <si>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</si>
  <si>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</si>
  <si>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</si>
  <si>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</si>
  <si>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</si>
  <si>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</si>
  <si>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</si>
  <si>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</si>
  <si>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</si>
  <si>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</si>
  <si>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</si>
  <si>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</si>
  <si>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</si>
  <si>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</si>
  <si>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</si>
  <si>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</si>
  <si>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</si>
  <si>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</si>
  <si>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</si>
  <si>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</si>
  <si>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</si>
  <si>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</si>
  <si>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</si>
  <si>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</si>
  <si>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</si>
  <si>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</si>
  <si>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</si>
  <si>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</si>
  <si>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</si>
  <si>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</si>
  <si>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</si>
  <si>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</si>
  <si>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</si>
  <si>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</si>
  <si>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</si>
  <si>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</si>
  <si>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</si>
  <si>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</si>
  <si>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</si>
  <si>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</si>
  <si>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</si>
  <si>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</si>
  <si>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</si>
  <si>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</si>
  <si>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</si>
  <si>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</si>
  <si>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</si>
  <si>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</si>
  <si>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</si>
  <si>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</si>
  <si>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</si>
  <si>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</si>
  <si>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</si>
  <si>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</si>
  <si>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</si>
  <si>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</si>
  <si>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</si>
  <si>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</si>
  <si>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</si>
  <si>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</si>
  <si>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</si>
  <si>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</si>
  <si>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</si>
  <si>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</si>
  <si>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Newedge Broker Fees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</si>
  <si>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</si>
  <si>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</si>
  <si>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</si>
  <si>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</si>
  <si>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</si>
  <si>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</si>
  <si>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</si>
  <si>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</si>
  <si>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</si>
  <si>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</si>
  <si>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</si>
  <si>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</si>
  <si>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</si>
  <si>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</si>
  <si>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</si>
  <si>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Terasen/Fortis Deferred Exchange Revenue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</si>
  <si>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</si>
  <si>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</si>
  <si>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</si>
  <si>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</si>
  <si>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</si>
  <si>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</si>
  <si>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</si>
  <si>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</si>
  <si>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</si>
  <si>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</si>
  <si>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</si>
  <si>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</si>
  <si>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</si>
  <si>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</si>
  <si>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</si>
  <si>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</si>
  <si>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</si>
  <si>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</si>
  <si>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</si>
  <si>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</si>
  <si>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</si>
  <si>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</si>
  <si>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</si>
  <si>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</si>
  <si>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</si>
  <si>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</si>
  <si>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</si>
  <si>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</si>
  <si>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</si>
  <si>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</si>
  <si>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</si>
  <si>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</si>
  <si>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</si>
  <si>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</si>
  <si>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</si>
  <si>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</si>
  <si>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</si>
  <si>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</si>
  <si>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</si>
  <si>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</si>
  <si>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</si>
  <si>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</si>
  <si>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</si>
  <si>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</si>
  <si>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</si>
  <si>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</si>
  <si>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</si>
  <si>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</si>
  <si>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</si>
  <si>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</si>
  <si>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</si>
  <si>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</si>
  <si>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</si>
  <si>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</si>
  <si>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</si>
  <si>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</si>
  <si>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</si>
  <si>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</si>
  <si>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Idaho Deferral</t>
  </si>
  <si>
    <t>YTD</t>
  </si>
  <si>
    <t>PGA YTD</t>
  </si>
  <si>
    <t>Beginning Balance</t>
  </si>
  <si>
    <t>Commodity Deferrall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</si>
  <si>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</si>
  <si>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</si>
  <si>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</si>
  <si>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</si>
  <si>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</si>
  <si>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</si>
  <si>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</si>
  <si>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</si>
  <si>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</si>
  <si>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</si>
  <si>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</si>
  <si>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</si>
  <si>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Idaho Current Deferral</t>
  </si>
  <si>
    <t>Washington Amortization</t>
  </si>
  <si>
    <t>Calendar Sales Check</t>
  </si>
  <si>
    <t>Man Calc</t>
  </si>
  <si>
    <t>Idaho Amortization</t>
  </si>
  <si>
    <t>N/A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</si>
  <si>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</si>
  <si>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</si>
  <si>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</si>
  <si>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</si>
  <si>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</si>
  <si>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</si>
  <si>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</si>
  <si>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</si>
  <si>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</si>
  <si>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</si>
  <si>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</si>
  <si>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</si>
  <si>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</si>
  <si>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</si>
  <si>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</si>
  <si>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</si>
  <si>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</si>
  <si>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</si>
  <si>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ID</t>
  </si>
  <si>
    <t>Volume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</si>
  <si>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</si>
  <si>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</si>
  <si>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</si>
  <si>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</si>
  <si>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</si>
  <si>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</si>
  <si>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</si>
  <si>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</si>
  <si>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</si>
  <si>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</si>
  <si>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</si>
  <si>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ID Deferral Interest Income</t>
  </si>
  <si>
    <t>ID Deferral Interest Expense</t>
  </si>
  <si>
    <t>ID Deferral</t>
  </si>
  <si>
    <t>ID Deferral Expense</t>
  </si>
  <si>
    <t>ID Amortization Interest Income</t>
  </si>
  <si>
    <t>ID Amortization Interest Expense</t>
  </si>
  <si>
    <t>ID Amortization</t>
  </si>
  <si>
    <t>ID Amortization Expense</t>
  </si>
  <si>
    <t>ID Amortization HB</t>
  </si>
  <si>
    <t>ID Amortization Expense HB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</si>
  <si>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</si>
  <si>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</si>
  <si>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</si>
  <si>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</si>
  <si>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</si>
  <si>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</si>
  <si>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</si>
  <si>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</si>
  <si>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</si>
  <si>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</si>
  <si>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PGA Year</t>
  </si>
  <si>
    <t>Calendar Yr</t>
  </si>
  <si>
    <t xml:space="preserve">overcollect Demad costs during the winter months </t>
  </si>
  <si>
    <t xml:space="preserve">undercollect Commodity costs during the summer months </t>
  </si>
  <si>
    <t xml:space="preserve"> </t>
  </si>
  <si>
    <t>Adjustment from Jan2015</t>
  </si>
  <si>
    <t>M Chemical Accrual</t>
  </si>
  <si>
    <t>SG Americas Broker Fees</t>
  </si>
  <si>
    <t>Schedule 102</t>
  </si>
  <si>
    <t>Schedule102</t>
  </si>
  <si>
    <t>MAIN CALC</t>
  </si>
  <si>
    <t>Main Calc</t>
  </si>
  <si>
    <t>2015-2016 PGA Deferral Balances</t>
  </si>
  <si>
    <t>S/B</t>
  </si>
  <si>
    <t>BOOKED 6/7</t>
  </si>
  <si>
    <t>CORRECTION 6/8</t>
  </si>
  <si>
    <t>DR</t>
  </si>
  <si>
    <t>CR</t>
  </si>
  <si>
    <t>Wells Fargo Journal DJ 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</si>
</sst>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  <numFmt numFmtId="184" formatCode="0_);\(0\)"/>
  </numFmts>
  <fonts count="5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Helv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39" fontId="0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27" fillId="2" borderId="0"/>
    <xf numFmtId="9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6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9" fontId="20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8" fillId="0" borderId="0"/>
    <xf numFmtId="0" fontId="39" fillId="0" borderId="0"/>
    <xf numFmtId="0" fontId="8" fillId="0" borderId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40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2" fillId="0" borderId="29" applyNumberFormat="0" applyFill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4">
    <xf numFmtId="39" fontId="0" fillId="0" borderId="0" xfId="0"/>
    <xf numFmtId="39" fontId="14" fillId="0" borderId="0" xfId="0" applyFont="1"/>
    <xf numFmtId="39" fontId="15" fillId="0" borderId="0" xfId="0" applyFont="1"/>
    <xf numFmtId="14" fontId="15" fillId="0" borderId="0" xfId="0" applyNumberFormat="1" applyFont="1"/>
    <xf numFmtId="43" fontId="16" fillId="0" borderId="0" xfId="0" applyNumberFormat="1" applyFont="1" applyFill="1"/>
    <xf numFmtId="39" fontId="14" fillId="0" borderId="0" xfId="0" applyFont="1" applyBorder="1"/>
    <xf numFmtId="39" fontId="14" fillId="0" borderId="0" xfId="0" applyFont="1" applyAlignment="1">
      <alignment horizontal="center"/>
    </xf>
    <xf numFmtId="39" fontId="14" fillId="0" borderId="0" xfId="0" applyFont="1" applyFill="1" applyBorder="1"/>
    <xf numFmtId="7" fontId="14" fillId="0" borderId="0" xfId="0" applyNumberFormat="1" applyFont="1" applyFill="1" applyBorder="1"/>
    <xf numFmtId="39" fontId="15" fillId="0" borderId="0" xfId="0" applyFont="1" applyAlignment="1">
      <alignment horizontal="right"/>
    </xf>
    <xf numFmtId="7" fontId="14" fillId="0" borderId="0" xfId="4" applyNumberFormat="1" applyFont="1" applyFill="1" applyBorder="1"/>
    <xf numFmtId="39" fontId="15" fillId="0" borderId="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2" xfId="0" applyFont="1" applyFill="1" applyBorder="1" applyAlignment="1">
      <alignment horizontal="center"/>
    </xf>
    <xf numFmtId="39" fontId="16" fillId="0" borderId="4" xfId="0" applyFont="1" applyBorder="1"/>
    <xf numFmtId="39" fontId="14" fillId="0" borderId="0" xfId="0" applyFont="1" applyAlignment="1">
      <alignment horizontal="right"/>
    </xf>
    <xf numFmtId="39" fontId="15" fillId="0" borderId="0" xfId="0" applyFont="1" applyBorder="1"/>
    <xf numFmtId="37" fontId="15" fillId="0" borderId="0" xfId="0" applyNumberFormat="1" applyFont="1" applyAlignment="1">
      <alignment horizontal="center"/>
    </xf>
    <xf numFmtId="37" fontId="15" fillId="0" borderId="5" xfId="0" applyNumberFormat="1" applyFont="1" applyBorder="1" applyAlignment="1">
      <alignment horizontal="center"/>
    </xf>
    <xf numFmtId="39" fontId="9" fillId="0" borderId="0" xfId="0" applyFont="1" applyFill="1" applyBorder="1"/>
    <xf numFmtId="39" fontId="15" fillId="0" borderId="0" xfId="0" applyFont="1" applyAlignment="1">
      <alignment horizontal="left"/>
    </xf>
    <xf numFmtId="165" fontId="22" fillId="0" borderId="0" xfId="0" applyNumberFormat="1" applyFont="1" applyBorder="1" applyProtection="1"/>
    <xf numFmtId="39" fontId="14" fillId="0" borderId="0" xfId="0" applyFont="1" applyAlignment="1">
      <alignment horizontal="left"/>
    </xf>
    <xf numFmtId="165" fontId="17" fillId="0" borderId="0" xfId="0" applyNumberFormat="1" applyFont="1" applyProtection="1">
      <protection locked="0"/>
    </xf>
    <xf numFmtId="165" fontId="22" fillId="0" borderId="0" xfId="0" applyNumberFormat="1" applyFont="1" applyProtection="1">
      <protection locked="0"/>
    </xf>
    <xf numFmtId="165" fontId="14" fillId="0" borderId="0" xfId="0" applyNumberFormat="1" applyFont="1" applyProtection="1"/>
    <xf numFmtId="165" fontId="14" fillId="0" borderId="0" xfId="0" applyNumberFormat="1" applyFont="1" applyProtection="1">
      <protection locked="0"/>
    </xf>
    <xf numFmtId="170" fontId="14" fillId="0" borderId="0" xfId="0" applyNumberFormat="1" applyFont="1" applyProtection="1"/>
    <xf numFmtId="5" fontId="14" fillId="0" borderId="0" xfId="0" applyNumberFormat="1" applyFont="1" applyProtection="1"/>
    <xf numFmtId="17" fontId="15" fillId="0" borderId="17" xfId="0" applyNumberFormat="1" applyFont="1" applyBorder="1"/>
    <xf numFmtId="39" fontId="14" fillId="3" borderId="0" xfId="0" applyFont="1" applyFill="1"/>
    <xf numFmtId="5" fontId="15" fillId="0" borderId="0" xfId="0" applyNumberFormat="1" applyFont="1" applyFill="1" applyAlignment="1">
      <alignment horizontal="center"/>
    </xf>
    <xf numFmtId="5" fontId="14" fillId="0" borderId="0" xfId="0" applyNumberFormat="1" applyFont="1" applyFill="1"/>
    <xf numFmtId="17" fontId="15" fillId="3" borderId="0" xfId="0" applyNumberFormat="1" applyFont="1" applyFill="1"/>
    <xf numFmtId="5" fontId="15" fillId="3" borderId="0" xfId="0" applyNumberFormat="1" applyFont="1" applyFill="1" applyAlignment="1">
      <alignment horizontal="center"/>
    </xf>
    <xf numFmtId="5" fontId="14" fillId="3" borderId="0" xfId="0" applyNumberFormat="1" applyFont="1" applyFill="1"/>
    <xf numFmtId="7" fontId="14" fillId="3" borderId="0" xfId="0" applyNumberFormat="1" applyFont="1" applyFill="1"/>
    <xf numFmtId="7" fontId="14" fillId="3" borderId="0" xfId="0" applyNumberFormat="1" applyFont="1" applyFill="1" applyBorder="1"/>
    <xf numFmtId="39" fontId="14" fillId="0" borderId="0" xfId="0" applyFont="1" applyFill="1"/>
    <xf numFmtId="39" fontId="14" fillId="3" borderId="0" xfId="0" applyNumberFormat="1" applyFont="1" applyFill="1"/>
    <xf numFmtId="7" fontId="18" fillId="3" borderId="0" xfId="0" applyNumberFormat="1" applyFont="1" applyFill="1"/>
    <xf numFmtId="172" fontId="14" fillId="0" borderId="0" xfId="0" applyNumberFormat="1" applyFont="1" applyProtection="1"/>
    <xf numFmtId="39" fontId="14" fillId="0" borderId="0" xfId="0" applyNumberFormat="1" applyFont="1" applyProtection="1"/>
    <xf numFmtId="39" fontId="14" fillId="3" borderId="0" xfId="0" applyNumberFormat="1" applyFont="1" applyFill="1" applyBorder="1"/>
    <xf numFmtId="39" fontId="19" fillId="0" borderId="0" xfId="0" applyFont="1"/>
    <xf numFmtId="8" fontId="14" fillId="3" borderId="0" xfId="2" applyFont="1" applyFill="1" applyBorder="1"/>
    <xf numFmtId="39" fontId="14" fillId="0" borderId="9" xfId="0" applyFont="1" applyBorder="1"/>
    <xf numFmtId="39" fontId="14" fillId="0" borderId="16" xfId="0" applyFont="1" applyBorder="1"/>
    <xf numFmtId="43" fontId="14" fillId="0" borderId="0" xfId="0" applyNumberFormat="1" applyFont="1" applyFill="1" applyBorder="1"/>
    <xf numFmtId="39" fontId="14" fillId="0" borderId="9" xfId="0" applyFont="1" applyFill="1" applyBorder="1"/>
    <xf numFmtId="39" fontId="15" fillId="0" borderId="0" xfId="0" applyFont="1" applyFill="1"/>
    <xf numFmtId="164" fontId="15" fillId="0" borderId="0" xfId="0" applyNumberFormat="1" applyFont="1" applyAlignment="1">
      <alignment horizontal="left"/>
    </xf>
    <xf numFmtId="166" fontId="14" fillId="0" borderId="0" xfId="4" applyNumberFormat="1" applyFont="1"/>
    <xf numFmtId="164" fontId="14" fillId="0" borderId="0" xfId="0" applyNumberFormat="1" applyFont="1"/>
    <xf numFmtId="164" fontId="15" fillId="0" borderId="0" xfId="0" applyNumberFormat="1" applyFont="1" applyAlignment="1">
      <alignment horizontal="center"/>
    </xf>
    <xf numFmtId="39" fontId="15" fillId="0" borderId="0" xfId="0" applyFont="1" applyAlignment="1">
      <alignment horizontal="center"/>
    </xf>
    <xf numFmtId="39" fontId="15" fillId="0" borderId="0" xfId="0" applyFont="1" applyBorder="1" applyAlignment="1">
      <alignment horizontal="center"/>
    </xf>
    <xf numFmtId="166" fontId="15" fillId="0" borderId="0" xfId="4" applyNumberFormat="1" applyFont="1" applyFill="1"/>
    <xf numFmtId="164" fontId="19" fillId="0" borderId="0" xfId="0" applyNumberFormat="1" applyFont="1" applyFill="1" applyAlignment="1" applyProtection="1">
      <alignment horizontal="left"/>
      <protection locked="0"/>
    </xf>
    <xf numFmtId="39" fontId="15" fillId="0" borderId="0" xfId="0" applyFont="1" applyFill="1" applyAlignment="1">
      <alignment horizontal="left"/>
    </xf>
    <xf numFmtId="39" fontId="19" fillId="0" borderId="0" xfId="0" applyFont="1" applyFill="1" applyProtection="1">
      <protection locked="0"/>
    </xf>
    <xf numFmtId="164" fontId="15" fillId="0" borderId="0" xfId="0" applyNumberFormat="1" applyFont="1" applyFill="1"/>
    <xf numFmtId="164" fontId="15" fillId="0" borderId="0" xfId="0" applyNumberFormat="1" applyFont="1"/>
    <xf numFmtId="39" fontId="15" fillId="0" borderId="9" xfId="0" applyFont="1" applyBorder="1"/>
    <xf numFmtId="39" fontId="15" fillId="0" borderId="9" xfId="0" applyFont="1" applyFill="1" applyBorder="1"/>
    <xf numFmtId="39" fontId="14" fillId="0" borderId="0" xfId="0" applyFont="1" applyFill="1" applyBorder="1" applyAlignment="1">
      <alignment horizontal="right"/>
    </xf>
    <xf numFmtId="39" fontId="14" fillId="0" borderId="0" xfId="0" applyFont="1" applyFill="1" applyAlignment="1">
      <alignment horizontal="right"/>
    </xf>
    <xf numFmtId="39" fontId="14" fillId="0" borderId="0" xfId="0" applyFont="1" applyBorder="1" applyAlignment="1">
      <alignment horizontal="right"/>
    </xf>
    <xf numFmtId="8" fontId="15" fillId="0" borderId="0" xfId="2" applyFont="1" applyFill="1" applyBorder="1"/>
    <xf numFmtId="39" fontId="20" fillId="0" borderId="0" xfId="0" applyFont="1"/>
    <xf numFmtId="37" fontId="15" fillId="0" borderId="0" xfId="0" applyNumberFormat="1" applyFont="1" applyAlignment="1">
      <alignment horizontal="left"/>
    </xf>
    <xf numFmtId="37" fontId="15" fillId="0" borderId="0" xfId="0" applyNumberFormat="1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39" fontId="15" fillId="0" borderId="18" xfId="0" applyFont="1" applyBorder="1" applyAlignment="1">
      <alignment horizontal="left"/>
    </xf>
    <xf numFmtId="39" fontId="14" fillId="0" borderId="19" xfId="0" applyFont="1" applyBorder="1" applyAlignment="1">
      <alignment horizontal="center"/>
    </xf>
    <xf numFmtId="39" fontId="15" fillId="0" borderId="19" xfId="0" applyFont="1" applyBorder="1" applyAlignment="1">
      <alignment horizontal="center"/>
    </xf>
    <xf numFmtId="173" fontId="19" fillId="0" borderId="19" xfId="0" applyNumberFormat="1" applyFont="1" applyFill="1" applyBorder="1" applyAlignment="1">
      <alignment horizontal="center"/>
    </xf>
    <xf numFmtId="43" fontId="15" fillId="0" borderId="8" xfId="0" applyNumberFormat="1" applyFont="1" applyBorder="1"/>
    <xf numFmtId="37" fontId="15" fillId="0" borderId="19" xfId="0" applyNumberFormat="1" applyFont="1" applyBorder="1" applyAlignment="1">
      <alignment horizontal="center"/>
    </xf>
    <xf numFmtId="39" fontId="15" fillId="0" borderId="19" xfId="0" applyFont="1" applyBorder="1"/>
    <xf numFmtId="14" fontId="15" fillId="0" borderId="19" xfId="0" applyNumberFormat="1" applyFont="1" applyBorder="1"/>
    <xf numFmtId="43" fontId="15" fillId="0" borderId="20" xfId="0" applyNumberFormat="1" applyFont="1" applyBorder="1"/>
    <xf numFmtId="39" fontId="15" fillId="0" borderId="0" xfId="0" applyNumberFormat="1" applyFont="1" applyAlignment="1">
      <alignment horizontal="left" vertical="top"/>
    </xf>
    <xf numFmtId="39" fontId="14" fillId="0" borderId="0" xfId="0" applyNumberFormat="1" applyFont="1" applyAlignment="1">
      <alignment horizontal="left" vertical="top"/>
    </xf>
    <xf numFmtId="39" fontId="14" fillId="0" borderId="0" xfId="0" applyNumberFormat="1" applyFont="1" applyAlignment="1">
      <alignment horizontal="center" vertical="top"/>
    </xf>
    <xf numFmtId="39" fontId="15" fillId="0" borderId="0" xfId="0" applyFont="1" applyFill="1" applyBorder="1" applyAlignment="1">
      <alignment horizontal="left"/>
    </xf>
    <xf numFmtId="39" fontId="14" fillId="0" borderId="0" xfId="0" applyFont="1" applyFill="1" applyBorder="1" applyAlignment="1">
      <alignment horizontal="center"/>
    </xf>
    <xf numFmtId="39" fontId="19" fillId="0" borderId="0" xfId="0" applyFont="1" applyFill="1"/>
    <xf numFmtId="39" fontId="21" fillId="0" borderId="0" xfId="0" applyFont="1" applyFill="1" applyBorder="1"/>
    <xf numFmtId="39" fontId="21" fillId="0" borderId="8" xfId="0" applyFont="1" applyFill="1" applyBorder="1"/>
    <xf numFmtId="14" fontId="15" fillId="0" borderId="0" xfId="0" applyNumberFormat="1" applyFont="1" applyFill="1"/>
    <xf numFmtId="164" fontId="13" fillId="0" borderId="0" xfId="0" quotePrefix="1" applyNumberFormat="1" applyFont="1" applyFill="1" applyBorder="1"/>
    <xf numFmtId="39" fontId="20" fillId="0" borderId="0" xfId="0" applyFont="1" applyFill="1" applyBorder="1"/>
    <xf numFmtId="39" fontId="21" fillId="0" borderId="11" xfId="0" applyFont="1" applyFill="1" applyBorder="1"/>
    <xf numFmtId="39" fontId="21" fillId="0" borderId="17" xfId="0" applyFont="1" applyFill="1" applyBorder="1"/>
    <xf numFmtId="37" fontId="15" fillId="0" borderId="0" xfId="0" applyNumberFormat="1" applyFont="1" applyFill="1" applyAlignment="1">
      <alignment horizontal="center"/>
    </xf>
    <xf numFmtId="174" fontId="14" fillId="0" borderId="0" xfId="0" applyNumberFormat="1" applyFont="1"/>
    <xf numFmtId="7" fontId="14" fillId="0" borderId="3" xfId="0" applyNumberFormat="1" applyFont="1" applyFill="1" applyBorder="1"/>
    <xf numFmtId="39" fontId="14" fillId="0" borderId="8" xfId="0" applyFont="1" applyFill="1" applyBorder="1"/>
    <xf numFmtId="9" fontId="19" fillId="0" borderId="0" xfId="4" applyFont="1" applyFill="1" applyAlignment="1">
      <alignment horizontal="center"/>
    </xf>
    <xf numFmtId="44" fontId="14" fillId="0" borderId="0" xfId="0" applyNumberFormat="1" applyFont="1" applyFill="1" applyBorder="1"/>
    <xf numFmtId="44" fontId="15" fillId="5" borderId="0" xfId="0" applyNumberFormat="1" applyFont="1" applyFill="1" applyBorder="1"/>
    <xf numFmtId="39" fontId="15" fillId="0" borderId="10" xfId="0" applyFont="1" applyFill="1" applyBorder="1"/>
    <xf numFmtId="164" fontId="15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/>
    <xf numFmtId="39" fontId="24" fillId="0" borderId="0" xfId="0" applyFont="1" applyFill="1" applyAlignment="1">
      <alignment horizontal="center"/>
    </xf>
    <xf numFmtId="43" fontId="14" fillId="0" borderId="6" xfId="0" applyNumberFormat="1" applyFont="1" applyFill="1" applyBorder="1"/>
    <xf numFmtId="7" fontId="14" fillId="0" borderId="2" xfId="0" applyNumberFormat="1" applyFont="1" applyFill="1" applyBorder="1"/>
    <xf numFmtId="167" fontId="14" fillId="0" borderId="8" xfId="0" applyNumberFormat="1" applyFont="1" applyFill="1" applyBorder="1"/>
    <xf numFmtId="43" fontId="14" fillId="0" borderId="5" xfId="0" applyNumberFormat="1" applyFont="1" applyFill="1" applyBorder="1"/>
    <xf numFmtId="39" fontId="21" fillId="0" borderId="6" xfId="0" applyFont="1" applyFill="1" applyBorder="1"/>
    <xf numFmtId="39" fontId="21" fillId="0" borderId="0" xfId="0" applyFont="1" applyFill="1" applyBorder="1" applyAlignment="1">
      <alignment horizontal="right"/>
    </xf>
    <xf numFmtId="39" fontId="15" fillId="0" borderId="1" xfId="0" applyFont="1" applyFill="1" applyBorder="1"/>
    <xf numFmtId="37" fontId="14" fillId="0" borderId="0" xfId="0" applyNumberFormat="1" applyFont="1" applyFill="1" applyBorder="1" applyProtection="1"/>
    <xf numFmtId="44" fontId="15" fillId="0" borderId="0" xfId="2" applyNumberFormat="1" applyFont="1" applyFill="1" applyBorder="1" applyProtection="1"/>
    <xf numFmtId="39" fontId="21" fillId="0" borderId="5" xfId="0" applyFont="1" applyFill="1" applyBorder="1" applyAlignment="1">
      <alignment horizontal="right"/>
    </xf>
    <xf numFmtId="39" fontId="21" fillId="0" borderId="3" xfId="0" applyFont="1" applyFill="1" applyBorder="1" applyAlignment="1">
      <alignment horizontal="right"/>
    </xf>
    <xf numFmtId="39" fontId="21" fillId="0" borderId="5" xfId="0" applyFont="1" applyFill="1" applyBorder="1"/>
    <xf numFmtId="7" fontId="15" fillId="0" borderId="9" xfId="0" applyNumberFormat="1" applyFont="1" applyFill="1" applyBorder="1"/>
    <xf numFmtId="39" fontId="25" fillId="5" borderId="0" xfId="0" applyFont="1" applyFill="1"/>
    <xf numFmtId="171" fontId="19" fillId="0" borderId="0" xfId="0" applyNumberFormat="1" applyFont="1" applyFill="1" applyAlignment="1">
      <alignment horizontal="right"/>
    </xf>
    <xf numFmtId="44" fontId="26" fillId="0" borderId="0" xfId="0" applyNumberFormat="1" applyFont="1" applyFill="1" applyBorder="1"/>
    <xf numFmtId="17" fontId="15" fillId="0" borderId="0" xfId="0" applyNumberFormat="1" applyFont="1" applyFill="1" applyBorder="1" applyAlignment="1">
      <alignment horizontal="left"/>
    </xf>
    <xf numFmtId="8" fontId="14" fillId="0" borderId="0" xfId="2" applyFont="1" applyFill="1"/>
    <xf numFmtId="44" fontId="15" fillId="3" borderId="23" xfId="0" applyNumberFormat="1" applyFont="1" applyFill="1" applyBorder="1"/>
    <xf numFmtId="39" fontId="15" fillId="0" borderId="14" xfId="0" applyFont="1" applyFill="1" applyBorder="1" applyAlignment="1">
      <alignment horizontal="center"/>
    </xf>
    <xf numFmtId="39" fontId="15" fillId="0" borderId="3" xfId="0" applyFont="1" applyFill="1" applyBorder="1" applyAlignment="1">
      <alignment horizontal="center"/>
    </xf>
    <xf numFmtId="39" fontId="15" fillId="0" borderId="6" xfId="0" applyFont="1" applyFill="1" applyBorder="1" applyAlignment="1">
      <alignment horizontal="center"/>
    </xf>
    <xf numFmtId="39" fontId="15" fillId="0" borderId="1" xfId="0" applyFont="1" applyFill="1" applyBorder="1" applyAlignment="1">
      <alignment horizontal="center"/>
    </xf>
    <xf numFmtId="39" fontId="15" fillId="0" borderId="4" xfId="0" applyFont="1" applyFill="1" applyBorder="1" applyAlignment="1">
      <alignment horizontal="center"/>
    </xf>
    <xf numFmtId="39" fontId="15" fillId="0" borderId="5" xfId="0" applyFont="1" applyFill="1" applyBorder="1" applyAlignment="1">
      <alignment horizontal="center"/>
    </xf>
    <xf numFmtId="44" fontId="15" fillId="0" borderId="15" xfId="2" applyNumberFormat="1" applyFont="1" applyFill="1" applyBorder="1" applyProtection="1"/>
    <xf numFmtId="10" fontId="15" fillId="0" borderId="0" xfId="4" applyNumberFormat="1" applyFont="1" applyFill="1"/>
    <xf numFmtId="10" fontId="26" fillId="0" borderId="0" xfId="4" applyNumberFormat="1" applyFont="1" applyFill="1"/>
    <xf numFmtId="44" fontId="14" fillId="4" borderId="0" xfId="0" applyNumberFormat="1" applyFont="1" applyFill="1" applyBorder="1"/>
    <xf numFmtId="171" fontId="19" fillId="0" borderId="0" xfId="0" applyNumberFormat="1" applyFont="1" applyFill="1"/>
    <xf numFmtId="37" fontId="15" fillId="0" borderId="0" xfId="0" applyNumberFormat="1" applyFont="1" applyFill="1" applyBorder="1" applyAlignment="1">
      <alignment horizontal="center"/>
    </xf>
    <xf numFmtId="14" fontId="15" fillId="0" borderId="0" xfId="0" applyNumberFormat="1" applyFont="1" applyFill="1" applyBorder="1"/>
    <xf numFmtId="39" fontId="15" fillId="0" borderId="4" xfId="0" applyFont="1" applyFill="1" applyBorder="1"/>
    <xf numFmtId="37" fontId="15" fillId="0" borderId="5" xfId="0" applyNumberFormat="1" applyFont="1" applyFill="1" applyBorder="1" applyAlignment="1">
      <alignment horizontal="center"/>
    </xf>
    <xf numFmtId="37" fontId="15" fillId="0" borderId="0" xfId="0" applyNumberFormat="1" applyFont="1" applyFill="1" applyAlignment="1">
      <alignment horizontal="left"/>
    </xf>
    <xf numFmtId="39" fontId="15" fillId="0" borderId="0" xfId="0" applyFont="1" applyFill="1" applyAlignment="1">
      <alignment horizontal="right"/>
    </xf>
    <xf numFmtId="17" fontId="14" fillId="0" borderId="0" xfId="0" applyNumberFormat="1" applyFont="1" applyFill="1" applyBorder="1"/>
    <xf numFmtId="0" fontId="14" fillId="0" borderId="0" xfId="0" applyNumberFormat="1" applyFont="1"/>
    <xf numFmtId="17" fontId="15" fillId="0" borderId="10" xfId="0" applyNumberFormat="1" applyFont="1" applyBorder="1"/>
    <xf numFmtId="17" fontId="15" fillId="0" borderId="5" xfId="0" applyNumberFormat="1" applyFont="1" applyFill="1" applyBorder="1" applyAlignment="1">
      <alignment horizontal="left"/>
    </xf>
    <xf numFmtId="39" fontId="14" fillId="0" borderId="5" xfId="0" applyFont="1" applyFill="1" applyBorder="1"/>
    <xf numFmtId="39" fontId="14" fillId="0" borderId="11" xfId="0" applyFont="1" applyFill="1" applyBorder="1"/>
    <xf numFmtId="39" fontId="15" fillId="0" borderId="12" xfId="0" applyFont="1" applyFill="1" applyBorder="1" applyAlignment="1">
      <alignment horizontal="center"/>
    </xf>
    <xf numFmtId="39" fontId="15" fillId="0" borderId="13" xfId="0" applyFont="1" applyFill="1" applyBorder="1" applyAlignment="1">
      <alignment horizontal="center"/>
    </xf>
    <xf numFmtId="39" fontId="14" fillId="0" borderId="1" xfId="0" applyFont="1" applyFill="1" applyBorder="1"/>
    <xf numFmtId="39" fontId="14" fillId="0" borderId="2" xfId="0" applyFont="1" applyFill="1" applyBorder="1"/>
    <xf numFmtId="39" fontId="14" fillId="0" borderId="7" xfId="0" applyFont="1" applyFill="1" applyBorder="1"/>
    <xf numFmtId="39" fontId="14" fillId="0" borderId="4" xfId="0" applyFont="1" applyFill="1" applyBorder="1"/>
    <xf numFmtId="39" fontId="22" fillId="0" borderId="0" xfId="0" applyFont="1" applyFill="1"/>
    <xf numFmtId="43" fontId="15" fillId="0" borderId="9" xfId="0" applyNumberFormat="1" applyFont="1" applyFill="1" applyBorder="1"/>
    <xf numFmtId="39" fontId="14" fillId="5" borderId="0" xfId="0" applyNumberFormat="1" applyFont="1" applyFill="1"/>
    <xf numFmtId="39" fontId="15" fillId="0" borderId="22" xfId="0" applyFont="1" applyFill="1" applyBorder="1"/>
    <xf numFmtId="37" fontId="14" fillId="0" borderId="22" xfId="0" applyNumberFormat="1" applyFont="1" applyFill="1" applyBorder="1"/>
    <xf numFmtId="44" fontId="15" fillId="0" borderId="22" xfId="0" applyNumberFormat="1" applyFont="1" applyFill="1" applyBorder="1"/>
    <xf numFmtId="39" fontId="15" fillId="6" borderId="0" xfId="0" applyFont="1" applyFill="1"/>
    <xf numFmtId="169" fontId="15" fillId="0" borderId="14" xfId="0" applyNumberFormat="1" applyFont="1" applyFill="1" applyBorder="1" applyAlignment="1" applyProtection="1">
      <alignment horizontal="center"/>
    </xf>
    <xf numFmtId="169" fontId="15" fillId="0" borderId="15" xfId="0" applyNumberFormat="1" applyFont="1" applyFill="1" applyBorder="1" applyAlignment="1" applyProtection="1">
      <alignment horizontal="center"/>
    </xf>
    <xf numFmtId="39" fontId="15" fillId="0" borderId="15" xfId="0" applyFont="1" applyFill="1" applyBorder="1" applyAlignment="1">
      <alignment horizontal="center"/>
    </xf>
    <xf numFmtId="39" fontId="15" fillId="0" borderId="16" xfId="0" applyFont="1" applyFill="1" applyBorder="1" applyAlignment="1">
      <alignment horizontal="center"/>
    </xf>
    <xf numFmtId="10" fontId="15" fillId="0" borderId="0" xfId="4" applyNumberFormat="1" applyFont="1" applyFill="1" applyAlignment="1">
      <alignment horizontal="center"/>
    </xf>
    <xf numFmtId="168" fontId="14" fillId="0" borderId="0" xfId="0" applyNumberFormat="1" applyFont="1" applyFill="1" applyAlignment="1" applyProtection="1">
      <alignment horizontal="left"/>
    </xf>
    <xf numFmtId="44" fontId="14" fillId="0" borderId="0" xfId="0" applyNumberFormat="1" applyFont="1" applyFill="1" applyProtection="1">
      <protection locked="0"/>
    </xf>
    <xf numFmtId="44" fontId="14" fillId="0" borderId="0" xfId="0" applyNumberFormat="1" applyFont="1" applyFill="1"/>
    <xf numFmtId="39" fontId="14" fillId="0" borderId="0" xfId="0" applyFont="1" applyFill="1" applyAlignment="1">
      <alignment horizontal="left"/>
    </xf>
    <xf numFmtId="44" fontId="14" fillId="0" borderId="9" xfId="0" applyNumberFormat="1" applyFont="1" applyFill="1" applyBorder="1" applyProtection="1">
      <protection locked="0"/>
    </xf>
    <xf numFmtId="39" fontId="17" fillId="0" borderId="0" xfId="0" applyFont="1" applyFill="1"/>
    <xf numFmtId="39" fontId="17" fillId="0" borderId="0" xfId="0" applyFont="1" applyFill="1" applyAlignment="1">
      <alignment horizontal="right"/>
    </xf>
    <xf numFmtId="44" fontId="17" fillId="0" borderId="0" xfId="0" applyNumberFormat="1" applyFont="1" applyFill="1" applyAlignment="1" applyProtection="1">
      <alignment horizontal="center"/>
    </xf>
    <xf numFmtId="44" fontId="14" fillId="0" borderId="0" xfId="0" applyNumberFormat="1" applyFont="1" applyFill="1" applyProtection="1"/>
    <xf numFmtId="168" fontId="15" fillId="0" borderId="0" xfId="0" applyNumberFormat="1" applyFont="1" applyFill="1" applyAlignment="1" applyProtection="1">
      <alignment horizontal="left"/>
    </xf>
    <xf numFmtId="44" fontId="15" fillId="0" borderId="22" xfId="0" applyNumberFormat="1" applyFont="1" applyFill="1" applyBorder="1" applyProtection="1">
      <protection locked="0"/>
    </xf>
    <xf numFmtId="49" fontId="14" fillId="0" borderId="0" xfId="0" applyNumberFormat="1" applyFont="1" applyFill="1" applyProtection="1"/>
    <xf numFmtId="176" fontId="17" fillId="0" borderId="0" xfId="1" applyNumberFormat="1" applyFont="1" applyFill="1"/>
    <xf numFmtId="7" fontId="17" fillId="0" borderId="0" xfId="0" applyNumberFormat="1" applyFont="1" applyFill="1" applyAlignment="1" applyProtection="1">
      <alignment horizontal="center"/>
    </xf>
    <xf numFmtId="7" fontId="14" fillId="0" borderId="0" xfId="0" applyNumberFormat="1" applyFont="1" applyFill="1" applyProtection="1"/>
    <xf numFmtId="37" fontId="14" fillId="0" borderId="22" xfId="0" applyNumberFormat="1" applyFont="1" applyFill="1" applyBorder="1" applyProtection="1"/>
    <xf numFmtId="171" fontId="22" fillId="0" borderId="0" xfId="0" applyNumberFormat="1" applyFont="1" applyFill="1" applyBorder="1" applyAlignment="1" applyProtection="1">
      <alignment horizontal="center"/>
      <protection locked="0"/>
    </xf>
    <xf numFmtId="7" fontId="17" fillId="0" borderId="0" xfId="0" applyNumberFormat="1" applyFont="1" applyFill="1" applyBorder="1" applyAlignment="1" applyProtection="1">
      <alignment horizontal="center"/>
    </xf>
    <xf numFmtId="39" fontId="15" fillId="0" borderId="7" xfId="0" applyFont="1" applyFill="1" applyBorder="1"/>
    <xf numFmtId="39" fontId="15" fillId="0" borderId="8" xfId="0" applyFont="1" applyFill="1" applyBorder="1" applyAlignment="1">
      <alignment horizontal="center"/>
    </xf>
    <xf numFmtId="39" fontId="14" fillId="0" borderId="7" xfId="0" applyFont="1" applyFill="1" applyBorder="1" applyAlignment="1">
      <alignment horizontal="left"/>
    </xf>
    <xf numFmtId="171" fontId="14" fillId="0" borderId="0" xfId="0" applyNumberFormat="1" applyFont="1" applyFill="1" applyBorder="1" applyAlignment="1" applyProtection="1">
      <alignment horizontal="left"/>
      <protection locked="0"/>
    </xf>
    <xf numFmtId="39" fontId="14" fillId="0" borderId="4" xfId="0" applyFont="1" applyFill="1" applyBorder="1" applyAlignment="1">
      <alignment horizontal="left"/>
    </xf>
    <xf numFmtId="171" fontId="14" fillId="0" borderId="5" xfId="0" applyNumberFormat="1" applyFont="1" applyFill="1" applyBorder="1" applyAlignment="1" applyProtection="1">
      <alignment horizontal="left"/>
      <protection locked="0"/>
    </xf>
    <xf numFmtId="8" fontId="15" fillId="0" borderId="8" xfId="2" applyFont="1" applyFill="1" applyBorder="1"/>
    <xf numFmtId="8" fontId="14" fillId="0" borderId="0" xfId="2" applyFont="1" applyFill="1" applyBorder="1"/>
    <xf numFmtId="8" fontId="14" fillId="0" borderId="7" xfId="2" applyFont="1" applyFill="1" applyBorder="1"/>
    <xf numFmtId="165" fontId="14" fillId="0" borderId="0" xfId="4" applyNumberFormat="1" applyFont="1" applyFill="1" applyBorder="1"/>
    <xf numFmtId="39" fontId="15" fillId="0" borderId="4" xfId="0" applyFont="1" applyFill="1" applyBorder="1" applyAlignment="1">
      <alignment horizontal="left"/>
    </xf>
    <xf numFmtId="39" fontId="15" fillId="0" borderId="16" xfId="0" applyFont="1" applyFill="1" applyBorder="1"/>
    <xf numFmtId="44" fontId="14" fillId="0" borderId="8" xfId="2" applyNumberFormat="1" applyFont="1" applyFill="1" applyBorder="1"/>
    <xf numFmtId="44" fontId="15" fillId="0" borderId="21" xfId="2" applyNumberFormat="1" applyFont="1" applyFill="1" applyBorder="1"/>
    <xf numFmtId="8" fontId="14" fillId="0" borderId="8" xfId="2" applyFont="1" applyFill="1" applyBorder="1"/>
    <xf numFmtId="39" fontId="15" fillId="0" borderId="7" xfId="0" applyFont="1" applyFill="1" applyBorder="1" applyAlignment="1">
      <alignment horizontal="right"/>
    </xf>
    <xf numFmtId="39" fontId="14" fillId="0" borderId="7" xfId="0" applyFont="1" applyFill="1" applyBorder="1" applyAlignment="1">
      <alignment horizontal="right"/>
    </xf>
    <xf numFmtId="39" fontId="15" fillId="0" borderId="15" xfId="0" applyFont="1" applyFill="1" applyBorder="1"/>
    <xf numFmtId="39" fontId="14" fillId="6" borderId="0" xfId="0" applyFont="1" applyFill="1"/>
    <xf numFmtId="39" fontId="15" fillId="6" borderId="9" xfId="0" applyFont="1" applyFill="1" applyBorder="1"/>
    <xf numFmtId="2" fontId="14" fillId="5" borderId="0" xfId="0" applyNumberFormat="1" applyFont="1" applyFill="1"/>
    <xf numFmtId="39" fontId="14" fillId="0" borderId="3" xfId="0" applyFont="1" applyFill="1" applyBorder="1"/>
    <xf numFmtId="37" fontId="28" fillId="0" borderId="0" xfId="0" applyNumberFormat="1" applyFont="1" applyFill="1" applyAlignment="1">
      <alignment horizontal="right"/>
    </xf>
    <xf numFmtId="44" fontId="15" fillId="0" borderId="0" xfId="0" applyNumberFormat="1" applyFont="1" applyFill="1"/>
    <xf numFmtId="0" fontId="14" fillId="0" borderId="0" xfId="0" applyNumberFormat="1" applyFont="1" applyFill="1" applyBorder="1"/>
    <xf numFmtId="0" fontId="14" fillId="0" borderId="9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/>
    <xf numFmtId="44" fontId="15" fillId="0" borderId="7" xfId="2" applyNumberFormat="1" applyFont="1" applyFill="1" applyBorder="1" applyProtection="1"/>
    <xf numFmtId="44" fontId="14" fillId="4" borderId="24" xfId="0" applyNumberFormat="1" applyFont="1" applyFill="1" applyBorder="1"/>
    <xf numFmtId="39" fontId="14" fillId="0" borderId="25" xfId="0" applyFont="1" applyBorder="1"/>
    <xf numFmtId="177" fontId="14" fillId="0" borderId="6" xfId="0" applyNumberFormat="1" applyFont="1" applyFill="1" applyBorder="1" applyAlignment="1">
      <alignment horizontal="right"/>
    </xf>
    <xf numFmtId="177" fontId="14" fillId="0" borderId="8" xfId="0" applyNumberFormat="1" applyFont="1" applyFill="1" applyBorder="1"/>
    <xf numFmtId="178" fontId="14" fillId="0" borderId="6" xfId="2" applyNumberFormat="1" applyFont="1" applyFill="1" applyBorder="1"/>
    <xf numFmtId="39" fontId="14" fillId="0" borderId="0" xfId="0" applyFont="1" applyFill="1" applyBorder="1" applyAlignment="1">
      <alignment horizontal="center"/>
    </xf>
    <xf numFmtId="17" fontId="30" fillId="0" borderId="7" xfId="0" applyNumberFormat="1" applyFont="1" applyFill="1" applyBorder="1"/>
    <xf numFmtId="171" fontId="30" fillId="0" borderId="0" xfId="0" applyNumberFormat="1" applyFont="1" applyFill="1" applyAlignment="1">
      <alignment horizontal="right"/>
    </xf>
    <xf numFmtId="39" fontId="15" fillId="6" borderId="0" xfId="0" applyFont="1" applyFill="1" applyBorder="1"/>
    <xf numFmtId="7" fontId="14" fillId="0" borderId="8" xfId="4" applyNumberFormat="1" applyFont="1" applyFill="1" applyBorder="1"/>
    <xf numFmtId="7" fontId="14" fillId="0" borderId="8" xfId="0" applyNumberFormat="1" applyFont="1" applyFill="1" applyBorder="1"/>
    <xf numFmtId="37" fontId="30" fillId="0" borderId="0" xfId="0" applyNumberFormat="1" applyFont="1" applyFill="1"/>
    <xf numFmtId="10" fontId="30" fillId="0" borderId="0" xfId="0" applyNumberFormat="1" applyFont="1" applyFill="1" applyAlignment="1">
      <alignment horizontal="right"/>
    </xf>
    <xf numFmtId="8" fontId="30" fillId="0" borderId="9" xfId="2" applyFont="1" applyFill="1" applyBorder="1"/>
    <xf numFmtId="39" fontId="21" fillId="0" borderId="8" xfId="0" applyFont="1" applyFill="1" applyBorder="1" applyAlignment="1">
      <alignment horizontal="right"/>
    </xf>
    <xf numFmtId="39" fontId="14" fillId="0" borderId="17" xfId="0" applyFont="1" applyBorder="1"/>
    <xf numFmtId="39" fontId="14" fillId="0" borderId="0" xfId="0" applyFont="1" applyFill="1" applyBorder="1" applyAlignment="1">
      <alignment horizontal="center"/>
    </xf>
    <xf numFmtId="37" fontId="29" fillId="0" borderId="0" xfId="0" applyNumberFormat="1" applyFont="1" applyFill="1" applyBorder="1"/>
    <xf numFmtId="37" fontId="30" fillId="0" borderId="0" xfId="0" applyNumberFormat="1" applyFont="1" applyFill="1" applyBorder="1" applyProtection="1"/>
    <xf numFmtId="37" fontId="30" fillId="0" borderId="5" xfId="0" applyNumberFormat="1" applyFont="1" applyFill="1" applyBorder="1" applyProtection="1"/>
    <xf numFmtId="171" fontId="30" fillId="0" borderId="0" xfId="0" applyNumberFormat="1" applyFont="1" applyFill="1" applyBorder="1" applyAlignment="1" applyProtection="1">
      <alignment horizontal="center"/>
      <protection locked="0"/>
    </xf>
    <xf numFmtId="44" fontId="30" fillId="0" borderId="10" xfId="2" applyNumberFormat="1" applyFont="1" applyFill="1" applyBorder="1" applyProtection="1"/>
    <xf numFmtId="44" fontId="30" fillId="0" borderId="11" xfId="2" applyNumberFormat="1" applyFont="1" applyFill="1" applyBorder="1" applyProtection="1"/>
    <xf numFmtId="44" fontId="30" fillId="0" borderId="17" xfId="2" applyNumberFormat="1" applyFont="1" applyFill="1" applyBorder="1" applyProtection="1"/>
    <xf numFmtId="10" fontId="19" fillId="0" borderId="0" xfId="4" applyNumberFormat="1" applyFont="1" applyFill="1"/>
    <xf numFmtId="171" fontId="30" fillId="0" borderId="0" xfId="0" applyNumberFormat="1" applyFont="1" applyFill="1" applyAlignment="1">
      <alignment horizontal="center"/>
    </xf>
    <xf numFmtId="44" fontId="15" fillId="6" borderId="0" xfId="0" applyNumberFormat="1" applyFont="1" applyFill="1" applyBorder="1"/>
    <xf numFmtId="39" fontId="29" fillId="0" borderId="0" xfId="0" applyFont="1"/>
    <xf numFmtId="44" fontId="26" fillId="7" borderId="0" xfId="0" applyNumberFormat="1" applyFont="1" applyFill="1" applyBorder="1"/>
    <xf numFmtId="39" fontId="26" fillId="6" borderId="0" xfId="0" applyFont="1" applyFill="1" applyProtection="1">
      <protection locked="0"/>
    </xf>
    <xf numFmtId="39" fontId="19" fillId="6" borderId="0" xfId="0" applyFont="1" applyFill="1" applyProtection="1">
      <protection locked="0"/>
    </xf>
    <xf numFmtId="39" fontId="19" fillId="6" borderId="0" xfId="0" applyFont="1" applyFill="1"/>
    <xf numFmtId="39" fontId="28" fillId="6" borderId="0" xfId="0" applyNumberFormat="1" applyFont="1" applyFill="1" applyAlignment="1">
      <alignment horizontal="right"/>
    </xf>
    <xf numFmtId="39" fontId="26" fillId="6" borderId="0" xfId="0" applyFont="1" applyFill="1"/>
    <xf numFmtId="2" fontId="14" fillId="0" borderId="0" xfId="0" applyNumberFormat="1" applyFont="1" applyFill="1" applyBorder="1" applyAlignment="1">
      <alignment horizontal="right"/>
    </xf>
    <xf numFmtId="39" fontId="15" fillId="8" borderId="0" xfId="0" applyFont="1" applyFill="1"/>
    <xf numFmtId="39" fontId="26" fillId="8" borderId="0" xfId="0" applyFont="1" applyFill="1" applyProtection="1">
      <protection locked="0"/>
    </xf>
    <xf numFmtId="39" fontId="19" fillId="8" borderId="0" xfId="0" applyFont="1" applyFill="1" applyProtection="1">
      <protection locked="0"/>
    </xf>
    <xf numFmtId="39" fontId="19" fillId="8" borderId="0" xfId="0" applyFont="1" applyFill="1"/>
    <xf numFmtId="37" fontId="19" fillId="8" borderId="0" xfId="0" applyNumberFormat="1" applyFont="1" applyFill="1"/>
    <xf numFmtId="37" fontId="26" fillId="8" borderId="0" xfId="0" applyNumberFormat="1" applyFont="1" applyFill="1" applyBorder="1" applyAlignment="1" applyProtection="1">
      <alignment horizontal="center"/>
    </xf>
    <xf numFmtId="37" fontId="19" fillId="8" borderId="0" xfId="0" applyNumberFormat="1" applyFont="1" applyFill="1" applyAlignment="1">
      <alignment horizontal="right"/>
    </xf>
    <xf numFmtId="37" fontId="14" fillId="8" borderId="22" xfId="0" applyNumberFormat="1" applyFont="1" applyFill="1" applyBorder="1"/>
    <xf numFmtId="37" fontId="30" fillId="8" borderId="0" xfId="0" applyNumberFormat="1" applyFont="1" applyFill="1"/>
    <xf numFmtId="164" fontId="14" fillId="6" borderId="0" xfId="0" applyNumberFormat="1" applyFont="1" applyFill="1"/>
    <xf numFmtId="44" fontId="14" fillId="6" borderId="0" xfId="0" applyNumberFormat="1" applyFont="1" applyFill="1" applyBorder="1"/>
    <xf numFmtId="39" fontId="15" fillId="6" borderId="22" xfId="0" applyFont="1" applyFill="1" applyBorder="1"/>
    <xf numFmtId="39" fontId="15" fillId="6" borderId="0" xfId="0" applyFont="1" applyFill="1" applyAlignment="1">
      <alignment horizontal="right"/>
    </xf>
    <xf numFmtId="7" fontId="14" fillId="4" borderId="0" xfId="0" applyNumberFormat="1" applyFont="1" applyFill="1" applyBorder="1"/>
    <xf numFmtId="44" fontId="15" fillId="0" borderId="26" xfId="2" applyNumberFormat="1" applyFont="1" applyFill="1" applyBorder="1" applyProtection="1"/>
    <xf numFmtId="38" fontId="26" fillId="0" borderId="0" xfId="1" applyNumberFormat="1" applyFont="1" applyFill="1" applyBorder="1" applyProtection="1"/>
    <xf numFmtId="38" fontId="14" fillId="0" borderId="0" xfId="1" applyNumberFormat="1" applyFont="1" applyFill="1" applyBorder="1" applyProtection="1"/>
    <xf numFmtId="38" fontId="26" fillId="0" borderId="9" xfId="1" applyNumberFormat="1" applyFont="1" applyFill="1" applyBorder="1" applyProtection="1"/>
    <xf numFmtId="39" fontId="10" fillId="0" borderId="0" xfId="0" applyFont="1" applyFill="1" applyBorder="1"/>
    <xf numFmtId="175" fontId="33" fillId="9" borderId="0" xfId="0" applyNumberFormat="1" applyFont="1" applyFill="1"/>
    <xf numFmtId="39" fontId="10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0" fillId="0" borderId="27" xfId="0" applyFont="1" applyBorder="1"/>
    <xf numFmtId="179" fontId="10" fillId="0" borderId="27" xfId="1" applyNumberFormat="1" applyFont="1" applyBorder="1"/>
    <xf numFmtId="38" fontId="14" fillId="0" borderId="0" xfId="1" applyNumberFormat="1" applyFont="1"/>
    <xf numFmtId="0" fontId="35" fillId="0" borderId="0" xfId="6" applyFont="1"/>
    <xf numFmtId="0" fontId="34" fillId="0" borderId="0" xfId="6"/>
    <xf numFmtId="37" fontId="15" fillId="0" borderId="0" xfId="6" applyNumberFormat="1" applyFont="1" applyFill="1" applyBorder="1" applyAlignment="1">
      <alignment horizontal="center"/>
    </xf>
    <xf numFmtId="39" fontId="15" fillId="0" borderId="0" xfId="6" applyNumberFormat="1" applyFont="1" applyFill="1" applyBorder="1" applyAlignment="1">
      <alignment horizontal="center"/>
    </xf>
    <xf numFmtId="14" fontId="15" fillId="0" borderId="0" xfId="6" applyNumberFormat="1" applyFont="1" applyFill="1" applyBorder="1"/>
    <xf numFmtId="43" fontId="15" fillId="0" borderId="8" xfId="6" applyNumberFormat="1" applyFont="1" applyBorder="1"/>
    <xf numFmtId="39" fontId="15" fillId="0" borderId="4" xfId="6" applyNumberFormat="1" applyFont="1" applyFill="1" applyBorder="1"/>
    <xf numFmtId="37" fontId="15" fillId="0" borderId="5" xfId="6" applyNumberFormat="1" applyFont="1" applyFill="1" applyBorder="1" applyAlignment="1">
      <alignment horizontal="center"/>
    </xf>
    <xf numFmtId="39" fontId="15" fillId="0" borderId="5" xfId="6" applyNumberFormat="1" applyFont="1" applyFill="1" applyBorder="1" applyAlignment="1">
      <alignment horizontal="center"/>
    </xf>
    <xf numFmtId="39" fontId="15" fillId="0" borderId="6" xfId="6" applyNumberFormat="1" applyFont="1" applyFill="1" applyBorder="1" applyAlignment="1">
      <alignment horizontal="center"/>
    </xf>
    <xf numFmtId="39" fontId="15" fillId="0" borderId="0" xfId="6" applyNumberFormat="1" applyFont="1" applyFill="1"/>
    <xf numFmtId="37" fontId="15" fillId="0" borderId="0" xfId="6" applyNumberFormat="1" applyFont="1" applyFill="1" applyAlignment="1">
      <alignment horizontal="center"/>
    </xf>
    <xf numFmtId="37" fontId="28" fillId="0" borderId="0" xfId="6" applyNumberFormat="1" applyFont="1" applyFill="1" applyAlignment="1">
      <alignment horizontal="right"/>
    </xf>
    <xf numFmtId="171" fontId="30" fillId="0" borderId="0" xfId="6" applyNumberFormat="1" applyFont="1" applyFill="1" applyBorder="1" applyAlignment="1" applyProtection="1">
      <alignment horizontal="center"/>
      <protection locked="0"/>
    </xf>
    <xf numFmtId="44" fontId="14" fillId="0" borderId="0" xfId="6" applyNumberFormat="1" applyFont="1" applyFill="1"/>
    <xf numFmtId="17" fontId="15" fillId="0" borderId="0" xfId="6" applyNumberFormat="1" applyFont="1" applyFill="1" applyBorder="1" applyAlignment="1">
      <alignment horizontal="left"/>
    </xf>
    <xf numFmtId="39" fontId="14" fillId="0" borderId="0" xfId="6" applyNumberFormat="1" applyFont="1" applyFill="1"/>
    <xf numFmtId="39" fontId="15" fillId="0" borderId="23" xfId="6" applyNumberFormat="1" applyFont="1" applyFill="1" applyBorder="1"/>
    <xf numFmtId="39" fontId="14" fillId="0" borderId="23" xfId="6" applyNumberFormat="1" applyFont="1" applyFill="1" applyBorder="1"/>
    <xf numFmtId="39" fontId="15" fillId="0" borderId="23" xfId="6" applyNumberFormat="1" applyFont="1" applyFill="1" applyBorder="1" applyAlignment="1">
      <alignment horizontal="center"/>
    </xf>
    <xf numFmtId="39" fontId="14" fillId="0" borderId="7" xfId="6" applyNumberFormat="1" applyFont="1" applyFill="1" applyBorder="1"/>
    <xf numFmtId="39" fontId="14" fillId="0" borderId="0" xfId="6" applyNumberFormat="1" applyFont="1" applyFill="1" applyBorder="1"/>
    <xf numFmtId="44" fontId="14" fillId="0" borderId="0" xfId="6" applyNumberFormat="1" applyFont="1" applyFill="1" applyBorder="1"/>
    <xf numFmtId="43" fontId="14" fillId="0" borderId="8" xfId="8" applyFont="1" applyFill="1" applyBorder="1"/>
    <xf numFmtId="39" fontId="14" fillId="0" borderId="4" xfId="6" applyNumberFormat="1" applyFont="1" applyFill="1" applyBorder="1"/>
    <xf numFmtId="39" fontId="14" fillId="0" borderId="5" xfId="6" applyNumberFormat="1" applyFont="1" applyFill="1" applyBorder="1"/>
    <xf numFmtId="43" fontId="14" fillId="0" borderId="5" xfId="6" applyNumberFormat="1" applyFont="1" applyFill="1" applyBorder="1"/>
    <xf numFmtId="43" fontId="14" fillId="0" borderId="6" xfId="6" applyNumberFormat="1" applyFont="1" applyFill="1" applyBorder="1"/>
    <xf numFmtId="44" fontId="14" fillId="4" borderId="0" xfId="6" applyNumberFormat="1" applyFont="1" applyFill="1" applyBorder="1"/>
    <xf numFmtId="44" fontId="14" fillId="0" borderId="9" xfId="6" applyNumberFormat="1" applyFont="1" applyFill="1" applyBorder="1"/>
    <xf numFmtId="37" fontId="14" fillId="0" borderId="22" xfId="6" applyNumberFormat="1" applyFont="1" applyFill="1" applyBorder="1"/>
    <xf numFmtId="39" fontId="15" fillId="0" borderId="0" xfId="6" applyNumberFormat="1" applyFont="1" applyFill="1" applyAlignment="1">
      <alignment horizontal="right"/>
    </xf>
    <xf numFmtId="44" fontId="15" fillId="0" borderId="0" xfId="6" applyNumberFormat="1" applyFont="1" applyFill="1"/>
    <xf numFmtId="37" fontId="29" fillId="0" borderId="0" xfId="6" applyNumberFormat="1" applyFont="1" applyFill="1" applyBorder="1"/>
    <xf numFmtId="14" fontId="15" fillId="0" borderId="0" xfId="6" applyNumberFormat="1" applyFont="1" applyFill="1"/>
    <xf numFmtId="43" fontId="15" fillId="0" borderId="0" xfId="6" applyNumberFormat="1" applyFont="1" applyFill="1" applyBorder="1"/>
    <xf numFmtId="37" fontId="30" fillId="10" borderId="0" xfId="6" applyNumberFormat="1" applyFont="1" applyFill="1"/>
    <xf numFmtId="44" fontId="15" fillId="8" borderId="0" xfId="0" applyNumberFormat="1" applyFont="1" applyFill="1" applyBorder="1"/>
    <xf numFmtId="44" fontId="26" fillId="8" borderId="0" xfId="0" applyNumberFormat="1" applyFont="1" applyFill="1" applyBorder="1"/>
    <xf numFmtId="44" fontId="26" fillId="8" borderId="9" xfId="0" applyNumberFormat="1" applyFont="1" applyFill="1" applyBorder="1"/>
    <xf numFmtId="8" fontId="26" fillId="8" borderId="0" xfId="0" applyNumberFormat="1" applyFont="1" applyFill="1" applyBorder="1"/>
    <xf numFmtId="8" fontId="26" fillId="8" borderId="9" xfId="0" applyNumberFormat="1" applyFont="1" applyFill="1" applyBorder="1"/>
    <xf numFmtId="39" fontId="15" fillId="8" borderId="0" xfId="0" applyFont="1" applyFill="1" applyBorder="1"/>
    <xf numFmtId="37" fontId="29" fillId="8" borderId="0" xfId="0" applyNumberFormat="1" applyFont="1" applyFill="1" applyBorder="1"/>
    <xf numFmtId="39" fontId="14" fillId="0" borderId="4" xfId="0" applyFont="1" applyBorder="1"/>
    <xf numFmtId="39" fontId="14" fillId="0" borderId="6" xfId="0" applyFont="1" applyBorder="1"/>
    <xf numFmtId="181" fontId="14" fillId="0" borderId="0" xfId="0" applyNumberFormat="1" applyFont="1"/>
    <xf numFmtId="181" fontId="15" fillId="0" borderId="20" xfId="0" applyNumberFormat="1" applyFont="1" applyBorder="1" applyAlignment="1">
      <alignment horizontal="center"/>
    </xf>
    <xf numFmtId="181" fontId="15" fillId="0" borderId="8" xfId="0" applyNumberFormat="1" applyFont="1" applyBorder="1" applyAlignment="1">
      <alignment horizontal="center"/>
    </xf>
    <xf numFmtId="181" fontId="15" fillId="0" borderId="6" xfId="0" applyNumberFormat="1" applyFont="1" applyFill="1" applyBorder="1" applyAlignment="1">
      <alignment horizontal="center"/>
    </xf>
    <xf numFmtId="181" fontId="14" fillId="0" borderId="0" xfId="0" applyNumberFormat="1" applyFont="1" applyFill="1"/>
    <xf numFmtId="181" fontId="30" fillId="0" borderId="9" xfId="0" applyNumberFormat="1" applyFont="1" applyFill="1" applyBorder="1"/>
    <xf numFmtId="181" fontId="15" fillId="0" borderId="0" xfId="0" applyNumberFormat="1" applyFont="1" applyFill="1"/>
    <xf numFmtId="181" fontId="14" fillId="0" borderId="9" xfId="0" applyNumberFormat="1" applyFont="1" applyFill="1" applyBorder="1"/>
    <xf numFmtId="181" fontId="15" fillId="0" borderId="9" xfId="0" applyNumberFormat="1" applyFont="1" applyFill="1" applyBorder="1"/>
    <xf numFmtId="181" fontId="15" fillId="0" borderId="22" xfId="0" applyNumberFormat="1" applyFont="1" applyFill="1" applyBorder="1"/>
    <xf numFmtId="7" fontId="14" fillId="6" borderId="0" xfId="0" applyNumberFormat="1" applyFont="1" applyFill="1" applyBorder="1"/>
    <xf numFmtId="39" fontId="14" fillId="0" borderId="0" xfId="0" applyFont="1"/>
    <xf numFmtId="39" fontId="14" fillId="0" borderId="11" xfId="0" applyFont="1" applyBorder="1"/>
    <xf numFmtId="39" fontId="14" fillId="0" borderId="0" xfId="0" applyFont="1" applyFill="1"/>
    <xf numFmtId="39" fontId="13" fillId="0" borderId="7" xfId="0" applyFont="1" applyFill="1" applyBorder="1"/>
    <xf numFmtId="39" fontId="20" fillId="0" borderId="0" xfId="0" applyFont="1" applyFill="1" applyBorder="1"/>
    <xf numFmtId="39" fontId="10" fillId="0" borderId="10" xfId="0" applyFont="1" applyFill="1" applyBorder="1"/>
    <xf numFmtId="39" fontId="20" fillId="0" borderId="8" xfId="0" applyFont="1" applyFill="1" applyBorder="1"/>
    <xf numFmtId="44" fontId="14" fillId="4" borderId="0" xfId="0" applyNumberFormat="1" applyFont="1" applyFill="1" applyBorder="1"/>
    <xf numFmtId="164" fontId="13" fillId="0" borderId="0" xfId="0" applyNumberFormat="1" applyFont="1" applyFill="1" applyBorder="1"/>
    <xf numFmtId="9" fontId="13" fillId="0" borderId="7" xfId="0" applyNumberFormat="1" applyFont="1" applyFill="1" applyBorder="1"/>
    <xf numFmtId="164" fontId="13" fillId="0" borderId="5" xfId="0" quotePrefix="1" applyNumberFormat="1" applyFont="1" applyFill="1" applyBorder="1"/>
    <xf numFmtId="39" fontId="20" fillId="0" borderId="7" xfId="0" applyFont="1" applyFill="1" applyBorder="1"/>
    <xf numFmtId="39" fontId="20" fillId="0" borderId="4" xfId="0" applyFont="1" applyFill="1" applyBorder="1"/>
    <xf numFmtId="39" fontId="13" fillId="0" borderId="0" xfId="0" applyFont="1" applyFill="1" applyBorder="1"/>
    <xf numFmtId="39" fontId="13" fillId="0" borderId="1" xfId="0" applyFont="1" applyFill="1" applyBorder="1"/>
    <xf numFmtId="164" fontId="13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4" fillId="0" borderId="10" xfId="0" applyNumberFormat="1" applyFont="1" applyFill="1" applyBorder="1"/>
    <xf numFmtId="7" fontId="30" fillId="8" borderId="0" xfId="0" applyNumberFormat="1" applyFont="1" applyFill="1" applyBorder="1"/>
    <xf numFmtId="7" fontId="14" fillId="0" borderId="0" xfId="1" applyNumberFormat="1" applyFont="1"/>
    <xf numFmtId="39" fontId="26" fillId="8" borderId="0" xfId="0" applyFont="1" applyFill="1" applyBorder="1" applyProtection="1">
      <protection locked="0"/>
    </xf>
    <xf numFmtId="39" fontId="19" fillId="8" borderId="0" xfId="0" applyFont="1" applyFill="1" applyBorder="1" applyProtection="1">
      <protection locked="0"/>
    </xf>
    <xf numFmtId="39" fontId="19" fillId="8" borderId="0" xfId="0" applyFont="1" applyFill="1" applyBorder="1"/>
    <xf numFmtId="164" fontId="14" fillId="8" borderId="0" xfId="0" applyNumberFormat="1" applyFont="1" applyFill="1" applyBorder="1"/>
    <xf numFmtId="39" fontId="14" fillId="8" borderId="0" xfId="0" applyFont="1" applyFill="1" applyBorder="1"/>
    <xf numFmtId="39" fontId="10" fillId="8" borderId="0" xfId="0" applyFont="1" applyFill="1" applyBorder="1"/>
    <xf numFmtId="164" fontId="19" fillId="8" borderId="0" xfId="0" applyNumberFormat="1" applyFont="1" applyFill="1" applyBorder="1" applyAlignment="1" applyProtection="1">
      <alignment horizontal="left"/>
      <protection locked="0"/>
    </xf>
    <xf numFmtId="39" fontId="15" fillId="8" borderId="0" xfId="0" applyFont="1" applyFill="1" applyBorder="1" applyAlignment="1">
      <alignment horizontal="left"/>
    </xf>
    <xf numFmtId="39" fontId="24" fillId="8" borderId="0" xfId="0" applyFont="1" applyFill="1" applyBorder="1" applyAlignment="1">
      <alignment horizontal="center"/>
    </xf>
    <xf numFmtId="39" fontId="13" fillId="8" borderId="0" xfId="0" applyFont="1" applyFill="1" applyBorder="1"/>
    <xf numFmtId="164" fontId="13" fillId="8" borderId="0" xfId="0" applyNumberFormat="1" applyFont="1" applyFill="1" applyBorder="1"/>
    <xf numFmtId="39" fontId="21" fillId="8" borderId="0" xfId="0" applyFont="1" applyFill="1" applyBorder="1" applyAlignment="1">
      <alignment horizontal="right"/>
    </xf>
    <xf numFmtId="164" fontId="15" fillId="8" borderId="0" xfId="0" applyNumberFormat="1" applyFont="1" applyFill="1" applyBorder="1"/>
    <xf numFmtId="39" fontId="0" fillId="8" borderId="0" xfId="0" applyFill="1" applyBorder="1"/>
    <xf numFmtId="164" fontId="0" fillId="8" borderId="0" xfId="0" applyNumberFormat="1" applyFill="1" applyBorder="1"/>
    <xf numFmtId="39" fontId="16" fillId="8" borderId="0" xfId="0" applyFont="1" applyFill="1" applyBorder="1"/>
    <xf numFmtId="9" fontId="13" fillId="8" borderId="0" xfId="0" applyNumberFormat="1" applyFont="1" applyFill="1" applyBorder="1"/>
    <xf numFmtId="39" fontId="21" fillId="8" borderId="0" xfId="0" applyFont="1" applyFill="1" applyBorder="1"/>
    <xf numFmtId="9" fontId="19" fillId="8" borderId="0" xfId="4" applyFont="1" applyFill="1" applyBorder="1" applyAlignment="1">
      <alignment horizontal="center"/>
    </xf>
    <xf numFmtId="39" fontId="20" fillId="8" borderId="0" xfId="0" applyFont="1" applyFill="1" applyBorder="1"/>
    <xf numFmtId="164" fontId="15" fillId="8" borderId="0" xfId="0" applyNumberFormat="1" applyFont="1" applyFill="1" applyBorder="1" applyAlignment="1" applyProtection="1">
      <alignment horizontal="left"/>
      <protection locked="0"/>
    </xf>
    <xf numFmtId="164" fontId="13" fillId="8" borderId="0" xfId="0" quotePrefix="1" applyNumberFormat="1" applyFont="1" applyFill="1" applyBorder="1"/>
    <xf numFmtId="44" fontId="14" fillId="8" borderId="0" xfId="0" applyNumberFormat="1" applyFont="1" applyFill="1" applyBorder="1"/>
    <xf numFmtId="7" fontId="14" fillId="8" borderId="0" xfId="0" applyNumberFormat="1" applyFont="1" applyFill="1" applyBorder="1"/>
    <xf numFmtId="39" fontId="14" fillId="8" borderId="0" xfId="0" applyFont="1" applyFill="1" applyBorder="1" applyAlignment="1">
      <alignment horizontal="left" indent="2"/>
    </xf>
    <xf numFmtId="39" fontId="15" fillId="8" borderId="0" xfId="0" applyFont="1" applyFill="1" applyBorder="1" applyAlignment="1">
      <alignment horizontal="center"/>
    </xf>
    <xf numFmtId="39" fontId="13" fillId="8" borderId="0" xfId="0" applyFont="1" applyFill="1" applyBorder="1" applyAlignment="1">
      <alignment horizontal="right"/>
    </xf>
    <xf numFmtId="40" fontId="14" fillId="8" borderId="0" xfId="1" applyFont="1" applyFill="1" applyBorder="1"/>
    <xf numFmtId="164" fontId="14" fillId="8" borderId="0" xfId="0" applyNumberFormat="1" applyFont="1" applyFill="1"/>
    <xf numFmtId="39" fontId="15" fillId="8" borderId="9" xfId="0" applyFont="1" applyFill="1" applyBorder="1"/>
    <xf numFmtId="39" fontId="14" fillId="8" borderId="0" xfId="0" applyFont="1" applyFill="1"/>
    <xf numFmtId="39" fontId="15" fillId="8" borderId="22" xfId="0" applyFont="1" applyFill="1" applyBorder="1"/>
    <xf numFmtId="39" fontId="14" fillId="0" borderId="0" xfId="0" applyFont="1"/>
    <xf numFmtId="39" fontId="14" fillId="0" borderId="0" xfId="0" applyFont="1" applyFill="1"/>
    <xf numFmtId="39" fontId="14" fillId="5" borderId="1" xfId="0" applyFont="1" applyFill="1" applyBorder="1"/>
    <xf numFmtId="39" fontId="14" fillId="5" borderId="3" xfId="0" applyFont="1" applyFill="1" applyBorder="1"/>
    <xf numFmtId="39" fontId="15" fillId="6" borderId="0" xfId="0" applyFont="1" applyFill="1" applyBorder="1"/>
    <xf numFmtId="171" fontId="30" fillId="0" borderId="0" xfId="0" applyNumberFormat="1" applyFont="1" applyFill="1" applyBorder="1" applyAlignment="1" applyProtection="1">
      <alignment horizontal="center"/>
      <protection locked="0"/>
    </xf>
    <xf numFmtId="39" fontId="15" fillId="6" borderId="22" xfId="0" applyFont="1" applyFill="1" applyBorder="1"/>
    <xf numFmtId="39" fontId="21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4" fillId="0" borderId="3" xfId="4" applyNumberFormat="1" applyFont="1" applyFill="1" applyBorder="1"/>
    <xf numFmtId="181" fontId="14" fillId="0" borderId="0" xfId="4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41" fillId="0" borderId="0" xfId="0" applyNumberFormat="1" applyFont="1"/>
    <xf numFmtId="39" fontId="14" fillId="0" borderId="0" xfId="0" applyFont="1" applyFill="1" applyBorder="1" applyAlignment="1">
      <alignment horizontal="center"/>
    </xf>
    <xf numFmtId="17" fontId="15" fillId="6" borderId="5" xfId="0" applyNumberFormat="1" applyFont="1" applyFill="1" applyBorder="1" applyAlignment="1">
      <alignment horizontal="left"/>
    </xf>
    <xf numFmtId="39" fontId="14" fillId="6" borderId="5" xfId="0" applyFont="1" applyFill="1" applyBorder="1"/>
    <xf numFmtId="39" fontId="15" fillId="6" borderId="10" xfId="0" applyFont="1" applyFill="1" applyBorder="1"/>
    <xf numFmtId="39" fontId="14" fillId="6" borderId="11" xfId="0" applyFont="1" applyFill="1" applyBorder="1"/>
    <xf numFmtId="39" fontId="15" fillId="6" borderId="12" xfId="0" applyFont="1" applyFill="1" applyBorder="1" applyAlignment="1">
      <alignment horizontal="center"/>
    </xf>
    <xf numFmtId="39" fontId="15" fillId="6" borderId="13" xfId="0" applyFont="1" applyFill="1" applyBorder="1" applyAlignment="1">
      <alignment horizontal="center"/>
    </xf>
    <xf numFmtId="39" fontId="14" fillId="6" borderId="1" xfId="0" applyFont="1" applyFill="1" applyBorder="1"/>
    <xf numFmtId="39" fontId="14" fillId="6" borderId="2" xfId="0" applyFont="1" applyFill="1" applyBorder="1"/>
    <xf numFmtId="7" fontId="14" fillId="6" borderId="2" xfId="0" applyNumberFormat="1" applyFont="1" applyFill="1" applyBorder="1"/>
    <xf numFmtId="181" fontId="14" fillId="6" borderId="3" xfId="4" applyNumberFormat="1" applyFont="1" applyFill="1" applyBorder="1"/>
    <xf numFmtId="39" fontId="14" fillId="6" borderId="7" xfId="0" applyFont="1" applyFill="1" applyBorder="1"/>
    <xf numFmtId="39" fontId="14" fillId="6" borderId="0" xfId="0" applyFont="1" applyFill="1" applyBorder="1"/>
    <xf numFmtId="181" fontId="14" fillId="6" borderId="0" xfId="4" applyNumberFormat="1" applyFont="1" applyFill="1" applyBorder="1"/>
    <xf numFmtId="7" fontId="14" fillId="6" borderId="8" xfId="4" applyNumberFormat="1" applyFont="1" applyFill="1" applyBorder="1"/>
    <xf numFmtId="39" fontId="14" fillId="6" borderId="8" xfId="0" applyFont="1" applyFill="1" applyBorder="1"/>
    <xf numFmtId="167" fontId="14" fillId="6" borderId="8" xfId="0" applyNumberFormat="1" applyFont="1" applyFill="1" applyBorder="1"/>
    <xf numFmtId="39" fontId="14" fillId="6" borderId="4" xfId="0" applyFont="1" applyFill="1" applyBorder="1"/>
    <xf numFmtId="43" fontId="14" fillId="6" borderId="5" xfId="0" applyNumberFormat="1" applyFont="1" applyFill="1" applyBorder="1"/>
    <xf numFmtId="7" fontId="14" fillId="6" borderId="6" xfId="0" applyNumberFormat="1" applyFont="1" applyFill="1" applyBorder="1"/>
    <xf numFmtId="39" fontId="10" fillId="6" borderId="10" xfId="0" applyFont="1" applyFill="1" applyBorder="1"/>
    <xf numFmtId="39" fontId="14" fillId="6" borderId="17" xfId="0" applyFont="1" applyFill="1" applyBorder="1"/>
    <xf numFmtId="164" fontId="19" fillId="6" borderId="0" xfId="0" applyNumberFormat="1" applyFont="1" applyFill="1" applyAlignment="1" applyProtection="1">
      <alignment horizontal="left"/>
      <protection locked="0"/>
    </xf>
    <xf numFmtId="39" fontId="15" fillId="6" borderId="0" xfId="0" applyFont="1" applyFill="1" applyAlignment="1">
      <alignment horizontal="left"/>
    </xf>
    <xf numFmtId="39" fontId="24" fillId="6" borderId="0" xfId="0" applyFont="1" applyFill="1" applyAlignment="1">
      <alignment horizontal="center"/>
    </xf>
    <xf numFmtId="39" fontId="13" fillId="6" borderId="1" xfId="0" applyFont="1" applyFill="1" applyBorder="1"/>
    <xf numFmtId="164" fontId="13" fillId="6" borderId="2" xfId="0" applyNumberFormat="1" applyFont="1" applyFill="1" applyBorder="1"/>
    <xf numFmtId="39" fontId="21" fillId="6" borderId="0" xfId="0" applyFont="1" applyFill="1" applyBorder="1" applyAlignment="1">
      <alignment horizontal="right"/>
    </xf>
    <xf numFmtId="39" fontId="21" fillId="6" borderId="3" xfId="0" applyFont="1" applyFill="1" applyBorder="1" applyAlignment="1">
      <alignment horizontal="right"/>
    </xf>
    <xf numFmtId="164" fontId="15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1" fillId="6" borderId="8" xfId="0" applyFont="1" applyFill="1" applyBorder="1" applyAlignment="1">
      <alignment horizontal="right"/>
    </xf>
    <xf numFmtId="39" fontId="16" fillId="6" borderId="0" xfId="0" applyFont="1" applyFill="1"/>
    <xf numFmtId="9" fontId="19" fillId="6" borderId="0" xfId="4" applyFont="1" applyFill="1" applyAlignment="1">
      <alignment horizontal="center"/>
    </xf>
    <xf numFmtId="9" fontId="13" fillId="6" borderId="7" xfId="0" applyNumberFormat="1" applyFont="1" applyFill="1" applyBorder="1"/>
    <xf numFmtId="164" fontId="13" fillId="6" borderId="0" xfId="0" applyNumberFormat="1" applyFont="1" applyFill="1" applyBorder="1"/>
    <xf numFmtId="39" fontId="21" fillId="6" borderId="0" xfId="0" applyFont="1" applyFill="1" applyBorder="1"/>
    <xf numFmtId="39" fontId="21" fillId="6" borderId="8" xfId="0" applyFont="1" applyFill="1" applyBorder="1"/>
    <xf numFmtId="164" fontId="15" fillId="6" borderId="0" xfId="0" applyNumberFormat="1" applyFont="1" applyFill="1" applyAlignment="1" applyProtection="1">
      <alignment horizontal="left"/>
      <protection locked="0"/>
    </xf>
    <xf numFmtId="39" fontId="20" fillId="6" borderId="7" xfId="0" applyFont="1" applyFill="1" applyBorder="1"/>
    <xf numFmtId="39" fontId="20" fillId="6" borderId="4" xfId="0" applyFont="1" applyFill="1" applyBorder="1"/>
    <xf numFmtId="164" fontId="13" fillId="6" borderId="5" xfId="0" quotePrefix="1" applyNumberFormat="1" applyFont="1" applyFill="1" applyBorder="1"/>
    <xf numFmtId="39" fontId="21" fillId="6" borderId="5" xfId="0" applyFont="1" applyFill="1" applyBorder="1"/>
    <xf numFmtId="39" fontId="21" fillId="6" borderId="6" xfId="0" applyFont="1" applyFill="1" applyBorder="1"/>
    <xf numFmtId="14" fontId="15" fillId="0" borderId="0" xfId="0" applyNumberFormat="1" applyFont="1" applyFill="1" applyAlignment="1">
      <alignment horizontal="right"/>
    </xf>
    <xf numFmtId="39" fontId="15" fillId="0" borderId="0" xfId="0" applyNumberFormat="1" applyFont="1" applyFill="1"/>
    <xf numFmtId="166" fontId="15" fillId="0" borderId="0" xfId="4" applyNumberFormat="1" applyFont="1" applyFill="1" applyAlignment="1">
      <alignment horizontal="center"/>
    </xf>
    <xf numFmtId="39" fontId="14" fillId="0" borderId="0" xfId="0" applyFont="1" applyFill="1" applyBorder="1" applyAlignment="1">
      <alignment horizontal="center"/>
    </xf>
    <xf numFmtId="0" fontId="35" fillId="0" borderId="0" xfId="6" applyFont="1" applyAlignment="1">
      <alignment horizontal="left"/>
    </xf>
    <xf numFmtId="39" fontId="14" fillId="0" borderId="0" xfId="0" applyFont="1" applyFill="1" applyBorder="1" applyAlignment="1">
      <alignment horizontal="center"/>
    </xf>
    <xf numFmtId="39" fontId="14" fillId="0" borderId="23" xfId="0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164" fontId="14" fillId="6" borderId="0" xfId="0" applyNumberFormat="1" applyFont="1" applyFill="1" applyBorder="1"/>
    <xf numFmtId="40" fontId="14" fillId="0" borderId="8" xfId="1" applyFont="1" applyFill="1" applyBorder="1"/>
    <xf numFmtId="17" fontId="15" fillId="0" borderId="0" xfId="0" applyNumberFormat="1" applyFont="1" applyFill="1" applyBorder="1" applyAlignment="1">
      <alignment horizontal="right"/>
    </xf>
    <xf numFmtId="40" fontId="14" fillId="0" borderId="5" xfId="1" applyFont="1" applyFill="1" applyBorder="1"/>
    <xf numFmtId="181" fontId="15" fillId="6" borderId="0" xfId="0" applyNumberFormat="1" applyFont="1" applyFill="1" applyBorder="1"/>
    <xf numFmtId="181" fontId="15" fillId="6" borderId="22" xfId="0" applyNumberFormat="1" applyFont="1" applyFill="1" applyBorder="1"/>
    <xf numFmtId="0" fontId="14" fillId="0" borderId="8" xfId="2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quotePrefix="1" applyFont="1" applyFill="1" applyBorder="1"/>
    <xf numFmtId="40" fontId="14" fillId="0" borderId="2" xfId="1" applyFont="1" applyFill="1" applyBorder="1"/>
    <xf numFmtId="40" fontId="14" fillId="0" borderId="3" xfId="1" applyFont="1" applyFill="1" applyBorder="1"/>
    <xf numFmtId="40" fontId="14" fillId="0" borderId="0" xfId="1" applyFont="1" applyFill="1" applyBorder="1"/>
    <xf numFmtId="40" fontId="14" fillId="0" borderId="6" xfId="1" applyFont="1" applyFill="1" applyBorder="1"/>
    <xf numFmtId="39" fontId="14" fillId="0" borderId="0" xfId="0" applyFont="1" applyFill="1" applyBorder="1" applyAlignment="1">
      <alignment horizontal="center"/>
    </xf>
    <xf numFmtId="39" fontId="14" fillId="8" borderId="0" xfId="0" applyFont="1" applyFill="1" applyAlignment="1">
      <alignment horizontal="center"/>
    </xf>
    <xf numFmtId="39" fontId="15" fillId="0" borderId="28" xfId="0" applyFont="1" applyFill="1" applyBorder="1"/>
    <xf numFmtId="39" fontId="15" fillId="11" borderId="0" xfId="0" applyFont="1" applyFill="1" applyBorder="1" applyAlignment="1">
      <alignment horizontal="right"/>
    </xf>
    <xf numFmtId="39" fontId="15" fillId="11" borderId="0" xfId="0" applyFont="1" applyFill="1" applyBorder="1"/>
    <xf numFmtId="0" fontId="15" fillId="11" borderId="0" xfId="0" applyNumberFormat="1" applyFont="1" applyFill="1" applyBorder="1"/>
    <xf numFmtId="39" fontId="43" fillId="8" borderId="0" xfId="0" applyFont="1" applyFill="1"/>
    <xf numFmtId="39" fontId="44" fillId="8" borderId="0" xfId="0" applyFont="1" applyFill="1" applyAlignment="1">
      <alignment horizontal="right"/>
    </xf>
    <xf numFmtId="39" fontId="44" fillId="8" borderId="0" xfId="0" applyFont="1" applyFill="1"/>
    <xf numFmtId="39" fontId="45" fillId="8" borderId="0" xfId="0" applyFont="1" applyFill="1"/>
    <xf numFmtId="0" fontId="45" fillId="8" borderId="0" xfId="0" applyNumberFormat="1" applyFont="1" applyFill="1"/>
    <xf numFmtId="39" fontId="45" fillId="8" borderId="0" xfId="0" applyFont="1" applyFill="1" applyAlignment="1">
      <alignment horizontal="right"/>
    </xf>
    <xf numFmtId="39" fontId="45" fillId="8" borderId="0" xfId="0" applyFont="1" applyFill="1" applyAlignment="1">
      <alignment horizontal="center"/>
    </xf>
    <xf numFmtId="39" fontId="45" fillId="8" borderId="0" xfId="0" applyFont="1" applyFill="1" applyAlignment="1">
      <alignment horizontal="center" wrapText="1"/>
    </xf>
    <xf numFmtId="10" fontId="44" fillId="8" borderId="0" xfId="4" applyNumberFormat="1" applyFont="1" applyFill="1"/>
    <xf numFmtId="39" fontId="46" fillId="8" borderId="0" xfId="0" applyFont="1" applyFill="1"/>
    <xf numFmtId="39" fontId="44" fillId="12" borderId="0" xfId="0" applyFont="1" applyFill="1"/>
    <xf numFmtId="38" fontId="44" fillId="8" borderId="0" xfId="1" applyNumberFormat="1" applyFont="1" applyFill="1"/>
    <xf numFmtId="171" fontId="44" fillId="8" borderId="0" xfId="0" applyNumberFormat="1" applyFont="1" applyFill="1"/>
    <xf numFmtId="39" fontId="44" fillId="8" borderId="0" xfId="0" applyFont="1" applyFill="1" applyAlignment="1">
      <alignment horizontal="center"/>
    </xf>
    <xf numFmtId="40" fontId="44" fillId="8" borderId="0" xfId="1" applyNumberFormat="1" applyFont="1" applyFill="1"/>
    <xf numFmtId="38" fontId="44" fillId="8" borderId="0" xfId="1" applyNumberFormat="1" applyFont="1" applyFill="1" applyAlignment="1">
      <alignment horizontal="center"/>
    </xf>
    <xf numFmtId="171" fontId="44" fillId="8" borderId="0" xfId="0" applyNumberFormat="1" applyFont="1" applyFill="1" applyAlignment="1">
      <alignment horizontal="center"/>
    </xf>
    <xf numFmtId="39" fontId="14" fillId="8" borderId="1" xfId="0" applyFont="1" applyFill="1" applyBorder="1"/>
    <xf numFmtId="39" fontId="14" fillId="8" borderId="2" xfId="0" applyFont="1" applyFill="1" applyBorder="1"/>
    <xf numFmtId="39" fontId="14" fillId="8" borderId="7" xfId="0" applyFont="1" applyFill="1" applyBorder="1"/>
    <xf numFmtId="40" fontId="14" fillId="8" borderId="8" xfId="1" applyFont="1" applyFill="1" applyBorder="1"/>
    <xf numFmtId="39" fontId="14" fillId="8" borderId="4" xfId="0" applyFont="1" applyFill="1" applyBorder="1"/>
    <xf numFmtId="39" fontId="14" fillId="8" borderId="5" xfId="0" applyFont="1" applyFill="1" applyBorder="1"/>
    <xf numFmtId="40" fontId="14" fillId="8" borderId="5" xfId="1" applyFont="1" applyFill="1" applyBorder="1"/>
    <xf numFmtId="0" fontId="47" fillId="0" borderId="0" xfId="69" applyFont="1" applyFill="1" applyBorder="1" applyAlignment="1">
      <alignment horizontal="center"/>
    </xf>
    <xf numFmtId="182" fontId="47" fillId="0" borderId="0" xfId="69" applyNumberFormat="1" applyFont="1" applyFill="1" applyBorder="1" applyAlignment="1">
      <alignment horizontal="left"/>
    </xf>
    <xf numFmtId="0" fontId="47" fillId="0" borderId="0" xfId="69" applyFont="1" applyFill="1" applyBorder="1"/>
    <xf numFmtId="183" fontId="47" fillId="0" borderId="0" xfId="69" applyNumberFormat="1" applyFont="1" applyFill="1" applyBorder="1" applyAlignment="1">
      <alignment horizontal="left"/>
    </xf>
    <xf numFmtId="43" fontId="47" fillId="0" borderId="0" xfId="74" applyFont="1" applyFill="1" applyBorder="1" applyAlignment="1">
      <alignment horizontal="center"/>
    </xf>
    <xf numFmtId="0" fontId="4" fillId="0" borderId="0" xfId="69" applyFont="1" applyBorder="1" applyAlignment="1">
      <alignment horizontal="center"/>
    </xf>
    <xf numFmtId="0" fontId="4" fillId="0" borderId="0" xfId="69" applyFont="1" applyBorder="1"/>
    <xf numFmtId="0" fontId="47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5" fillId="8" borderId="1" xfId="0" applyNumberFormat="1" applyFont="1" applyFill="1" applyBorder="1"/>
    <xf numFmtId="39" fontId="44" fillId="8" borderId="2" xfId="0" applyFont="1" applyFill="1" applyBorder="1"/>
    <xf numFmtId="39" fontId="44" fillId="8" borderId="3" xfId="0" applyFont="1" applyFill="1" applyBorder="1"/>
    <xf numFmtId="39" fontId="44" fillId="8" borderId="4" xfId="0" applyFont="1" applyFill="1" applyBorder="1"/>
    <xf numFmtId="39" fontId="44" fillId="8" borderId="5" xfId="0" applyFont="1" applyFill="1" applyBorder="1"/>
    <xf numFmtId="39" fontId="44" fillId="8" borderId="6" xfId="0" applyFont="1" applyFill="1" applyBorder="1"/>
    <xf numFmtId="40" fontId="14" fillId="8" borderId="2" xfId="1" applyFont="1" applyFill="1" applyBorder="1"/>
    <xf numFmtId="40" fontId="14" fillId="8" borderId="3" xfId="1" applyFont="1" applyFill="1" applyBorder="1"/>
    <xf numFmtId="40" fontId="14" fillId="8" borderId="6" xfId="1" applyFont="1" applyFill="1" applyBorder="1"/>
    <xf numFmtId="0" fontId="45" fillId="8" borderId="10" xfId="0" applyNumberFormat="1" applyFont="1" applyFill="1" applyBorder="1"/>
    <xf numFmtId="39" fontId="44" fillId="8" borderId="11" xfId="0" applyFont="1" applyFill="1" applyBorder="1"/>
    <xf numFmtId="39" fontId="44" fillId="8" borderId="17" xfId="0" applyFont="1" applyFill="1" applyBorder="1"/>
    <xf numFmtId="0" fontId="44" fillId="8" borderId="0" xfId="0" applyNumberFormat="1" applyFont="1" applyFill="1"/>
    <xf numFmtId="0" fontId="44" fillId="8" borderId="2" xfId="0" applyNumberFormat="1" applyFont="1" applyFill="1" applyBorder="1"/>
    <xf numFmtId="0" fontId="14" fillId="8" borderId="2" xfId="0" applyNumberFormat="1" applyFont="1" applyFill="1" applyBorder="1"/>
    <xf numFmtId="0" fontId="14" fillId="8" borderId="0" xfId="0" applyNumberFormat="1" applyFont="1" applyFill="1" applyBorder="1"/>
    <xf numFmtId="0" fontId="14" fillId="8" borderId="5" xfId="0" applyNumberFormat="1" applyFont="1" applyFill="1" applyBorder="1"/>
    <xf numFmtId="0" fontId="44" fillId="8" borderId="5" xfId="0" applyNumberFormat="1" applyFont="1" applyFill="1" applyBorder="1"/>
    <xf numFmtId="0" fontId="44" fillId="8" borderId="11" xfId="0" applyNumberFormat="1" applyFont="1" applyFill="1" applyBorder="1"/>
    <xf numFmtId="39" fontId="4" fillId="0" borderId="0" xfId="69" applyNumberFormat="1" applyFont="1" applyAlignment="1"/>
    <xf numFmtId="0" fontId="30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39" fontId="45" fillId="8" borderId="0" xfId="0" applyFont="1" applyFill="1" applyAlignment="1"/>
    <xf numFmtId="0" fontId="45" fillId="8" borderId="0" xfId="0" applyNumberFormat="1" applyFont="1" applyFill="1" applyAlignment="1">
      <alignment horizontal="right"/>
    </xf>
    <xf numFmtId="39" fontId="46" fillId="12" borderId="0" xfId="0" applyFont="1" applyFill="1"/>
    <xf numFmtId="39" fontId="44" fillId="10" borderId="0" xfId="0" applyFont="1" applyFill="1"/>
    <xf numFmtId="40" fontId="44" fillId="8" borderId="0" xfId="0" applyNumberFormat="1" applyFont="1" applyFill="1"/>
    <xf numFmtId="39" fontId="14" fillId="0" borderId="0" xfId="0" applyFont="1" applyFill="1" applyBorder="1" applyAlignment="1">
      <alignment horizontal="center"/>
    </xf>
    <xf numFmtId="39" fontId="48" fillId="8" borderId="29" xfId="73" applyNumberFormat="1" applyFont="1" applyFill="1"/>
    <xf numFmtId="37" fontId="48" fillId="8" borderId="29" xfId="73" applyNumberFormat="1" applyFont="1" applyFill="1"/>
    <xf numFmtId="37" fontId="44" fillId="8" borderId="0" xfId="0" applyNumberFormat="1" applyFont="1" applyFill="1"/>
    <xf numFmtId="0" fontId="49" fillId="8" borderId="1" xfId="0" applyNumberFormat="1" applyFont="1" applyFill="1" applyBorder="1"/>
    <xf numFmtId="7" fontId="0" fillId="0" borderId="0" xfId="1" applyNumberFormat="1" applyFont="1"/>
    <xf numFmtId="39" fontId="47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1" fillId="0" borderId="0" xfId="0" applyNumberFormat="1" applyFont="1" applyAlignment="1">
      <alignment horizontal="right"/>
    </xf>
    <xf numFmtId="39" fontId="52" fillId="0" borderId="0" xfId="0" applyFont="1"/>
    <xf numFmtId="39" fontId="52" fillId="0" borderId="0" xfId="0" applyFont="1" applyFill="1"/>
    <xf numFmtId="39" fontId="0" fillId="0" borderId="9" xfId="0" applyBorder="1"/>
    <xf numFmtId="184" fontId="10" fillId="0" borderId="0" xfId="0" applyNumberFormat="1" applyFont="1"/>
    <xf numFmtId="39" fontId="53" fillId="0" borderId="0" xfId="0" applyNumberFormat="1" applyFont="1"/>
    <xf numFmtId="39" fontId="44" fillId="6" borderId="0" xfId="0" applyFont="1" applyFill="1"/>
    <xf numFmtId="39" fontId="44" fillId="8" borderId="0" xfId="0" applyNumberFormat="1" applyFont="1" applyFill="1"/>
    <xf numFmtId="39" fontId="46" fillId="6" borderId="0" xfId="0" applyFont="1" applyFill="1"/>
    <xf numFmtId="39" fontId="46" fillId="0" borderId="0" xfId="0" applyFont="1" applyFill="1"/>
    <xf numFmtId="0" fontId="14" fillId="0" borderId="5" xfId="0" applyNumberFormat="1" applyFont="1" applyFill="1" applyBorder="1"/>
    <xf numFmtId="39" fontId="2" fillId="0" borderId="0" xfId="69" applyNumberFormat="1" applyFont="1" applyAlignment="1"/>
    <xf numFmtId="39" fontId="44" fillId="0" borderId="0" xfId="0" applyFont="1" applyFill="1"/>
    <xf numFmtId="39" fontId="54" fillId="8" borderId="0" xfId="0" applyFont="1" applyFill="1"/>
    <xf numFmtId="179" fontId="0" fillId="0" borderId="0" xfId="1" applyNumberFormat="1" applyFont="1"/>
    <xf numFmtId="179" fontId="0" fillId="0" borderId="0" xfId="1" applyNumberFormat="1" applyFont="1"/>
    <xf numFmtId="179" fontId="0" fillId="0" borderId="0" xfId="1" applyNumberFormat="1" applyFont="1"/>
    <xf numFmtId="179" fontId="0" fillId="0" borderId="0" xfId="1" applyNumberFormat="1" applyFont="1"/>
    <xf numFmtId="39" fontId="44" fillId="8" borderId="0" xfId="0" applyFont="1" applyFill="1" applyBorder="1"/>
    <xf numFmtId="0" fontId="44" fillId="8" borderId="0" xfId="0" applyNumberFormat="1" applyFont="1" applyFill="1" applyBorder="1"/>
    <xf numFmtId="39" fontId="14" fillId="6" borderId="0" xfId="0" applyFont="1" applyFill="1" applyAlignment="1">
      <alignment horizontal="left"/>
    </xf>
    <xf numFmtId="39" fontId="14" fillId="6" borderId="0" xfId="0" applyFont="1" applyFill="1" applyAlignment="1">
      <alignment horizontal="center"/>
    </xf>
    <xf numFmtId="37" fontId="44" fillId="0" borderId="0" xfId="0" applyNumberFormat="1" applyFont="1" applyFill="1"/>
    <xf numFmtId="44" fontId="26" fillId="13" borderId="0" xfId="0" applyNumberFormat="1" applyFont="1" applyFill="1" applyBorder="1"/>
    <xf numFmtId="38" fontId="44" fillId="0" borderId="0" xfId="1" applyNumberFormat="1" applyFont="1" applyFill="1"/>
    <xf numFmtId="44" fontId="26" fillId="10" borderId="0" xfId="0" applyNumberFormat="1" applyFont="1" applyFill="1" applyBorder="1"/>
    <xf numFmtId="44" fontId="14" fillId="10" borderId="0" xfId="0" applyNumberFormat="1" applyFont="1" applyFill="1" applyBorder="1"/>
    <xf numFmtId="171" fontId="44" fillId="0" borderId="0" xfId="0" applyNumberFormat="1" applyFont="1" applyFill="1"/>
    <xf numFmtId="39" fontId="44" fillId="0" borderId="0" xfId="0" applyFont="1" applyFill="1" applyAlignment="1">
      <alignment horizontal="right"/>
    </xf>
    <xf numFmtId="44" fontId="26" fillId="0" borderId="9" xfId="0" applyNumberFormat="1" applyFont="1" applyFill="1" applyBorder="1"/>
    <xf numFmtId="178" fontId="14" fillId="0" borderId="0" xfId="2" applyNumberFormat="1" applyFont="1" applyFill="1" applyBorder="1"/>
    <xf numFmtId="37" fontId="44" fillId="6" borderId="0" xfId="0" applyNumberFormat="1" applyFont="1" applyFill="1"/>
    <xf numFmtId="8" fontId="26" fillId="0" borderId="0" xfId="0" applyNumberFormat="1" applyFont="1" applyFill="1" applyBorder="1"/>
    <xf numFmtId="8" fontId="26" fillId="0" borderId="9" xfId="0" applyNumberFormat="1" applyFont="1" applyFill="1" applyBorder="1"/>
    <xf numFmtId="39" fontId="44" fillId="8" borderId="8" xfId="0" applyFont="1" applyFill="1" applyBorder="1"/>
    <xf numFmtId="0" fontId="49" fillId="8" borderId="10" xfId="0" applyNumberFormat="1" applyFont="1" applyFill="1" applyBorder="1"/>
    <xf numFmtId="39" fontId="45" fillId="8" borderId="17" xfId="0" applyFont="1" applyFill="1" applyBorder="1"/>
    <xf numFmtId="40" fontId="14" fillId="8" borderId="1" xfId="1" applyFont="1" applyFill="1" applyBorder="1"/>
    <xf numFmtId="40" fontId="14" fillId="8" borderId="7" xfId="1" applyFont="1" applyFill="1" applyBorder="1"/>
    <xf numFmtId="39" fontId="44" fillId="8" borderId="10" xfId="0" applyFont="1" applyFill="1" applyBorder="1"/>
    <xf numFmtId="7" fontId="30" fillId="14" borderId="0" xfId="0" applyNumberFormat="1" applyFont="1" applyFill="1" applyBorder="1"/>
    <xf numFmtId="44" fontId="26" fillId="15" borderId="0" xfId="0" applyNumberFormat="1" applyFont="1" applyFill="1" applyBorder="1"/>
    <xf numFmtId="44" fontId="26" fillId="15" borderId="9" xfId="0" applyNumberFormat="1" applyFont="1" applyFill="1" applyBorder="1"/>
    <xf numFmtId="38" fontId="26" fillId="15" borderId="0" xfId="1" applyNumberFormat="1" applyFont="1" applyFill="1" applyBorder="1" applyProtection="1"/>
    <xf numFmtId="39" fontId="44" fillId="15" borderId="0" xfId="0" applyFont="1" applyFill="1" applyAlignment="1">
      <alignment horizontal="right"/>
    </xf>
    <xf numFmtId="39" fontId="45" fillId="8" borderId="0" xfId="0" applyFont="1" applyFill="1" applyAlignment="1">
      <alignment horizontal="left"/>
    </xf>
    <xf numFmtId="39" fontId="14" fillId="0" borderId="0" xfId="0" applyFont="1" applyFill="1" applyBorder="1" applyAlignment="1">
      <alignment horizontal="center"/>
    </xf>
    <xf numFmtId="38" fontId="26" fillId="16" borderId="0" xfId="1" applyNumberFormat="1" applyFont="1" applyFill="1" applyBorder="1" applyProtection="1"/>
    <xf numFmtId="39" fontId="45" fillId="8" borderId="0" xfId="0" applyFont="1" applyFill="1" applyBorder="1"/>
    <xf numFmtId="0" fontId="45" fillId="8" borderId="0" xfId="0" applyNumberFormat="1" applyFont="1" applyFill="1" applyBorder="1"/>
    <xf numFmtId="38" fontId="44" fillId="8" borderId="0" xfId="1" applyNumberFormat="1" applyFont="1" applyFill="1" applyBorder="1"/>
    <xf numFmtId="37" fontId="48" fillId="8" borderId="0" xfId="73" applyNumberFormat="1" applyFont="1" applyFill="1" applyBorder="1"/>
    <xf numFmtId="37" fontId="44" fillId="8" borderId="0" xfId="0" applyNumberFormat="1" applyFont="1" applyFill="1" applyBorder="1"/>
    <xf numFmtId="44" fontId="15" fillId="0" borderId="0" xfId="0" applyNumberFormat="1" applyFont="1" applyFill="1" applyBorder="1"/>
    <xf numFmtId="39" fontId="10" fillId="0" borderId="0" xfId="0" applyFont="1" applyAlignment="1">
      <alignment horizontal="center"/>
    </xf>
    <xf numFmtId="39" fontId="31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2" fillId="0" borderId="0" xfId="0" applyFont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8" xfId="0" applyFont="1" applyFill="1" applyBorder="1" applyAlignment="1">
      <alignment horizontal="center"/>
    </xf>
    <xf numFmtId="39" fontId="15" fillId="0" borderId="10" xfId="0" applyFont="1" applyFill="1" applyBorder="1" applyAlignment="1">
      <alignment horizontal="center"/>
    </xf>
    <xf numFmtId="39" fontId="15" fillId="0" borderId="11" xfId="0" applyFont="1" applyFill="1" applyBorder="1" applyAlignment="1">
      <alignment horizontal="center"/>
    </xf>
    <xf numFmtId="39" fontId="15" fillId="0" borderId="17" xfId="0" applyFont="1" applyFill="1" applyBorder="1" applyAlignment="1">
      <alignment horizontal="center"/>
    </xf>
    <xf numFmtId="39" fontId="54" fillId="8" borderId="0" xfId="0" applyFont="1" applyFill="1" applyAlignment="1">
      <alignment wrapText="1"/>
    </xf>
    <xf numFmtId="39" fontId="0" fillId="0" borderId="0" xfId="0" applyAlignment="1">
      <alignment wrapText="1"/>
    </xf>
    <xf numFmtId="39" fontId="54" fillId="8" borderId="0" xfId="0" applyFont="1" applyFill="1" applyBorder="1" applyAlignment="1">
      <alignment wrapText="1"/>
    </xf>
    <xf numFmtId="39" fontId="0" fillId="0" borderId="0" xfId="0" applyBorder="1" applyAlignment="1">
      <alignment wrapText="1"/>
    </xf>
    <xf numFmtId="164" fontId="15" fillId="6" borderId="0" xfId="0" applyNumberFormat="1" applyFont="1" applyFill="1" applyAlignment="1">
      <alignment horizontal="center"/>
    </xf>
    <xf numFmtId="39" fontId="15" fillId="0" borderId="18" xfId="6" applyNumberFormat="1" applyFont="1" applyBorder="1" applyAlignment="1">
      <alignment horizontal="left"/>
    </xf>
    <xf numFmtId="39" fontId="15" fillId="0" borderId="19" xfId="6" applyNumberFormat="1" applyFont="1" applyBorder="1" applyAlignment="1">
      <alignment horizontal="left"/>
    </xf>
    <xf numFmtId="39" fontId="15" fillId="0" borderId="20" xfId="6" applyNumberFormat="1" applyFont="1" applyBorder="1" applyAlignment="1">
      <alignment horizontal="left"/>
    </xf>
    <xf numFmtId="39" fontId="14" fillId="0" borderId="2" xfId="0" applyFont="1" applyFill="1" applyBorder="1" applyAlignment="1">
      <alignment horizontal="left" vertical="top" wrapText="1"/>
    </xf>
    <xf numFmtId="39" fontId="14" fillId="0" borderId="0" xfId="0" applyFont="1" applyFill="1" applyAlignment="1">
      <alignment horizontal="left" vertical="top" wrapText="1"/>
    </xf>
  </cellXfs>
  <cellStyles count="137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5" xfId="10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6" xfId="25"/>
    <cellStyle name="Normal 6 2" xfId="26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Percent" xfId="4" builtinId="5"/>
    <cellStyle name="Percent 10" xfId="72"/>
    <cellStyle name="Percent 2" xfId="29"/>
    <cellStyle name="Percent 2 2" xfId="61"/>
    <cellStyle name="Percent 2 3" xfId="60"/>
    <cellStyle name="Percent 3" xfId="30"/>
    <cellStyle name="Percent 3 2" xfId="67"/>
    <cellStyle name="Percent 3 3" xfId="6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665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457048128"/>
        <c:axId val="457048520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48128"/>
        <c:axId val="457048520"/>
      </c:lineChart>
      <c:catAx>
        <c:axId val="4570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57048520"/>
        <c:crosses val="autoZero"/>
        <c:auto val="1"/>
        <c:lblAlgn val="ctr"/>
        <c:lblOffset val="10"/>
        <c:noMultiLvlLbl val="0"/>
      </c:catAx>
      <c:valAx>
        <c:axId val="457048520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457048128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Commodity</c:v>
                </c:pt>
              </c:strCache>
            </c:strRef>
          </c:tx>
          <c:cat>
            <c:numRef>
              <c:f>Sheet1!$B$9:$M$9</c:f>
              <c:numCache>
                <c:formatCode>0_);\(0\)</c:formatCode>
                <c:ptCount val="12"/>
                <c:pt idx="0">
                  <c:v>201311</c:v>
                </c:pt>
                <c:pt idx="1">
                  <c:v>201312</c:v>
                </c:pt>
                <c:pt idx="2">
                  <c:v>201401</c:v>
                </c:pt>
                <c:pt idx="3">
                  <c:v>201402</c:v>
                </c:pt>
                <c:pt idx="4">
                  <c:v>201403</c:v>
                </c:pt>
                <c:pt idx="5">
                  <c:v>201404</c:v>
                </c:pt>
                <c:pt idx="6">
                  <c:v>201405</c:v>
                </c:pt>
                <c:pt idx="7">
                  <c:v>201406</c:v>
                </c:pt>
                <c:pt idx="8">
                  <c:v>201407</c:v>
                </c:pt>
                <c:pt idx="9">
                  <c:v>201408</c:v>
                </c:pt>
                <c:pt idx="10">
                  <c:v>201409</c:v>
                </c:pt>
                <c:pt idx="11">
                  <c:v>201410</c:v>
                </c:pt>
              </c:numCache>
            </c:numRef>
          </c:cat>
          <c:val>
            <c:numRef>
              <c:f>Sheet1!$B$10:$M$10</c:f>
              <c:numCache>
                <c:formatCode>#,##0.00_);\(#,##0.00\)</c:formatCode>
                <c:ptCount val="12"/>
                <c:pt idx="0">
                  <c:v>-244467.20447699772</c:v>
                </c:pt>
                <c:pt idx="1">
                  <c:v>-725196.73139099963</c:v>
                </c:pt>
                <c:pt idx="2">
                  <c:v>-74080.34529899992</c:v>
                </c:pt>
                <c:pt idx="3">
                  <c:v>46444.419911999721</c:v>
                </c:pt>
                <c:pt idx="4">
                  <c:v>-278768.33809999912</c:v>
                </c:pt>
                <c:pt idx="5">
                  <c:v>-1055945.7369300006</c:v>
                </c:pt>
                <c:pt idx="6">
                  <c:v>-687696.10780400049</c:v>
                </c:pt>
                <c:pt idx="7">
                  <c:v>-1172762.1835999992</c:v>
                </c:pt>
                <c:pt idx="8">
                  <c:v>-1035781.7308680005</c:v>
                </c:pt>
                <c:pt idx="9">
                  <c:v>-511412.85420199909</c:v>
                </c:pt>
                <c:pt idx="10">
                  <c:v>-643347.30856800068</c:v>
                </c:pt>
                <c:pt idx="11">
                  <c:v>-390519.99427700008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Sheet1!$A$11</c:f>
              <c:strCache>
                <c:ptCount val="1"/>
                <c:pt idx="0">
                  <c:v>Demand</c:v>
                </c:pt>
              </c:strCache>
            </c:strRef>
          </c:tx>
          <c:cat>
            <c:numRef>
              <c:f>Sheet1!$B$9:$M$9</c:f>
              <c:numCache>
                <c:formatCode>0_);\(0\)</c:formatCode>
                <c:ptCount val="12"/>
                <c:pt idx="0">
                  <c:v>201311</c:v>
                </c:pt>
                <c:pt idx="1">
                  <c:v>201312</c:v>
                </c:pt>
                <c:pt idx="2">
                  <c:v>201401</c:v>
                </c:pt>
                <c:pt idx="3">
                  <c:v>201402</c:v>
                </c:pt>
                <c:pt idx="4">
                  <c:v>201403</c:v>
                </c:pt>
                <c:pt idx="5">
                  <c:v>201404</c:v>
                </c:pt>
                <c:pt idx="6">
                  <c:v>201405</c:v>
                </c:pt>
                <c:pt idx="7">
                  <c:v>201406</c:v>
                </c:pt>
                <c:pt idx="8">
                  <c:v>201407</c:v>
                </c:pt>
                <c:pt idx="9">
                  <c:v>201408</c:v>
                </c:pt>
                <c:pt idx="10">
                  <c:v>201409</c:v>
                </c:pt>
                <c:pt idx="11">
                  <c:v>201410</c:v>
                </c:pt>
              </c:numCache>
            </c:numRef>
          </c:cat>
          <c:val>
            <c:numRef>
              <c:f>Sheet1!$B$11:$M$11</c:f>
              <c:numCache>
                <c:formatCode>#,##0.00_);\(#,##0.00\)</c:formatCode>
                <c:ptCount val="12"/>
                <c:pt idx="0">
                  <c:v>-348603.87026699982</c:v>
                </c:pt>
                <c:pt idx="1">
                  <c:v>-725799.30110599974</c:v>
                </c:pt>
                <c:pt idx="2">
                  <c:v>-637640.7143839997</c:v>
                </c:pt>
                <c:pt idx="3">
                  <c:v>-340204.55015399994</c:v>
                </c:pt>
                <c:pt idx="4">
                  <c:v>-217138.12729400001</c:v>
                </c:pt>
                <c:pt idx="5">
                  <c:v>205714.00478000002</c:v>
                </c:pt>
                <c:pt idx="6">
                  <c:v>288686.77386799984</c:v>
                </c:pt>
                <c:pt idx="7">
                  <c:v>359995.72183800041</c:v>
                </c:pt>
                <c:pt idx="8">
                  <c:v>382891.64018200024</c:v>
                </c:pt>
                <c:pt idx="9">
                  <c:v>422438.76608799992</c:v>
                </c:pt>
                <c:pt idx="10">
                  <c:v>349920.59428999986</c:v>
                </c:pt>
                <c:pt idx="11">
                  <c:v>258343.08364799991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08432"/>
        <c:axId val="548681808"/>
      </c:lineChart>
      <c:catAx>
        <c:axId val="298308432"/>
        <c:scaling>
          <c:orientation val="minMax"/>
        </c:scaling>
        <c:delete val="0"/>
        <c:axPos val="b"/>
        <c:numFmt formatCode="0_);\(0\)" sourceLinked="1"/>
        <c:majorTickMark val="out"/>
        <c:minorTickMark val="none"/>
        <c:tickLblPos val="low"/>
        <c:crossAx val="548681808"/>
        <c:crosses val="autoZero"/>
        <c:auto val="1"/>
        <c:lblAlgn val="ctr"/>
        <c:lblOffset val="100"/>
        <c:noMultiLvlLbl val="0"/>
      </c:catAx>
      <c:valAx>
        <c:axId val="548681808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2983084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457049304"/>
        <c:axId val="410765096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49304"/>
        <c:axId val="410765096"/>
      </c:lineChart>
      <c:catAx>
        <c:axId val="45704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10765096"/>
        <c:crosses val="autoZero"/>
        <c:auto val="1"/>
        <c:lblAlgn val="ctr"/>
        <c:lblOffset val="0"/>
        <c:noMultiLvlLbl val="0"/>
      </c:catAx>
      <c:valAx>
        <c:axId val="410765096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45704930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2.5030999999999999</c:v>
                </c:pt>
                <c:pt idx="4">
                  <c:v>2.5030999999999999</c:v>
                </c:pt>
                <c:pt idx="5">
                  <c:v>2.5030999999999999</c:v>
                </c:pt>
                <c:pt idx="6">
                  <c:v>2.5030999999999999</c:v>
                </c:pt>
                <c:pt idx="7">
                  <c:v>2.5030999999999999</c:v>
                </c:pt>
                <c:pt idx="8">
                  <c:v>2.5030999999999999</c:v>
                </c:pt>
                <c:pt idx="9">
                  <c:v>2.5030999999999999</c:v>
                </c:pt>
                <c:pt idx="10">
                  <c:v>2.5030999999999999</c:v>
                </c:pt>
                <c:pt idx="11">
                  <c:v>2.5030999999999999</c:v>
                </c:pt>
                <c:pt idx="12">
                  <c:v>2.5030999999999999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2.4395569035632492</c:v>
                </c:pt>
                <c:pt idx="4">
                  <c:v>2.5557797391435928</c:v>
                </c:pt>
                <c:pt idx="5">
                  <c:v>2.1587765624336335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920088"/>
        <c:axId val="298305296"/>
      </c:lineChart>
      <c:catAx>
        <c:axId val="414920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8305296"/>
        <c:crosses val="autoZero"/>
        <c:auto val="1"/>
        <c:lblAlgn val="ctr"/>
        <c:lblOffset val="100"/>
        <c:noMultiLvlLbl val="0"/>
      </c:catAx>
      <c:valAx>
        <c:axId val="29830529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14920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1.0607510052965914</c:v>
                </c:pt>
                <c:pt idx="4">
                  <c:v>1.0365639791666803</c:v>
                </c:pt>
                <c:pt idx="5">
                  <c:v>1.0235884439874834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0.49493680338691637</c:v>
                </c:pt>
                <c:pt idx="4">
                  <c:v>0.6430838918415126</c:v>
                </c:pt>
                <c:pt idx="5">
                  <c:v>0.77700097317016792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06080"/>
        <c:axId val="298306472"/>
      </c:lineChart>
      <c:catAx>
        <c:axId val="29830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8306472"/>
        <c:crosses val="autoZero"/>
        <c:auto val="1"/>
        <c:lblAlgn val="ctr"/>
        <c:lblOffset val="100"/>
        <c:noMultiLvlLbl val="0"/>
      </c:catAx>
      <c:valAx>
        <c:axId val="29830647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830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1.0854999999999997</c:v>
                </c:pt>
                <c:pt idx="4">
                  <c:v>1.0854999999999999</c:v>
                </c:pt>
                <c:pt idx="5">
                  <c:v>1.0854999999999997</c:v>
                </c:pt>
                <c:pt idx="6">
                  <c:v>1.0855000000000001</c:v>
                </c:pt>
                <c:pt idx="7">
                  <c:v>1.0854999999999999</c:v>
                </c:pt>
                <c:pt idx="8">
                  <c:v>1.0854999999999999</c:v>
                </c:pt>
                <c:pt idx="9">
                  <c:v>1.0854999999999999</c:v>
                </c:pt>
                <c:pt idx="10">
                  <c:v>1.0854999999999999</c:v>
                </c:pt>
                <c:pt idx="11">
                  <c:v>1.0855000000000001</c:v>
                </c:pt>
                <c:pt idx="12">
                  <c:v>1.0854999999999999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0.53993756722070474</c:v>
                </c:pt>
                <c:pt idx="4">
                  <c:v>0.69905485345780294</c:v>
                </c:pt>
                <c:pt idx="5">
                  <c:v>0.81607940532155532</c:v>
                </c:pt>
                <c:pt idx="6">
                  <c:v>1.6086696090431736</c:v>
                </c:pt>
                <c:pt idx="7">
                  <c:v>2.040145084817504</c:v>
                </c:pt>
                <c:pt idx="8">
                  <c:v>2.5728895624419774</c:v>
                </c:pt>
                <c:pt idx="9">
                  <c:v>2.8024790024533304</c:v>
                </c:pt>
                <c:pt idx="10">
                  <c:v>2.9217304313702304</c:v>
                </c:pt>
                <c:pt idx="11">
                  <c:v>2.4012926979119267</c:v>
                </c:pt>
                <c:pt idx="12">
                  <c:v>1.7414939638509332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07256"/>
        <c:axId val="298307648"/>
      </c:lineChart>
      <c:catAx>
        <c:axId val="298307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8307648"/>
        <c:crosses val="autoZero"/>
        <c:auto val="1"/>
        <c:lblAlgn val="ctr"/>
        <c:lblOffset val="100"/>
        <c:noMultiLvlLbl val="0"/>
      </c:catAx>
      <c:valAx>
        <c:axId val="29830764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8307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2.5031999999999996</c:v>
                </c:pt>
                <c:pt idx="4">
                  <c:v>2.5031999999999996</c:v>
                </c:pt>
                <c:pt idx="5">
                  <c:v>2.5031999999999996</c:v>
                </c:pt>
                <c:pt idx="6">
                  <c:v>2.5031999999999996</c:v>
                </c:pt>
                <c:pt idx="7">
                  <c:v>2.5031999999999992</c:v>
                </c:pt>
                <c:pt idx="8">
                  <c:v>2.5031999999999996</c:v>
                </c:pt>
                <c:pt idx="9">
                  <c:v>2.5031999999999996</c:v>
                </c:pt>
                <c:pt idx="10">
                  <c:v>2.5031999999999996</c:v>
                </c:pt>
                <c:pt idx="11">
                  <c:v>2.5031999999999992</c:v>
                </c:pt>
                <c:pt idx="12">
                  <c:v>2.5031999999999996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2.4398172007358458</c:v>
                </c:pt>
                <c:pt idx="4">
                  <c:v>2.5559571446379401</c:v>
                </c:pt>
                <c:pt idx="5">
                  <c:v>2.1573098868061447</c:v>
                </c:pt>
                <c:pt idx="6">
                  <c:v>-0.18226965944918216</c:v>
                </c:pt>
                <c:pt idx="7">
                  <c:v>0.2290892038351553</c:v>
                </c:pt>
                <c:pt idx="8">
                  <c:v>-2.3422860024649603</c:v>
                </c:pt>
                <c:pt idx="9">
                  <c:v>-2.1414965574379936</c:v>
                </c:pt>
                <c:pt idx="10">
                  <c:v>0.28022256216704389</c:v>
                </c:pt>
                <c:pt idx="11">
                  <c:v>8.4046327285577441E-2</c:v>
                </c:pt>
                <c:pt idx="12">
                  <c:v>1.5115777146599974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08824"/>
        <c:axId val="548679456"/>
      </c:lineChart>
      <c:catAx>
        <c:axId val="298308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548679456"/>
        <c:crosses val="autoZero"/>
        <c:auto val="1"/>
        <c:lblAlgn val="ctr"/>
        <c:lblOffset val="100"/>
        <c:noMultiLvlLbl val="0"/>
      </c:catAx>
      <c:valAx>
        <c:axId val="54867945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8308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944383117605482E-2"/>
          <c:y val="5.1517337914212591E-2"/>
          <c:w val="0.91669255229753865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'Deferral Graphs 2015-16 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'!$C$7:$N$7</c:f>
              <c:strCache>
                <c:ptCount val="12"/>
                <c:pt idx="0">
                  <c:v>N-14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'!$C$8:$N$8</c:f>
              <c:numCache>
                <c:formatCode>"$"#,##0.0_);\("$"#,##0.0\)</c:formatCode>
                <c:ptCount val="12"/>
                <c:pt idx="0">
                  <c:v>3.6467914534399961</c:v>
                </c:pt>
                <c:pt idx="1">
                  <c:v>4.1805524017439897</c:v>
                </c:pt>
                <c:pt idx="2">
                  <c:v>3.5618082323399887</c:v>
                </c:pt>
              </c:numCache>
            </c:numRef>
          </c:val>
        </c:ser>
        <c:ser>
          <c:idx val="1"/>
          <c:order val="1"/>
          <c:tx>
            <c:strRef>
              <c:f>'Deferral Graphs 2015-16 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'!$C$7:$N$7</c:f>
              <c:strCache>
                <c:ptCount val="12"/>
                <c:pt idx="0">
                  <c:v>N-14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'!$C$9:$N$9</c:f>
              <c:numCache>
                <c:formatCode>"$"#,##0.0_);\("$"#,##0.0\)</c:formatCode>
                <c:ptCount val="12"/>
                <c:pt idx="0">
                  <c:v>-5.4499761425010025</c:v>
                </c:pt>
                <c:pt idx="1">
                  <c:v>-4.0360349296660027</c:v>
                </c:pt>
                <c:pt idx="2">
                  <c:v>-2.4297905731820029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548680240"/>
        <c:axId val="548680632"/>
      </c:barChart>
      <c:lineChart>
        <c:grouping val="standard"/>
        <c:varyColors val="0"/>
        <c:ser>
          <c:idx val="2"/>
          <c:order val="2"/>
          <c:tx>
            <c:strRef>
              <c:f>'Deferral Graphs 2015-16 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514014190650573E-2"/>
                  <c:y val="-0.31646304410491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7.1923419114752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-3.5961709557376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430233732271606E-2"/>
                  <c:y val="-9.1653618258338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9884819639192814E-2"/>
                  <c:y val="-8.4228011726611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4388525776954004E-2"/>
                  <c:y val="-0.12878165091697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25592632022E-2"/>
                  <c:y val="-0.19885891230651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'!$C$7:$N$7</c:f>
              <c:strCache>
                <c:ptCount val="12"/>
                <c:pt idx="0">
                  <c:v>N-14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'!$C$10:$N$10</c:f>
              <c:numCache>
                <c:formatCode>"$"#,##0.0_);\("$"#,##0.0\)</c:formatCode>
                <c:ptCount val="12"/>
                <c:pt idx="0">
                  <c:v>-1.8031846890610064</c:v>
                </c:pt>
                <c:pt idx="1">
                  <c:v>0.14451747207798693</c:v>
                </c:pt>
                <c:pt idx="2">
                  <c:v>1.1320176591579858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80240"/>
        <c:axId val="548680632"/>
      </c:lineChart>
      <c:catAx>
        <c:axId val="54868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548680632"/>
        <c:crosses val="autoZero"/>
        <c:auto val="1"/>
        <c:lblAlgn val="ctr"/>
        <c:lblOffset val="10"/>
        <c:noMultiLvlLbl val="0"/>
      </c:catAx>
      <c:valAx>
        <c:axId val="548680632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548680240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868192934807434"/>
          <c:y val="6.8211717627523899E-2"/>
          <c:w val="0.24365181644392189"/>
          <c:h val="0.14746849386131997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3979062375435765E-2"/>
          <c:y val="8.7362319037562711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'Deferral Graphs 2015-16 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'!$C$13:$N$13</c:f>
              <c:strCache>
                <c:ptCount val="12"/>
                <c:pt idx="0">
                  <c:v>N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'!$C$14:$N$14</c:f>
              <c:numCache>
                <c:formatCode>"$"#,##0.0_);\("$"#,##0.0\)</c:formatCode>
                <c:ptCount val="12"/>
                <c:pt idx="0">
                  <c:v>1.8014744099999986</c:v>
                </c:pt>
                <c:pt idx="1">
                  <c:v>2.0113082716959956</c:v>
                </c:pt>
                <c:pt idx="2">
                  <c:v>1.6793401132499965</c:v>
                </c:pt>
              </c:numCache>
            </c:numRef>
          </c:val>
        </c:ser>
        <c:ser>
          <c:idx val="1"/>
          <c:order val="1"/>
          <c:tx>
            <c:strRef>
              <c:f>'Deferral Graphs 2015-16 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4338431732962175E-3"/>
                  <c:y val="-2.9663558026999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'!$C$13:$N$13</c:f>
              <c:strCache>
                <c:ptCount val="12"/>
                <c:pt idx="0">
                  <c:v>N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'!$C$15:$N$15</c:f>
              <c:numCache>
                <c:formatCode>"$"#,##0.0_);\("$"#,##0.0\)</c:formatCode>
                <c:ptCount val="12"/>
                <c:pt idx="0">
                  <c:v>-2.1068052855590014</c:v>
                </c:pt>
                <c:pt idx="1">
                  <c:v>-1.5923268683940015</c:v>
                </c:pt>
                <c:pt idx="2">
                  <c:v>-0.95760129210800138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414919696"/>
        <c:axId val="414919304"/>
      </c:barChart>
      <c:lineChart>
        <c:grouping val="standard"/>
        <c:varyColors val="0"/>
        <c:ser>
          <c:idx val="2"/>
          <c:order val="2"/>
          <c:tx>
            <c:strRef>
              <c:f>'Deferral Graphs 2015-16 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476524943355E-2"/>
                  <c:y val="-7.047021994827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08956514532E-2"/>
                  <c:y val="-8.384918533242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834253235917832E-2"/>
                  <c:y val="-9.7116328445658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'Deferral Graphs 2015-16 '!$C$13:$N$13</c:f>
              <c:strCache>
                <c:ptCount val="12"/>
                <c:pt idx="0">
                  <c:v>N</c:v>
                </c:pt>
                <c:pt idx="1">
                  <c:v>D</c:v>
                </c:pt>
                <c:pt idx="2">
                  <c:v>J-15</c:v>
                </c:pt>
                <c:pt idx="3">
                  <c:v>F-15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'Deferral Graphs 2015-16 '!$C$16:$N$16</c:f>
              <c:numCache>
                <c:formatCode>"$"#,##0.0_);\("$"#,##0.0\)</c:formatCode>
                <c:ptCount val="12"/>
                <c:pt idx="0">
                  <c:v>-0.30533087555900273</c:v>
                </c:pt>
                <c:pt idx="1">
                  <c:v>0.41898140330199407</c:v>
                </c:pt>
                <c:pt idx="2">
                  <c:v>0.72173882114199517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9696"/>
        <c:axId val="414919304"/>
      </c:lineChart>
      <c:catAx>
        <c:axId val="41491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14919304"/>
        <c:crosses val="autoZero"/>
        <c:auto val="1"/>
        <c:lblAlgn val="ctr"/>
        <c:lblOffset val="0"/>
        <c:noMultiLvlLbl val="0"/>
      </c:catAx>
      <c:valAx>
        <c:axId val="414919304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41491969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Commodity</c:v>
                </c:pt>
              </c:strCache>
            </c:strRef>
          </c:tx>
          <c:cat>
            <c:numRef>
              <c:f>Sheet1!$B$2:$M$2</c:f>
              <c:numCache>
                <c:formatCode>0_);\(0\)</c:formatCode>
                <c:ptCount val="12"/>
                <c:pt idx="0">
                  <c:v>201311</c:v>
                </c:pt>
                <c:pt idx="1">
                  <c:v>201312</c:v>
                </c:pt>
                <c:pt idx="2">
                  <c:v>201401</c:v>
                </c:pt>
                <c:pt idx="3">
                  <c:v>201402</c:v>
                </c:pt>
                <c:pt idx="4">
                  <c:v>201403</c:v>
                </c:pt>
                <c:pt idx="5">
                  <c:v>201404</c:v>
                </c:pt>
                <c:pt idx="6">
                  <c:v>201405</c:v>
                </c:pt>
                <c:pt idx="7">
                  <c:v>201406</c:v>
                </c:pt>
                <c:pt idx="8">
                  <c:v>201407</c:v>
                </c:pt>
                <c:pt idx="9">
                  <c:v>201408</c:v>
                </c:pt>
                <c:pt idx="10">
                  <c:v>201409</c:v>
                </c:pt>
                <c:pt idx="11">
                  <c:v>201410</c:v>
                </c:pt>
              </c:numCache>
            </c:numRef>
          </c:cat>
          <c:val>
            <c:numRef>
              <c:f>Sheet1!$B$3:$M$3</c:f>
              <c:numCache>
                <c:formatCode>#,##0.00_);\(#,##0.00\)</c:formatCode>
                <c:ptCount val="12"/>
                <c:pt idx="0">
                  <c:v>-363626.86552299373</c:v>
                </c:pt>
                <c:pt idx="1">
                  <c:v>-1349424.414729001</c:v>
                </c:pt>
                <c:pt idx="2">
                  <c:v>-173856.58066100068</c:v>
                </c:pt>
                <c:pt idx="3">
                  <c:v>105835.91384800058</c:v>
                </c:pt>
                <c:pt idx="4">
                  <c:v>-604740.2805199977</c:v>
                </c:pt>
                <c:pt idx="5">
                  <c:v>-2253526.4287800011</c:v>
                </c:pt>
                <c:pt idx="6">
                  <c:v>-1368171.1781060011</c:v>
                </c:pt>
                <c:pt idx="7">
                  <c:v>-2304890.4720699973</c:v>
                </c:pt>
                <c:pt idx="8">
                  <c:v>-1924994.8295020012</c:v>
                </c:pt>
                <c:pt idx="9">
                  <c:v>-801970.65527799854</c:v>
                </c:pt>
                <c:pt idx="10">
                  <c:v>-1342648.9440120016</c:v>
                </c:pt>
                <c:pt idx="11">
                  <c:v>-790814.72967299959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Demand</c:v>
                </c:pt>
              </c:strCache>
            </c:strRef>
          </c:tx>
          <c:cat>
            <c:numRef>
              <c:f>Sheet1!$B$2:$M$2</c:f>
              <c:numCache>
                <c:formatCode>0_);\(0\)</c:formatCode>
                <c:ptCount val="12"/>
                <c:pt idx="0">
                  <c:v>201311</c:v>
                </c:pt>
                <c:pt idx="1">
                  <c:v>201312</c:v>
                </c:pt>
                <c:pt idx="2">
                  <c:v>201401</c:v>
                </c:pt>
                <c:pt idx="3">
                  <c:v>201402</c:v>
                </c:pt>
                <c:pt idx="4">
                  <c:v>201403</c:v>
                </c:pt>
                <c:pt idx="5">
                  <c:v>201404</c:v>
                </c:pt>
                <c:pt idx="6">
                  <c:v>201405</c:v>
                </c:pt>
                <c:pt idx="7">
                  <c:v>201406</c:v>
                </c:pt>
                <c:pt idx="8">
                  <c:v>201407</c:v>
                </c:pt>
                <c:pt idx="9">
                  <c:v>201408</c:v>
                </c:pt>
                <c:pt idx="10">
                  <c:v>201409</c:v>
                </c:pt>
                <c:pt idx="11">
                  <c:v>201410</c:v>
                </c:pt>
              </c:numCache>
            </c:numRef>
          </c:cat>
          <c:val>
            <c:numRef>
              <c:f>Sheet1!$B$4:$M$4</c:f>
              <c:numCache>
                <c:formatCode>#,##0.00_);\(#,##0.00\)</c:formatCode>
                <c:ptCount val="12"/>
                <c:pt idx="0">
                  <c:v>-780538.83973299898</c:v>
                </c:pt>
                <c:pt idx="1">
                  <c:v>-1676402.6655339997</c:v>
                </c:pt>
                <c:pt idx="2">
                  <c:v>-1737451.7240159996</c:v>
                </c:pt>
                <c:pt idx="3">
                  <c:v>-906843.13003599993</c:v>
                </c:pt>
                <c:pt idx="4">
                  <c:v>-502690.50554600032</c:v>
                </c:pt>
                <c:pt idx="5">
                  <c:v>531507.01829000015</c:v>
                </c:pt>
                <c:pt idx="6">
                  <c:v>778474.07196199952</c:v>
                </c:pt>
                <c:pt idx="7">
                  <c:v>940413.5291820009</c:v>
                </c:pt>
                <c:pt idx="8">
                  <c:v>1019103.1667780007</c:v>
                </c:pt>
                <c:pt idx="9">
                  <c:v>1197349.4836119998</c:v>
                </c:pt>
                <c:pt idx="10">
                  <c:v>886564.2409099997</c:v>
                </c:pt>
                <c:pt idx="11">
                  <c:v>715545.96112199978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8520"/>
        <c:axId val="414918128"/>
      </c:lineChart>
      <c:catAx>
        <c:axId val="414918520"/>
        <c:scaling>
          <c:orientation val="minMax"/>
        </c:scaling>
        <c:delete val="0"/>
        <c:axPos val="b"/>
        <c:numFmt formatCode="0_);\(0\)" sourceLinked="1"/>
        <c:majorTickMark val="out"/>
        <c:minorTickMark val="none"/>
        <c:tickLblPos val="low"/>
        <c:crossAx val="414918128"/>
        <c:crosses val="autoZero"/>
        <c:auto val="1"/>
        <c:lblAlgn val="ctr"/>
        <c:lblOffset val="100"/>
        <c:noMultiLvlLbl val="0"/>
      </c:catAx>
      <c:valAx>
        <c:axId val="4149181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low"/>
        <c:crossAx val="4149185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12264</xdr:colOff>
      <xdr:row>16</xdr:row>
      <xdr:rowOff>104774</xdr:rowOff>
    </xdr:from>
    <xdr:to>
      <xdr:col>7</xdr:col>
      <xdr:colOff>0</xdr:colOff>
      <xdr:row>67</xdr:row>
      <xdr:rowOff>89647</xdr:rowOff>
    </xdr:to>
    <xdr:sp macro="" textlink="">
      <xdr:nvSpPr>
        <xdr:cNvPr id="2" name="Rounded Rectangle 1"/>
        <xdr:cNvSpPr/>
      </xdr:nvSpPr>
      <xdr:spPr bwMode="auto">
        <a:xfrm>
          <a:off x="12264" y="2883833"/>
          <a:ext cx="4929530" cy="795225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142894</xdr:colOff>
      <xdr:row>17</xdr:row>
      <xdr:rowOff>76200</xdr:rowOff>
    </xdr:from>
    <xdr:to>
      <xdr:col>6</xdr:col>
      <xdr:colOff>491831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171469</xdr:colOff>
      <xdr:row>40</xdr:row>
      <xdr:rowOff>47624</xdr:rowOff>
    </xdr:from>
    <xdr:to>
      <xdr:col>6</xdr:col>
      <xdr:colOff>520406</xdr:colOff>
      <xdr:row>65</xdr:row>
      <xdr:rowOff>44824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4323640" y="341341"/>
          <a:ext cx="333800" cy="2907952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4340609" y="1368562"/>
          <a:ext cx="333799" cy="2196708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4340609" y="1368562"/>
          <a:ext cx="333799" cy="2196708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16</xdr:row>
      <xdr:rowOff>104774</xdr:rowOff>
    </xdr:from>
    <xdr:to>
      <xdr:col>5</xdr:col>
      <xdr:colOff>314325</xdr:colOff>
      <xdr:row>40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657225</xdr:colOff>
      <xdr:row>16</xdr:row>
      <xdr:rowOff>133350</xdr:rowOff>
    </xdr:from>
    <xdr:to>
      <xdr:col>10</xdr:col>
      <xdr:colOff>923925</xdr:colOff>
      <xdr:row>33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2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6"/>
  <cols>
    <col min="1" max="1" width="18.6640625" bestFit="1" customWidth="1"/>
    <col min="2" max="14" width="9.33203125" customWidth="1"/>
    <col min="16" max="16" width="2.44140625" customWidth="1"/>
    <col min="17" max="23" width="10.6640625" customWidth="1"/>
    <col min="24" max="24" width="5.6640625" customWidth="1"/>
  </cols>
  <sheetData>
    <row r="1" spans="1:34">
      <c r="C1" s="605" t="s">
        <v>193</v>
      </c>
      <c r="D1" s="605"/>
      <c r="E1" s="605"/>
      <c r="F1" s="605"/>
      <c r="G1" s="605"/>
      <c r="H1" s="605"/>
      <c r="I1" s="605"/>
      <c r="J1" s="605"/>
      <c r="K1" s="605"/>
      <c r="P1" s="607"/>
      <c r="Q1" s="607"/>
      <c r="R1" s="607"/>
      <c r="S1" s="607"/>
      <c r="T1" s="607"/>
      <c r="U1" s="607"/>
      <c r="V1" s="607"/>
      <c r="W1" s="607"/>
      <c r="X1" s="607"/>
    </row>
    <row r="2" spans="1:34" ht="19.8">
      <c r="C2" s="606" t="s">
        <v>248</v>
      </c>
      <c r="D2" s="606"/>
      <c r="E2" s="606"/>
      <c r="F2" s="606"/>
      <c r="G2" s="606"/>
      <c r="H2" s="606"/>
      <c r="I2" s="606"/>
      <c r="J2" s="606"/>
      <c r="K2" s="606"/>
      <c r="P2" s="605"/>
      <c r="Q2" s="605"/>
      <c r="R2" s="605"/>
      <c r="S2" s="605"/>
      <c r="T2" s="605"/>
      <c r="U2" s="605"/>
      <c r="V2" s="605"/>
      <c r="W2" s="605"/>
      <c r="X2" s="605"/>
      <c r="Z2" s="605"/>
      <c r="AA2" s="605"/>
      <c r="AB2" s="605"/>
      <c r="AC2" s="605"/>
      <c r="AD2" s="605"/>
      <c r="AE2" s="605"/>
      <c r="AF2" s="605"/>
      <c r="AG2" s="605"/>
      <c r="AH2" s="605"/>
    </row>
    <row r="3" spans="1:34" ht="19.8">
      <c r="C3" s="605" t="s">
        <v>195</v>
      </c>
      <c r="D3" s="605"/>
      <c r="E3" s="605"/>
      <c r="F3" s="605"/>
      <c r="G3" s="605"/>
      <c r="H3" s="605"/>
      <c r="I3" s="605"/>
      <c r="J3" s="605"/>
      <c r="K3" s="605"/>
      <c r="P3" s="606"/>
      <c r="Q3" s="606"/>
      <c r="R3" s="606"/>
      <c r="S3" s="606"/>
      <c r="T3" s="606"/>
      <c r="U3" s="606"/>
      <c r="V3" s="606"/>
      <c r="W3" s="606"/>
      <c r="X3" s="606"/>
      <c r="Z3" s="608"/>
      <c r="AA3" s="608"/>
      <c r="AB3" s="608"/>
      <c r="AC3" s="608"/>
      <c r="AD3" s="608"/>
      <c r="AE3" s="608"/>
      <c r="AF3" s="608"/>
      <c r="AG3" s="608"/>
      <c r="AH3" s="608"/>
    </row>
    <row r="4" spans="1:34">
      <c r="A4" t="s">
        <v>194</v>
      </c>
      <c r="B4" s="268">
        <v>41183</v>
      </c>
      <c r="C4" s="268">
        <v>41214</v>
      </c>
      <c r="D4" s="268">
        <v>41244</v>
      </c>
      <c r="E4" s="268">
        <v>41275</v>
      </c>
      <c r="F4" s="268">
        <v>41306</v>
      </c>
      <c r="G4" s="268">
        <v>41334</v>
      </c>
      <c r="H4" s="268">
        <v>41365</v>
      </c>
      <c r="I4" s="268">
        <v>41395</v>
      </c>
      <c r="J4" s="268">
        <v>41426</v>
      </c>
      <c r="K4" s="268">
        <v>41456</v>
      </c>
      <c r="L4" s="268">
        <v>41487</v>
      </c>
      <c r="M4" s="268">
        <v>41518</v>
      </c>
      <c r="N4" s="268">
        <v>41548</v>
      </c>
      <c r="P4" s="605"/>
      <c r="Q4" s="605"/>
      <c r="R4" s="605"/>
      <c r="S4" s="605"/>
      <c r="T4" s="605"/>
      <c r="U4" s="605"/>
      <c r="V4" s="605"/>
      <c r="W4" s="605"/>
      <c r="X4" s="605"/>
      <c r="Z4" s="605"/>
      <c r="AA4" s="605"/>
      <c r="AB4" s="605"/>
      <c r="AC4" s="605"/>
      <c r="AD4" s="605"/>
      <c r="AE4" s="605"/>
      <c r="AF4" s="605"/>
      <c r="AG4" s="605"/>
    </row>
    <row r="6" spans="1:34">
      <c r="A6" s="269" t="s">
        <v>196</v>
      </c>
    </row>
    <row r="7" spans="1:34">
      <c r="A7" s="270"/>
      <c r="B7" s="271" t="str">
        <f>TEXT(B4,"mmmmm-YY")</f>
        <v>O-12</v>
      </c>
      <c r="C7" s="271" t="str">
        <f>TEXT(C4,"mmmmm-YY")</f>
        <v>N-12</v>
      </c>
      <c r="D7" s="271" t="str">
        <f>TEXT(D4,"mmmmm")</f>
        <v>D</v>
      </c>
      <c r="E7" s="271" t="str">
        <f>TEXT(E4,"mmmmm-YY")</f>
        <v>J-13</v>
      </c>
      <c r="F7" s="271" t="str">
        <f>TEXT(F4,"mmmmm-YY")</f>
        <v>F-13</v>
      </c>
      <c r="G7" s="271" t="str">
        <f t="shared" ref="G7:N7" si="0">TEXT(G4,"mmmmm")</f>
        <v>M</v>
      </c>
      <c r="H7" s="271" t="str">
        <f t="shared" si="0"/>
        <v>A</v>
      </c>
      <c r="I7" s="271" t="str">
        <f t="shared" si="0"/>
        <v>M</v>
      </c>
      <c r="J7" s="271" t="str">
        <f t="shared" si="0"/>
        <v>J</v>
      </c>
      <c r="K7" s="271" t="str">
        <f t="shared" si="0"/>
        <v>J</v>
      </c>
      <c r="L7" s="271" t="str">
        <f t="shared" si="0"/>
        <v>A</v>
      </c>
      <c r="M7" s="271" t="str">
        <f t="shared" si="0"/>
        <v>S</v>
      </c>
      <c r="N7" s="271" t="str">
        <f t="shared" si="0"/>
        <v>O</v>
      </c>
    </row>
    <row r="8" spans="1:34">
      <c r="A8" t="s">
        <v>2</v>
      </c>
      <c r="B8" s="272">
        <f>'WA Def 191010'!D8/-1000000</f>
        <v>6.691252092754679</v>
      </c>
      <c r="C8" s="272">
        <f>'WA Def 191010'!D19/-1000000</f>
        <v>0.90240319623620857</v>
      </c>
      <c r="D8" s="272">
        <f>'WA Def 191010'!D27/-1000000</f>
        <v>-0.24153536134178891</v>
      </c>
      <c r="E8" s="272">
        <f>'WA Def 191010'!D35/-1000000</f>
        <v>1.612370665690211</v>
      </c>
      <c r="F8" s="272">
        <f>'WA Def 191010'!D43/-1000000</f>
        <v>0.64834278387021227</v>
      </c>
      <c r="G8" s="272">
        <f>'WA Def 191010'!D51/-1000000</f>
        <v>0.33671900480321282</v>
      </c>
      <c r="H8" s="272">
        <f>'WA Def 191010'!D59/-1000000</f>
        <v>0.63119416496921332</v>
      </c>
      <c r="I8" s="272">
        <f>'WA Def 191010'!D67/-1000000</f>
        <v>1.2090547576992148</v>
      </c>
      <c r="J8" s="272">
        <f>'WA Def 191010'!D75/-1000000</f>
        <v>1.3830479967132137</v>
      </c>
      <c r="K8" s="272">
        <f>'WA Def 191010'!D83/-1000000</f>
        <v>1.8775711130472124</v>
      </c>
      <c r="L8" s="272">
        <f>'WA Def 191010'!D91/-1000000</f>
        <v>2.5238373414722122</v>
      </c>
      <c r="M8" s="272">
        <f>'WA Def 191010'!D99/-1000000</f>
        <v>3.3385260271402131</v>
      </c>
      <c r="N8" s="272">
        <f>'WA Def 191010'!E99/-1000000</f>
        <v>-6.0831075290700021</v>
      </c>
    </row>
    <row r="9" spans="1:34">
      <c r="A9" t="s">
        <v>3</v>
      </c>
      <c r="B9" s="272">
        <f>'WA Def 191010'!E8/-1000000</f>
        <v>-0.80916936732299949</v>
      </c>
      <c r="C9" s="272">
        <f>'WA Def 191010'!E19/-1000000</f>
        <v>-3.8730244701439993</v>
      </c>
      <c r="D9" s="272">
        <f>'WA Def 191010'!E27/-1000000</f>
        <v>-3.0674777859969997</v>
      </c>
      <c r="E9" s="272">
        <f>'WA Def 191010'!E35/-1000000</f>
        <v>-1.6934499394870002</v>
      </c>
      <c r="F9" s="272">
        <f>'WA Def 191010'!E43/-1000000</f>
        <v>-0.95669013858100027</v>
      </c>
      <c r="G9" s="272">
        <f>'WA Def 191010'!E51/-1000000</f>
        <v>-0.56131225301100107</v>
      </c>
      <c r="H9" s="272">
        <f>'WA Def 191010'!E59/-1000000</f>
        <v>-0.69541010451100072</v>
      </c>
      <c r="I9" s="272">
        <f>'WA Def 191010'!E67/-1000000</f>
        <v>-1.5643559408390004</v>
      </c>
      <c r="J9" s="272">
        <f>'WA Def 191010'!E75/-1000000</f>
        <v>-2.5778206653800004</v>
      </c>
      <c r="K9" s="272">
        <f>'WA Def 191010'!E83/-1000000</f>
        <v>-3.8494386956210014</v>
      </c>
      <c r="L9" s="272">
        <f>'WA Def 191010'!E91/-1000000</f>
        <v>-5.0597053680260018</v>
      </c>
      <c r="M9" s="272">
        <f>'WA Def 191010'!E99/-1000000</f>
        <v>-6.0831075290700021</v>
      </c>
      <c r="N9" s="272">
        <f>'WA Def 191010'!F99/-1000000</f>
        <v>3.1801240000000015E-2</v>
      </c>
    </row>
    <row r="10" spans="1:34">
      <c r="A10" s="273" t="s">
        <v>21</v>
      </c>
      <c r="B10" s="274">
        <f>SUM(B8:B9)</f>
        <v>5.8820827254316796</v>
      </c>
      <c r="C10" s="274">
        <f>SUM(C8:C9)</f>
        <v>-2.9706212739077906</v>
      </c>
      <c r="D10" s="274">
        <f t="shared" ref="D10:N10" si="1">SUM(D8:D9)</f>
        <v>-3.3090131473387885</v>
      </c>
      <c r="E10" s="274">
        <f t="shared" si="1"/>
        <v>-8.1079273796789142E-2</v>
      </c>
      <c r="F10" s="274">
        <f t="shared" ref="F10" si="2">SUM(F8:F9)</f>
        <v>-0.308347354710788</v>
      </c>
      <c r="G10" s="274">
        <f t="shared" si="1"/>
        <v>-0.22459324820778825</v>
      </c>
      <c r="H10" s="274">
        <f t="shared" si="1"/>
        <v>-6.4215939541787392E-2</v>
      </c>
      <c r="I10" s="274">
        <f t="shared" si="1"/>
        <v>-0.35530118313978565</v>
      </c>
      <c r="J10" s="274">
        <f t="shared" si="1"/>
        <v>-1.1947726686667868</v>
      </c>
      <c r="K10" s="274">
        <f t="shared" ref="K10" si="3">SUM(K8:K9)</f>
        <v>-1.971867582573789</v>
      </c>
      <c r="L10" s="274">
        <f t="shared" si="1"/>
        <v>-2.5358680265537896</v>
      </c>
      <c r="M10" s="274">
        <f t="shared" ref="M10" si="4">SUM(M8:M9)</f>
        <v>-2.744581501929789</v>
      </c>
      <c r="N10" s="274">
        <f t="shared" si="1"/>
        <v>-6.051306289070002</v>
      </c>
    </row>
    <row r="12" spans="1:34">
      <c r="A12" s="269" t="s">
        <v>223</v>
      </c>
    </row>
    <row r="13" spans="1:34">
      <c r="A13" s="270"/>
      <c r="B13" s="271" t="str">
        <f>TEXT(B4,"mmmmm-YY")</f>
        <v>O-12</v>
      </c>
      <c r="C13" s="271" t="str">
        <f>TEXT(C4,"mmmmm")</f>
        <v>N</v>
      </c>
      <c r="D13" s="271" t="str">
        <f>TEXT(D4,"mmmmm")</f>
        <v>D</v>
      </c>
      <c r="E13" s="271" t="str">
        <f t="shared" ref="E13:F13" si="5">TEXT(E4,"mmmmm-YY")</f>
        <v>J-13</v>
      </c>
      <c r="F13" s="271" t="str">
        <f t="shared" si="5"/>
        <v>F-13</v>
      </c>
      <c r="G13" s="271" t="str">
        <f t="shared" ref="G13:L13" si="6">TEXT(G4,"mmmmm")</f>
        <v>M</v>
      </c>
      <c r="H13" s="271" t="str">
        <f t="shared" si="6"/>
        <v>A</v>
      </c>
      <c r="I13" s="271" t="str">
        <f t="shared" si="6"/>
        <v>M</v>
      </c>
      <c r="J13" s="271" t="str">
        <f t="shared" si="6"/>
        <v>J</v>
      </c>
      <c r="K13" s="271" t="str">
        <f t="shared" ref="K13" si="7">TEXT(K4,"mmmmm")</f>
        <v>J</v>
      </c>
      <c r="L13" s="271" t="str">
        <f t="shared" si="6"/>
        <v>A</v>
      </c>
      <c r="M13" s="271" t="str">
        <f t="shared" ref="M13" si="8">TEXT(M4,"mmmmm")</f>
        <v>S</v>
      </c>
      <c r="N13" s="271" t="s">
        <v>247</v>
      </c>
    </row>
    <row r="14" spans="1:34">
      <c r="A14" t="s">
        <v>2</v>
      </c>
      <c r="B14" s="272">
        <f>('ID Def 191010'!D20+'ID Holdback 191015'!D16)/-1000000</f>
        <v>2.1383911983473967</v>
      </c>
      <c r="C14" s="272">
        <f>('ID Def 191010'!D29+'ID Holdback 191015'!D23)/-1000000</f>
        <v>1.2444255776995812</v>
      </c>
      <c r="D14" s="272">
        <f>('ID Def 191010'!D47+'ID Holdback 191015'!D30)/-1000000</f>
        <v>0.87195540999758092</v>
      </c>
      <c r="E14" s="272">
        <f>('ID Def 191010'!D56+'ID Holdback 191015'!D37)/-1000000</f>
        <v>1.6660490220255828</v>
      </c>
      <c r="F14" s="272">
        <f>('ID Def 191010'!D65+'ID Holdback 191015'!D45)/-1000000</f>
        <v>1.2966995405455823</v>
      </c>
      <c r="G14" s="272">
        <f>('ID Def 191010'!D74+'ID Holdback 191015'!D53)/-1000000</f>
        <v>1.1561449650525837</v>
      </c>
      <c r="H14" s="272">
        <f>('ID Def 191010'!D83+'ID Holdback 191015'!D61)/-1000000</f>
        <v>1.2996516898465837</v>
      </c>
      <c r="I14" s="272">
        <f>('ID Def 191010'!D92+'ID Holdback 191015'!D69)/-1000000</f>
        <v>1.5610150065365844</v>
      </c>
      <c r="J14" s="272">
        <f>('ID Def 191010'!D101+'ID Holdback 191015'!D77)/-1000000</f>
        <v>1.6482739833225839</v>
      </c>
      <c r="K14" s="272">
        <f>('ID Def 191010'!D110+'ID Holdback 191015'!D85)/-1000000</f>
        <v>1.8954571715485831</v>
      </c>
      <c r="L14" s="272">
        <f>('ID Def 191010'!D119+'ID Holdback 191015'!D93)/-1000000</f>
        <v>2.2528616869035827</v>
      </c>
      <c r="M14" s="272">
        <f>('ID Def 191010'!D128+'ID Holdback 191015'!D101)/-1000000</f>
        <v>2.7080381318555831</v>
      </c>
      <c r="N14" s="272">
        <f>('ID Def 191010'!D137+'ID Holdback 191015'!D109)/-1000000</f>
        <v>0.56600077745999999</v>
      </c>
    </row>
    <row r="15" spans="1:34">
      <c r="A15" t="s">
        <v>3</v>
      </c>
      <c r="B15" s="272">
        <f>('ID Def 191010'!E20+'ID Holdback 191015'!E16)/-1000000</f>
        <v>-0.82418407251353221</v>
      </c>
      <c r="C15" s="272">
        <f>('ID Def 191010'!E29+'ID Holdback 191015'!E23)/-1000000</f>
        <v>-0.80322416033553246</v>
      </c>
      <c r="D15" s="272">
        <f>('ID Def 191010'!E47+'ID Holdback 191015'!E30)/-1000000</f>
        <v>-0.39310178017253256</v>
      </c>
      <c r="E15" s="272">
        <f>('ID Def 191010'!E56+'ID Holdback 191015'!E37)/-1000000</f>
        <v>0.17129077183746722</v>
      </c>
      <c r="F15" s="272">
        <f>('ID Def 191010'!E65+'ID Holdback 191015'!E45)/-1000000</f>
        <v>0.35307272873146694</v>
      </c>
      <c r="G15" s="272">
        <f>('ID Def 191010'!E74+'ID Holdback 191015'!E53)/-1000000</f>
        <v>0.56382016840146643</v>
      </c>
      <c r="H15" s="272">
        <f>('ID Def 191010'!E83+'ID Holdback 191015'!E61)/-1000000</f>
        <v>0.53955121001146655</v>
      </c>
      <c r="I15" s="272">
        <f>('ID Def 191010'!E92+'ID Holdback 191015'!E69)/-1000000</f>
        <v>0.18205832733946647</v>
      </c>
      <c r="J15" s="272">
        <f>('ID Def 191010'!E101+'ID Holdback 191015'!E77)/-1000000</f>
        <v>-0.22184721294953361</v>
      </c>
      <c r="K15" s="272">
        <f>('ID Def 191010'!E110+'ID Holdback 191015'!E85)/-1000000</f>
        <v>-0.73848372468853407</v>
      </c>
      <c r="L15" s="272">
        <f>('ID Def 191010'!E119+'ID Holdback 191015'!E93)/-1000000</f>
        <v>-1.2085874236835343</v>
      </c>
      <c r="M15" s="272">
        <f>('ID Def 191010'!E128+'ID Holdback 191015'!E101)/-1000000</f>
        <v>-1.5854874293295345</v>
      </c>
      <c r="N15" s="272">
        <f>('ID Def 191010'!E137+'ID Holdback 191015'!E109)/-1000000</f>
        <v>-8.1480250077000355E-2</v>
      </c>
    </row>
    <row r="16" spans="1:34">
      <c r="A16" s="273" t="s">
        <v>21</v>
      </c>
      <c r="B16" s="274">
        <f>SUM(B14:B15)</f>
        <v>1.3142071258338643</v>
      </c>
      <c r="C16" s="274">
        <f>SUM(C14:C15)</f>
        <v>0.44120141736404872</v>
      </c>
      <c r="D16" s="274">
        <f t="shared" ref="D16:L16" si="9">SUM(D14:D15)</f>
        <v>0.47885362982504837</v>
      </c>
      <c r="E16" s="274">
        <f t="shared" si="9"/>
        <v>1.83733979386305</v>
      </c>
      <c r="F16" s="274">
        <f t="shared" ref="F16" si="10">SUM(F14:F15)</f>
        <v>1.6497722692770493</v>
      </c>
      <c r="G16" s="274">
        <f t="shared" si="9"/>
        <v>1.7199651334540502</v>
      </c>
      <c r="H16" s="274">
        <f t="shared" si="9"/>
        <v>1.8392028998580503</v>
      </c>
      <c r="I16" s="274">
        <f t="shared" si="9"/>
        <v>1.7430733338760509</v>
      </c>
      <c r="J16" s="274">
        <f t="shared" si="9"/>
        <v>1.4264267703730502</v>
      </c>
      <c r="K16" s="274">
        <f t="shared" si="9"/>
        <v>1.156973446860049</v>
      </c>
      <c r="L16" s="274">
        <f t="shared" si="9"/>
        <v>1.0442742632200483</v>
      </c>
      <c r="M16" s="274">
        <f t="shared" ref="M16:N16" si="11">SUM(M14:M15)</f>
        <v>1.1225507025260486</v>
      </c>
      <c r="N16" s="274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B050"/>
    <pageSetUpPr fitToPage="1"/>
  </sheetPr>
  <dimension ref="A1:U1484"/>
  <sheetViews>
    <sheetView showGridLines="0" topLeftCell="A31" zoomScale="70" zoomScaleNormal="70" workbookViewId="0">
      <selection activeCell="K59" sqref="K59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Jul!C1+1</f>
        <v>201608</v>
      </c>
      <c r="F1" s="534">
        <f>C1</f>
        <v>201608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f>4598122.63+1688.63</f>
        <v>4599811.26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v>80578.5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0.6109</v>
      </c>
      <c r="L5" s="447">
        <f>1-K5</f>
        <v>0.3891</v>
      </c>
      <c r="M5" s="387"/>
    </row>
    <row r="6" spans="1:13" ht="16.2" thickBot="1">
      <c r="A6" s="49" t="s">
        <v>30</v>
      </c>
      <c r="C6" s="315">
        <f>-2343063.08-444850-73845.1-127100-142987.5-81979.5-102391.76</f>
        <v>-3316216.94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1364172.8199999998</v>
      </c>
      <c r="D7" s="35"/>
      <c r="F7" s="167" t="s">
        <v>139</v>
      </c>
      <c r="G7" s="167"/>
      <c r="H7" s="125">
        <f>C34</f>
        <v>2290955.3199999998</v>
      </c>
      <c r="I7" s="168">
        <f>H7*I5</f>
        <v>1618789.0291119998</v>
      </c>
      <c r="J7" s="168">
        <f>H7*J5</f>
        <v>672166.29088799993</v>
      </c>
      <c r="K7" s="168"/>
      <c r="L7" s="168"/>
      <c r="M7" s="387"/>
    </row>
    <row r="8" spans="1:13" ht="15.6">
      <c r="A8" s="386" t="s">
        <v>89</v>
      </c>
      <c r="C8" s="314">
        <v>265590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f>8596.9+1987.99</f>
        <v>10584.89</v>
      </c>
      <c r="D9" s="36"/>
      <c r="F9" s="167" t="s">
        <v>119</v>
      </c>
      <c r="G9" s="387"/>
      <c r="H9" s="168">
        <f>C55</f>
        <v>192468.98000000231</v>
      </c>
      <c r="I9" s="168"/>
      <c r="J9" s="168"/>
      <c r="K9" s="168">
        <f>H9*K5</f>
        <v>117579.2998820014</v>
      </c>
      <c r="L9" s="168">
        <f>H9*L5</f>
        <v>74889.680118000906</v>
      </c>
      <c r="M9" s="387"/>
    </row>
    <row r="10" spans="1:13" ht="15.6">
      <c r="A10" s="49" t="s">
        <v>91</v>
      </c>
      <c r="C10" s="315">
        <v>-3387.71</v>
      </c>
      <c r="D10" s="36"/>
      <c r="F10" s="170" t="s">
        <v>44</v>
      </c>
      <c r="G10" s="387"/>
      <c r="H10" s="168">
        <f>C56</f>
        <v>-15571.41</v>
      </c>
      <c r="I10" s="168"/>
      <c r="J10" s="168"/>
      <c r="K10" s="168">
        <f>H10</f>
        <v>-15571.41</v>
      </c>
      <c r="L10" s="168"/>
      <c r="M10" s="387"/>
    </row>
    <row r="11" spans="1:13">
      <c r="A11" s="66" t="s">
        <v>145</v>
      </c>
      <c r="C11" s="100">
        <f>SUM(C8:C10)</f>
        <v>272787.18</v>
      </c>
      <c r="D11" s="36"/>
      <c r="F11" s="170" t="s">
        <v>45</v>
      </c>
      <c r="G11" s="387"/>
      <c r="H11" s="171">
        <f>C57</f>
        <v>-10422.35</v>
      </c>
      <c r="I11" s="168"/>
      <c r="J11" s="168"/>
      <c r="K11" s="171"/>
      <c r="L11" s="171">
        <f>H11</f>
        <v>-10422.35</v>
      </c>
      <c r="M11" s="387"/>
    </row>
    <row r="12" spans="1:13" ht="15.6">
      <c r="A12" s="386" t="s">
        <v>165</v>
      </c>
      <c r="C12" s="314">
        <f>238180.95-980.25</f>
        <v>237200.7</v>
      </c>
      <c r="D12" s="36"/>
      <c r="F12" s="170" t="s">
        <v>138</v>
      </c>
      <c r="G12" s="387"/>
      <c r="H12" s="168">
        <f>H9+H10+H11</f>
        <v>166475.2200000023</v>
      </c>
      <c r="I12" s="168"/>
      <c r="J12" s="168"/>
      <c r="K12" s="168">
        <f>SUM(K9:K11)</f>
        <v>102007.8898820014</v>
      </c>
      <c r="L12" s="168">
        <f>SUM(L9:L11)</f>
        <v>64467.330118000908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237200.7</v>
      </c>
      <c r="D14" s="37"/>
      <c r="F14" s="50" t="s">
        <v>69</v>
      </c>
      <c r="G14" s="176"/>
      <c r="H14" s="125">
        <f>H12+H7</f>
        <v>2457430.5400000019</v>
      </c>
      <c r="I14" s="177">
        <f>SUM(I7:I13)</f>
        <v>1618789.0291119998</v>
      </c>
      <c r="J14" s="177">
        <f>SUM(J7:J13)</f>
        <v>672166.29088799993</v>
      </c>
      <c r="K14" s="177">
        <f>K12</f>
        <v>102007.8898820014</v>
      </c>
      <c r="L14" s="177">
        <f>L12</f>
        <v>64467.330118000908</v>
      </c>
      <c r="M14" s="387"/>
    </row>
    <row r="15" spans="1:13" ht="15.6">
      <c r="A15" s="386" t="s">
        <v>184</v>
      </c>
      <c r="C15" s="314">
        <f>448866.31-1847.38</f>
        <v>447018.93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447018.93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63347.27-284.04+6151.95</f>
        <v>69215.179999999993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v>4615.53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73830.709999999992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v>0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0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1956853</v>
      </c>
      <c r="H23" s="391">
        <v>0.12132999999999999</v>
      </c>
      <c r="I23" s="197">
        <f t="shared" ref="I23:I31" si="0">G23*H23</f>
        <v>237424.97448999999</v>
      </c>
      <c r="J23" s="201" t="s">
        <v>37</v>
      </c>
      <c r="K23" s="264">
        <v>930531</v>
      </c>
      <c r="L23" s="391">
        <v>0.10854999999999999</v>
      </c>
      <c r="M23" s="197">
        <f>K23*L23</f>
        <v>101009.14004999999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/>
      <c r="H24" s="391">
        <v>0.12132999999999999</v>
      </c>
      <c r="I24" s="197">
        <f t="shared" si="0"/>
        <v>0</v>
      </c>
      <c r="J24" s="201" t="s">
        <v>38</v>
      </c>
      <c r="K24" s="264">
        <v>1322423</v>
      </c>
      <c r="L24" s="391">
        <v>0.10854999999999999</v>
      </c>
      <c r="M24" s="197">
        <f t="shared" ref="M24:M27" si="1">K24*L24</f>
        <v>143549.01665000001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1284422</v>
      </c>
      <c r="H25" s="391">
        <v>0.11426</v>
      </c>
      <c r="I25" s="197">
        <f t="shared" si="0"/>
        <v>146758.05772000001</v>
      </c>
      <c r="J25" s="201" t="s">
        <v>39</v>
      </c>
      <c r="K25" s="264">
        <v>47622</v>
      </c>
      <c r="L25" s="391">
        <v>0.10854999999999999</v>
      </c>
      <c r="M25" s="197">
        <f t="shared" si="1"/>
        <v>5169.3680999999997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274690</v>
      </c>
      <c r="H27" s="391">
        <v>0.10385</v>
      </c>
      <c r="I27" s="197">
        <f t="shared" si="0"/>
        <v>28526.556499999999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27313</v>
      </c>
      <c r="H28" s="391">
        <v>0.10385</v>
      </c>
      <c r="I28" s="197">
        <f t="shared" si="0"/>
        <v>2836.45505</v>
      </c>
      <c r="J28" s="200" t="s">
        <v>127</v>
      </c>
      <c r="K28" s="182">
        <f>SUM(K23:K27)</f>
        <v>2300576</v>
      </c>
      <c r="L28" s="183"/>
      <c r="M28" s="198">
        <f>SUM(M23:M27)</f>
        <v>249727.52479999998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2300576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2395010.34</v>
      </c>
      <c r="D30" s="37"/>
      <c r="F30" s="201" t="s">
        <v>43</v>
      </c>
      <c r="G30" s="264">
        <v>68158</v>
      </c>
      <c r="H30" s="391">
        <v>7.1069999999999994E-2</v>
      </c>
      <c r="I30" s="197">
        <f t="shared" si="0"/>
        <v>4843.9890599999999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-8276.1</v>
      </c>
      <c r="D31" s="39"/>
      <c r="F31" s="201" t="s">
        <v>74</v>
      </c>
      <c r="G31" s="264">
        <v>1943542</v>
      </c>
      <c r="H31" s="391">
        <v>5.4000000000000001E-4</v>
      </c>
      <c r="I31" s="197">
        <f t="shared" si="0"/>
        <v>1049.51268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2386734.2399999998</v>
      </c>
      <c r="D32" s="40"/>
      <c r="F32" s="200" t="s">
        <v>127</v>
      </c>
      <c r="G32" s="182">
        <f>SUM(G23:G31)</f>
        <v>5554978</v>
      </c>
      <c r="H32" s="7"/>
      <c r="I32" s="198">
        <f>SUM(I23:I31)</f>
        <v>421439.54549999995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-95778.92</v>
      </c>
      <c r="D33" s="36"/>
      <c r="F33" s="187"/>
      <c r="G33" s="232">
        <v>5554978</v>
      </c>
      <c r="H33" s="188" t="s">
        <v>102</v>
      </c>
      <c r="I33" s="217">
        <f>I32/G32</f>
        <v>7.5867005323873457E-2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2290955.3199999998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930531</v>
      </c>
      <c r="L36" s="391">
        <v>0.25031999999999999</v>
      </c>
      <c r="M36" s="197">
        <f t="shared" ref="M36:M42" si="2">K36*L36</f>
        <v>232930.51991999999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16945386.760000002</v>
      </c>
      <c r="D37" s="36"/>
      <c r="F37" s="201" t="s">
        <v>37</v>
      </c>
      <c r="G37" s="265">
        <f>G23</f>
        <v>1956853</v>
      </c>
      <c r="H37" s="391">
        <v>0.25030999999999998</v>
      </c>
      <c r="I37" s="197">
        <f t="shared" ref="I37:I44" si="3">G37*H37</f>
        <v>489819.87442999997</v>
      </c>
      <c r="J37" s="201" t="s">
        <v>38</v>
      </c>
      <c r="K37" s="265">
        <f>K24</f>
        <v>1322423</v>
      </c>
      <c r="L37" s="391">
        <v>0.25031999999999999</v>
      </c>
      <c r="M37" s="197">
        <f t="shared" si="2"/>
        <v>331028.92535999999</v>
      </c>
      <c r="P37" s="275"/>
      <c r="Q37" s="275"/>
    </row>
    <row r="38" spans="1:17" ht="15.6">
      <c r="A38" s="144" t="s">
        <v>14</v>
      </c>
      <c r="B38" s="540" t="s">
        <v>115</v>
      </c>
      <c r="C38" s="122">
        <v>0</v>
      </c>
      <c r="D38" s="36"/>
      <c r="F38" s="201" t="s">
        <v>332</v>
      </c>
      <c r="G38" s="265">
        <f>G24</f>
        <v>0</v>
      </c>
      <c r="H38" s="391">
        <v>0.25030999999999998</v>
      </c>
      <c r="I38" s="197">
        <f t="shared" si="3"/>
        <v>0</v>
      </c>
      <c r="J38" s="201" t="s">
        <v>39</v>
      </c>
      <c r="K38" s="265">
        <f>K25</f>
        <v>47622</v>
      </c>
      <c r="L38" s="391">
        <v>0.25031999999999999</v>
      </c>
      <c r="M38" s="197">
        <f t="shared" si="2"/>
        <v>11920.739039999999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-20391.13</v>
      </c>
      <c r="D39" s="36"/>
      <c r="F39" s="201" t="s">
        <v>38</v>
      </c>
      <c r="G39" s="265">
        <f t="shared" ref="G39:G44" si="4">G25</f>
        <v>1284422</v>
      </c>
      <c r="H39" s="391">
        <v>0.25030999999999998</v>
      </c>
      <c r="I39" s="197">
        <f t="shared" si="3"/>
        <v>321503.67082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-122616.61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-69951.7</v>
      </c>
      <c r="D41" s="36"/>
      <c r="F41" s="201" t="s">
        <v>40</v>
      </c>
      <c r="G41" s="265">
        <f t="shared" si="4"/>
        <v>274690</v>
      </c>
      <c r="H41" s="391">
        <v>0.25030999999999998</v>
      </c>
      <c r="I41" s="197">
        <f t="shared" si="3"/>
        <v>68757.65389999999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618103.44999999995</v>
      </c>
      <c r="D42" s="37"/>
      <c r="F42" s="201" t="s">
        <v>41</v>
      </c>
      <c r="G42" s="265">
        <f t="shared" si="4"/>
        <v>27313</v>
      </c>
      <c r="H42" s="391">
        <v>0.25030999999999998</v>
      </c>
      <c r="I42" s="197">
        <f t="shared" si="3"/>
        <v>6836.7170299999998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17350530.770000003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2300576</v>
      </c>
      <c r="L43" s="183"/>
      <c r="M43" s="198">
        <f>SUM(M36:M42)</f>
        <v>575880.18432</v>
      </c>
    </row>
    <row r="44" spans="1:17" ht="16.2" thickBot="1">
      <c r="A44" s="83" t="s">
        <v>178</v>
      </c>
      <c r="B44" s="84" t="s">
        <v>120</v>
      </c>
      <c r="C44" s="242">
        <f>38177.52-4875516.86</f>
        <v>-4837339.3400000008</v>
      </c>
      <c r="D44" s="37"/>
      <c r="F44" s="201" t="s">
        <v>43</v>
      </c>
      <c r="G44" s="265">
        <f t="shared" si="4"/>
        <v>68158</v>
      </c>
      <c r="H44" s="391">
        <v>0.25030999999999998</v>
      </c>
      <c r="I44" s="197">
        <f t="shared" si="3"/>
        <v>17060.628979999998</v>
      </c>
      <c r="J44" s="195"/>
      <c r="K44" s="233">
        <v>2300576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3611436</v>
      </c>
      <c r="H45" s="183"/>
      <c r="I45" s="198">
        <f>SUM(I37:I44)</f>
        <v>903978.54515999998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3611436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330</v>
      </c>
      <c r="B48" s="6" t="s">
        <v>115</v>
      </c>
      <c r="C48" s="122">
        <v>5000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19226.71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122">
        <v>986.02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3220.14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95778.92</v>
      </c>
      <c r="D52" s="33"/>
      <c r="F52" s="387" t="s">
        <v>136</v>
      </c>
      <c r="G52" s="387"/>
      <c r="H52" s="213">
        <f>K12</f>
        <v>102007.8898820014</v>
      </c>
      <c r="I52" s="115">
        <f>I14</f>
        <v>1618789.0291119998</v>
      </c>
      <c r="J52" s="115">
        <f>L12</f>
        <v>64467.330118000908</v>
      </c>
      <c r="K52" s="115">
        <f>J14</f>
        <v>672166.29088799993</v>
      </c>
      <c r="L52" s="132">
        <f>SUM(H52:K52)</f>
        <v>2457430.5400000019</v>
      </c>
      <c r="M52" s="387"/>
    </row>
    <row r="53" spans="1:21" ht="16.2" thickBot="1">
      <c r="A53" s="384" t="s">
        <v>124</v>
      </c>
      <c r="B53" s="475" t="s">
        <v>316</v>
      </c>
      <c r="C53" s="314">
        <f>-7269757.11+1732.1-4801909.23</f>
        <v>-12069934.240000002</v>
      </c>
      <c r="D53" s="36"/>
      <c r="F53" s="386" t="s">
        <v>109</v>
      </c>
      <c r="H53" s="213">
        <f>-I45</f>
        <v>-903978.54515999998</v>
      </c>
      <c r="I53" s="115">
        <f>-I32</f>
        <v>-421439.54549999995</v>
      </c>
      <c r="J53" s="115">
        <f>-M43</f>
        <v>-575880.18432</v>
      </c>
      <c r="K53" s="115">
        <f>-M28</f>
        <v>-249727.52479999998</v>
      </c>
      <c r="L53" s="263">
        <f>SUM(H53:K53)</f>
        <v>-2151025.79978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306404.7402200019</v>
      </c>
    </row>
    <row r="55" spans="1:21" ht="16.2" thickBot="1">
      <c r="A55" s="82" t="s">
        <v>119</v>
      </c>
      <c r="B55" s="84"/>
      <c r="C55" s="160">
        <f>SUM(C43:C54)</f>
        <v>192468.98000000231</v>
      </c>
      <c r="D55" s="36"/>
      <c r="F55" s="386" t="s">
        <v>71</v>
      </c>
      <c r="H55" s="125">
        <f>IFERROR(H52+H53+H54,0)</f>
        <v>-801970.65527799854</v>
      </c>
      <c r="I55" s="125">
        <f>I52+I53+I54</f>
        <v>1197349.4836119998</v>
      </c>
      <c r="J55" s="125">
        <f>IFERROR(J52+J53+J54,0)</f>
        <v>-511412.85420199909</v>
      </c>
      <c r="K55" s="125">
        <f>K52+K53+K54</f>
        <v>422438.76608799992</v>
      </c>
      <c r="L55" s="47">
        <f>SUM(H55:K55)</f>
        <v>306404.74022000207</v>
      </c>
    </row>
    <row r="56" spans="1:21" ht="16.8" thickTop="1" thickBot="1">
      <c r="A56" s="386" t="s">
        <v>121</v>
      </c>
      <c r="B56" s="6" t="s">
        <v>115</v>
      </c>
      <c r="C56" s="122">
        <v>-15571.41</v>
      </c>
      <c r="D56" s="36"/>
      <c r="F56" s="241" t="s">
        <v>182</v>
      </c>
      <c r="H56" s="386" t="s">
        <v>173</v>
      </c>
      <c r="I56" s="5">
        <f>SUM(H55:I55)</f>
        <v>395378.82833400124</v>
      </c>
      <c r="J56" s="15" t="s">
        <v>174</v>
      </c>
      <c r="K56" s="386">
        <f>SUM(J55:K55)</f>
        <v>-88974.088113999169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-10422.35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166475.2200000023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ERROR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2457430.5400000019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2457430.54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-2151025.79978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03" priority="7" stopIfTrue="1" operator="equal">
      <formula>0</formula>
    </cfRule>
    <cfRule type="cellIs" dxfId="602" priority="8" stopIfTrue="1" operator="notEqual">
      <formula>0</formula>
    </cfRule>
  </conditionalFormatting>
  <conditionalFormatting sqref="G34 G47 K30 K47">
    <cfRule type="cellIs" dxfId="601" priority="6" operator="notEqual">
      <formula>0</formula>
    </cfRule>
  </conditionalFormatting>
  <conditionalFormatting sqref="C62">
    <cfRule type="cellIs" dxfId="600" priority="4" stopIfTrue="1" operator="equal">
      <formula>0</formula>
    </cfRule>
    <cfRule type="cellIs" dxfId="599" priority="5" stopIfTrue="1" operator="notEqual">
      <formula>0</formula>
    </cfRule>
  </conditionalFormatting>
  <conditionalFormatting sqref="K30">
    <cfRule type="cellIs" dxfId="598" priority="3" operator="notEqual">
      <formula>0</formula>
    </cfRule>
  </conditionalFormatting>
  <conditionalFormatting sqref="G59">
    <cfRule type="cellIs" dxfId="597" priority="2" operator="equal">
      <formula>"ERROR"</formula>
    </cfRule>
  </conditionalFormatting>
  <conditionalFormatting sqref="G59">
    <cfRule type="cellIs" dxfId="59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4">
    <tabColor rgb="FF00CC66"/>
    <pageSetUpPr fitToPage="1"/>
  </sheetPr>
  <dimension ref="A1:U1484"/>
  <sheetViews>
    <sheetView showGridLines="0" topLeftCell="A31" zoomScale="70" zoomScaleNormal="70" workbookViewId="0">
      <selection activeCell="L52" sqref="L52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Aug!C1+1</f>
        <v>201609</v>
      </c>
      <c r="F1" s="534">
        <f>C1</f>
        <v>201609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f>1634.06+4449796.09</f>
        <v>4451430.1499999994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v>56829.120000000003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0.67559999999999998</v>
      </c>
      <c r="L5" s="447">
        <f>1-K5</f>
        <v>0.32440000000000002</v>
      </c>
      <c r="M5" s="387"/>
    </row>
    <row r="6" spans="1:13" ht="16.2" thickBot="1">
      <c r="A6" s="49" t="s">
        <v>30</v>
      </c>
      <c r="C6" s="315">
        <f>-2267480.4-430500-71463-123000-138375-79335-99088.8</f>
        <v>-3209242.1999999997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1299017.0699999998</v>
      </c>
      <c r="D7" s="35"/>
      <c r="F7" s="167" t="s">
        <v>139</v>
      </c>
      <c r="G7" s="167"/>
      <c r="H7" s="125">
        <f>C34</f>
        <v>2176541.8499999996</v>
      </c>
      <c r="I7" s="168">
        <f>H7*I5</f>
        <v>1537944.4712099996</v>
      </c>
      <c r="J7" s="168">
        <f>H7*J5</f>
        <v>638597.37878999987</v>
      </c>
      <c r="K7" s="168"/>
      <c r="L7" s="168"/>
      <c r="M7" s="387"/>
    </row>
    <row r="8" spans="1:13" ht="15.6">
      <c r="A8" s="386" t="s">
        <v>89</v>
      </c>
      <c r="C8" s="314">
        <v>206546.12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v>6199.49</v>
      </c>
      <c r="D9" s="36"/>
      <c r="F9" s="167" t="s">
        <v>119</v>
      </c>
      <c r="G9" s="387"/>
      <c r="H9" s="168">
        <f>C55</f>
        <v>126653.77999999747</v>
      </c>
      <c r="I9" s="168"/>
      <c r="J9" s="168"/>
      <c r="K9" s="168">
        <f>H9*K5</f>
        <v>85567.293767998286</v>
      </c>
      <c r="L9" s="168">
        <f>H9*L5</f>
        <v>41086.486231999181</v>
      </c>
      <c r="M9" s="387"/>
    </row>
    <row r="10" spans="1:13" ht="15.6">
      <c r="A10" s="49" t="s">
        <v>91</v>
      </c>
      <c r="C10" s="315">
        <v>-3278.43</v>
      </c>
      <c r="D10" s="36"/>
      <c r="F10" s="170" t="s">
        <v>44</v>
      </c>
      <c r="G10" s="387"/>
      <c r="H10" s="168">
        <f>C56</f>
        <v>-41589.449999999997</v>
      </c>
      <c r="I10" s="168"/>
      <c r="J10" s="168"/>
      <c r="K10" s="168">
        <f>H10</f>
        <v>-41589.449999999997</v>
      </c>
      <c r="L10" s="168"/>
      <c r="M10" s="387"/>
    </row>
    <row r="11" spans="1:13">
      <c r="A11" s="66" t="s">
        <v>145</v>
      </c>
      <c r="C11" s="100">
        <f>SUM(C8:C10)</f>
        <v>209467.18</v>
      </c>
      <c r="D11" s="36"/>
      <c r="F11" s="170" t="s">
        <v>45</v>
      </c>
      <c r="G11" s="387"/>
      <c r="H11" s="171">
        <f>C57</f>
        <v>-18735.29</v>
      </c>
      <c r="I11" s="168"/>
      <c r="J11" s="168"/>
      <c r="K11" s="171"/>
      <c r="L11" s="171">
        <f>H11</f>
        <v>-18735.29</v>
      </c>
      <c r="M11" s="387"/>
    </row>
    <row r="12" spans="1:13" ht="15.6">
      <c r="A12" s="386" t="s">
        <v>165</v>
      </c>
      <c r="C12" s="314">
        <f>234449.08-1916.1</f>
        <v>232532.97999999998</v>
      </c>
      <c r="D12" s="36"/>
      <c r="F12" s="170" t="s">
        <v>138</v>
      </c>
      <c r="G12" s="387"/>
      <c r="H12" s="168">
        <f>H9+H10+H11</f>
        <v>66329.039999997476</v>
      </c>
      <c r="I12" s="168"/>
      <c r="J12" s="168"/>
      <c r="K12" s="168">
        <f>SUM(K9:K11)</f>
        <v>43977.843767998289</v>
      </c>
      <c r="L12" s="168">
        <f>SUM(L9:L11)</f>
        <v>22351.19623199918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232532.97999999998</v>
      </c>
      <c r="D14" s="37"/>
      <c r="F14" s="50" t="s">
        <v>69</v>
      </c>
      <c r="G14" s="176"/>
      <c r="H14" s="125">
        <f>H12+H7</f>
        <v>2242870.8899999969</v>
      </c>
      <c r="I14" s="177">
        <f>SUM(I7:I13)</f>
        <v>1537944.4712099996</v>
      </c>
      <c r="J14" s="177">
        <f>SUM(J7:J13)</f>
        <v>638597.37878999987</v>
      </c>
      <c r="K14" s="177">
        <f>K12</f>
        <v>43977.843767998289</v>
      </c>
      <c r="L14" s="177">
        <f>L12</f>
        <v>22351.19623199918</v>
      </c>
      <c r="M14" s="387"/>
    </row>
    <row r="15" spans="1:13" ht="15.6">
      <c r="A15" s="386" t="s">
        <v>184</v>
      </c>
      <c r="C15" s="314">
        <f>441833.39-3611.03</f>
        <v>438222.36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438222.36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6055.56+198.2+62354.73</f>
        <v>68608.490000000005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v>7293.97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75902.460000000006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v>0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0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3273457</v>
      </c>
      <c r="H23" s="391">
        <v>0.12132999999999999</v>
      </c>
      <c r="I23" s="197">
        <f t="shared" ref="I23:I31" si="0">G23*H23</f>
        <v>397168.53780999995</v>
      </c>
      <c r="J23" s="201" t="s">
        <v>37</v>
      </c>
      <c r="K23" s="264">
        <v>1531464</v>
      </c>
      <c r="L23" s="391">
        <v>0.10854999999999999</v>
      </c>
      <c r="M23" s="197">
        <f>K23*L23</f>
        <v>166240.4172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/>
      <c r="H24" s="391">
        <v>0.12132999999999999</v>
      </c>
      <c r="I24" s="197">
        <f t="shared" si="0"/>
        <v>0</v>
      </c>
      <c r="J24" s="201" t="s">
        <v>38</v>
      </c>
      <c r="K24" s="264">
        <v>1101192</v>
      </c>
      <c r="L24" s="391">
        <v>0.10854999999999999</v>
      </c>
      <c r="M24" s="197">
        <f t="shared" ref="M24:M27" si="1">K24*L24</f>
        <v>119534.39159999999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1854848</v>
      </c>
      <c r="H25" s="391">
        <v>0.11426</v>
      </c>
      <c r="I25" s="197">
        <f t="shared" si="0"/>
        <v>211934.93247999999</v>
      </c>
      <c r="J25" s="201" t="s">
        <v>39</v>
      </c>
      <c r="K25" s="264">
        <v>26734</v>
      </c>
      <c r="L25" s="391">
        <v>0.10854999999999999</v>
      </c>
      <c r="M25" s="197">
        <f t="shared" si="1"/>
        <v>2901.9757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336073</v>
      </c>
      <c r="H27" s="391">
        <v>0.10385</v>
      </c>
      <c r="I27" s="197">
        <f t="shared" si="0"/>
        <v>34901.181049999999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29790</v>
      </c>
      <c r="H28" s="391">
        <v>0.10385</v>
      </c>
      <c r="I28" s="197">
        <f t="shared" si="0"/>
        <v>3093.6914999999999</v>
      </c>
      <c r="J28" s="200" t="s">
        <v>127</v>
      </c>
      <c r="K28" s="182">
        <f>SUM(K23:K27)</f>
        <v>2659390</v>
      </c>
      <c r="L28" s="183"/>
      <c r="M28" s="198">
        <f>SUM(M23:M27)</f>
        <v>288676.78450000001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2659390</v>
      </c>
      <c r="L29" s="188" t="s">
        <v>102</v>
      </c>
      <c r="M29" s="467">
        <f>M28/K28</f>
        <v>0.10855000000000001</v>
      </c>
    </row>
    <row r="30" spans="1:13" ht="16.2" thickBot="1">
      <c r="A30" s="2" t="s">
        <v>111</v>
      </c>
      <c r="C30" s="125">
        <f>C7+C11+C14+C17+C20+C22+C27+C28+C29</f>
        <v>2255142.0499999998</v>
      </c>
      <c r="D30" s="37"/>
      <c r="F30" s="201" t="s">
        <v>43</v>
      </c>
      <c r="G30" s="264">
        <v>45470</v>
      </c>
      <c r="H30" s="391">
        <v>7.1069999999999994E-2</v>
      </c>
      <c r="I30" s="197">
        <f t="shared" si="0"/>
        <v>3231.5528999999997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-8277.6200000000008</v>
      </c>
      <c r="D31" s="39"/>
      <c r="F31" s="201" t="s">
        <v>74</v>
      </c>
      <c r="G31" s="264">
        <v>1945064</v>
      </c>
      <c r="H31" s="391">
        <v>5.4000000000000001E-4</v>
      </c>
      <c r="I31" s="197">
        <f t="shared" si="0"/>
        <v>1050.33456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2246864.4299999997</v>
      </c>
      <c r="D32" s="40"/>
      <c r="F32" s="200" t="s">
        <v>127</v>
      </c>
      <c r="G32" s="182">
        <f>SUM(G23:G31)</f>
        <v>7484702</v>
      </c>
      <c r="H32" s="7"/>
      <c r="I32" s="198">
        <f>SUM(I23:I31)</f>
        <v>651380.23029999994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-70322.58</v>
      </c>
      <c r="D33" s="36"/>
      <c r="F33" s="187"/>
      <c r="G33" s="232">
        <v>7484702</v>
      </c>
      <c r="H33" s="188" t="s">
        <v>102</v>
      </c>
      <c r="I33" s="217">
        <f>I32/G32</f>
        <v>8.7028211717714341E-2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2176541.8499999996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1531464</v>
      </c>
      <c r="L36" s="391">
        <v>0.25031999999999999</v>
      </c>
      <c r="M36" s="197">
        <f t="shared" ref="M36:M42" si="2">K36*L36</f>
        <v>383356.06847999996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15151123.779999999</v>
      </c>
      <c r="D37" s="36"/>
      <c r="F37" s="201" t="s">
        <v>37</v>
      </c>
      <c r="G37" s="265">
        <f>G23</f>
        <v>3273457</v>
      </c>
      <c r="H37" s="391">
        <v>0.25030999999999998</v>
      </c>
      <c r="I37" s="197">
        <f t="shared" ref="I37:I44" si="3">G37*H37</f>
        <v>819379.02166999993</v>
      </c>
      <c r="J37" s="201" t="s">
        <v>38</v>
      </c>
      <c r="K37" s="265">
        <f>K24</f>
        <v>1101192</v>
      </c>
      <c r="L37" s="391">
        <v>0.25031999999999999</v>
      </c>
      <c r="M37" s="197">
        <f t="shared" si="2"/>
        <v>275650.38143999997</v>
      </c>
      <c r="P37" s="275"/>
      <c r="Q37" s="275"/>
    </row>
    <row r="38" spans="1:17" ht="15.6">
      <c r="A38" s="144" t="s">
        <v>14</v>
      </c>
      <c r="B38" s="540" t="s">
        <v>115</v>
      </c>
      <c r="C38" s="574">
        <v>-8649.6</v>
      </c>
      <c r="D38" s="36"/>
      <c r="F38" s="201" t="s">
        <v>332</v>
      </c>
      <c r="G38" s="265">
        <f>G24</f>
        <v>0</v>
      </c>
      <c r="H38" s="391">
        <v>0.25030999999999998</v>
      </c>
      <c r="I38" s="197">
        <f t="shared" si="3"/>
        <v>0</v>
      </c>
      <c r="J38" s="201" t="s">
        <v>39</v>
      </c>
      <c r="K38" s="265">
        <f>K25</f>
        <v>26734</v>
      </c>
      <c r="L38" s="391">
        <v>0.25031999999999999</v>
      </c>
      <c r="M38" s="197">
        <f t="shared" si="2"/>
        <v>6692.0548799999997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-12929.22</v>
      </c>
      <c r="D39" s="36"/>
      <c r="F39" s="201" t="s">
        <v>38</v>
      </c>
      <c r="G39" s="265">
        <f t="shared" ref="G39:G44" si="4">G25</f>
        <v>1854848</v>
      </c>
      <c r="H39" s="391">
        <v>0.25030999999999998</v>
      </c>
      <c r="I39" s="197">
        <f t="shared" si="3"/>
        <v>464287.00287999999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-658912.5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23621.03</v>
      </c>
      <c r="D41" s="36"/>
      <c r="F41" s="201" t="s">
        <v>40</v>
      </c>
      <c r="G41" s="265">
        <f t="shared" si="4"/>
        <v>336073</v>
      </c>
      <c r="H41" s="391">
        <v>0.25030999999999998</v>
      </c>
      <c r="I41" s="197">
        <f t="shared" si="3"/>
        <v>84122.432629999996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564405.82999999996</v>
      </c>
      <c r="D42" s="37"/>
      <c r="F42" s="201" t="s">
        <v>41</v>
      </c>
      <c r="G42" s="265">
        <f t="shared" si="4"/>
        <v>29790</v>
      </c>
      <c r="H42" s="391">
        <v>0.25030999999999998</v>
      </c>
      <c r="I42" s="197">
        <f t="shared" si="3"/>
        <v>7456.7348999999995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15058659.319999998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2659390</v>
      </c>
      <c r="L43" s="183"/>
      <c r="M43" s="198">
        <f>SUM(M36:M42)</f>
        <v>665698.50479999988</v>
      </c>
    </row>
    <row r="44" spans="1:17" ht="16.2" thickBot="1">
      <c r="A44" s="83" t="s">
        <v>178</v>
      </c>
      <c r="B44" s="84" t="s">
        <v>120</v>
      </c>
      <c r="C44" s="242">
        <f>393240.98-3284312.08</f>
        <v>-2891071.1</v>
      </c>
      <c r="D44" s="37"/>
      <c r="F44" s="201" t="s">
        <v>43</v>
      </c>
      <c r="G44" s="265">
        <f t="shared" si="4"/>
        <v>45470</v>
      </c>
      <c r="H44" s="391">
        <v>0.25030999999999998</v>
      </c>
      <c r="I44" s="197">
        <f t="shared" si="3"/>
        <v>11381.5957</v>
      </c>
      <c r="J44" s="195"/>
      <c r="K44" s="233">
        <v>2659390</v>
      </c>
      <c r="L44" s="190" t="s">
        <v>102</v>
      </c>
      <c r="M44" s="218">
        <f>M43/K43</f>
        <v>0.25031999999999993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5539638</v>
      </c>
      <c r="H45" s="183"/>
      <c r="I45" s="198">
        <f>SUM(I37:I44)</f>
        <v>1386626.7877799999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5539638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101489.21</v>
      </c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330</v>
      </c>
      <c r="B48" s="6" t="s">
        <v>115</v>
      </c>
      <c r="C48" s="122">
        <v>5000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30712.11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175</v>
      </c>
      <c r="B50" s="540" t="s">
        <v>152</v>
      </c>
      <c r="C50" s="122">
        <v>1242.54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7080.54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70322.58</v>
      </c>
      <c r="D52" s="33"/>
      <c r="F52" s="387" t="s">
        <v>136</v>
      </c>
      <c r="G52" s="387"/>
      <c r="H52" s="213">
        <f>K12</f>
        <v>43977.843767998289</v>
      </c>
      <c r="I52" s="115">
        <f>I14</f>
        <v>1537944.4712099996</v>
      </c>
      <c r="J52" s="115">
        <f>L12</f>
        <v>22351.19623199918</v>
      </c>
      <c r="K52" s="115">
        <f>J14</f>
        <v>638597.37878999987</v>
      </c>
      <c r="L52" s="132">
        <f>SUM(H52:K52)</f>
        <v>2242870.8899999969</v>
      </c>
      <c r="M52" s="387"/>
    </row>
    <row r="53" spans="1:21" ht="16.2" thickBot="1">
      <c r="A53" s="384" t="s">
        <v>124</v>
      </c>
      <c r="B53" s="475" t="s">
        <v>316</v>
      </c>
      <c r="C53" s="314">
        <v>-11881781.42</v>
      </c>
      <c r="D53" s="36"/>
      <c r="F53" s="386" t="s">
        <v>109</v>
      </c>
      <c r="H53" s="213">
        <f>-I45</f>
        <v>-1386626.7877799999</v>
      </c>
      <c r="I53" s="115">
        <f>-I32</f>
        <v>-651380.23029999994</v>
      </c>
      <c r="J53" s="115">
        <f>-M43</f>
        <v>-665698.50479999988</v>
      </c>
      <c r="K53" s="115">
        <f>-M28</f>
        <v>-288676.78450000001</v>
      </c>
      <c r="L53" s="263">
        <f>SUM(H53:K53)</f>
        <v>-2992382.3073799997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-749511.41738000279</v>
      </c>
    </row>
    <row r="55" spans="1:21" ht="16.2" thickBot="1">
      <c r="A55" s="82" t="s">
        <v>119</v>
      </c>
      <c r="B55" s="84"/>
      <c r="C55" s="160">
        <f>SUM(C43:C54)</f>
        <v>126653.77999999747</v>
      </c>
      <c r="D55" s="36"/>
      <c r="F55" s="386" t="s">
        <v>71</v>
      </c>
      <c r="H55" s="125">
        <f>IFERROR(H52+H53+H54,0)</f>
        <v>-1342648.9440120016</v>
      </c>
      <c r="I55" s="125">
        <f>I52+I53+I54</f>
        <v>886564.2409099997</v>
      </c>
      <c r="J55" s="125">
        <f>IFERROR(J52+J53+J54,0)</f>
        <v>-643347.30856800068</v>
      </c>
      <c r="K55" s="125">
        <f>K52+K53+K54</f>
        <v>349920.59428999986</v>
      </c>
      <c r="L55" s="47">
        <f>SUM(H55:K55)</f>
        <v>-749511.41738000279</v>
      </c>
    </row>
    <row r="56" spans="1:21" ht="16.8" thickTop="1" thickBot="1">
      <c r="A56" s="386" t="s">
        <v>121</v>
      </c>
      <c r="B56" s="6" t="s">
        <v>115</v>
      </c>
      <c r="C56" s="122">
        <v>-41589.449999999997</v>
      </c>
      <c r="D56" s="36"/>
      <c r="F56" s="241" t="s">
        <v>182</v>
      </c>
      <c r="H56" s="386" t="s">
        <v>173</v>
      </c>
      <c r="I56" s="5">
        <f>SUM(H55:I55)</f>
        <v>-456084.70310200192</v>
      </c>
      <c r="J56" s="15" t="s">
        <v>174</v>
      </c>
      <c r="K56" s="386">
        <f>SUM(J55:K55)</f>
        <v>-293426.71427800081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-18735.29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66329.039999997476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2242870.8899999969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2242870.89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-2992382.3073799997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595" priority="7" stopIfTrue="1" operator="equal">
      <formula>0</formula>
    </cfRule>
    <cfRule type="cellIs" dxfId="594" priority="8" stopIfTrue="1" operator="notEqual">
      <formula>0</formula>
    </cfRule>
  </conditionalFormatting>
  <conditionalFormatting sqref="G34 G47 K30 K47">
    <cfRule type="cellIs" dxfId="593" priority="6" operator="notEqual">
      <formula>0</formula>
    </cfRule>
  </conditionalFormatting>
  <conditionalFormatting sqref="C62">
    <cfRule type="cellIs" dxfId="592" priority="4" stopIfTrue="1" operator="equal">
      <formula>0</formula>
    </cfRule>
    <cfRule type="cellIs" dxfId="591" priority="5" stopIfTrue="1" operator="notEqual">
      <formula>0</formula>
    </cfRule>
  </conditionalFormatting>
  <conditionalFormatting sqref="K30">
    <cfRule type="cellIs" dxfId="590" priority="3" operator="notEqual">
      <formula>0</formula>
    </cfRule>
  </conditionalFormatting>
  <conditionalFormatting sqref="G59">
    <cfRule type="cellIs" dxfId="589" priority="2" operator="equal">
      <formula>"ERROR"</formula>
    </cfRule>
  </conditionalFormatting>
  <conditionalFormatting sqref="G59">
    <cfRule type="cellIs" dxfId="588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5">
    <tabColor rgb="FF00CC66"/>
    <pageSetUpPr fitToPage="1"/>
  </sheetPr>
  <dimension ref="A1:U1484"/>
  <sheetViews>
    <sheetView showGridLines="0" topLeftCell="A31" zoomScale="70" zoomScaleNormal="70" workbookViewId="0">
      <selection activeCell="K59" sqref="K59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Sep!C1+1</f>
        <v>201610</v>
      </c>
      <c r="F1" s="534">
        <f>C1</f>
        <v>201610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f>4598122.63+1688.63</f>
        <v>4599811.26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f>44767.49-143.02</f>
        <v>44624.47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0.66890000000000005</v>
      </c>
      <c r="L5" s="447">
        <f>1-K5</f>
        <v>0.33109999999999995</v>
      </c>
      <c r="M5" s="387"/>
    </row>
    <row r="6" spans="1:13" ht="16.2" thickBot="1">
      <c r="A6" s="49" t="s">
        <v>30</v>
      </c>
      <c r="C6" s="315">
        <f>-2343063.08-444850-73845.1-127100-142987.5-81979.5-102391.76</f>
        <v>-3316216.94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1328218.7899999996</v>
      </c>
      <c r="D7" s="35"/>
      <c r="F7" s="167" t="s">
        <v>139</v>
      </c>
      <c r="G7" s="167"/>
      <c r="H7" s="125">
        <f>C34</f>
        <v>2337538.9699999997</v>
      </c>
      <c r="I7" s="168">
        <f>H7*I5</f>
        <v>1651705.0362019998</v>
      </c>
      <c r="J7" s="168">
        <f>H7*J5</f>
        <v>685833.93379799987</v>
      </c>
      <c r="K7" s="168"/>
      <c r="L7" s="168"/>
      <c r="M7" s="387"/>
    </row>
    <row r="8" spans="1:13" ht="15.6">
      <c r="A8" s="386" t="s">
        <v>89</v>
      </c>
      <c r="C8" s="314">
        <v>281655.98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v>8037.42</v>
      </c>
      <c r="D9" s="36"/>
      <c r="F9" s="167" t="s">
        <v>119</v>
      </c>
      <c r="G9" s="387"/>
      <c r="H9" s="168">
        <f>C55</f>
        <v>1804420.5300000003</v>
      </c>
      <c r="I9" s="168"/>
      <c r="J9" s="168"/>
      <c r="K9" s="168">
        <f>H9*K5</f>
        <v>1206976.8925170002</v>
      </c>
      <c r="L9" s="168">
        <f>H9*L5</f>
        <v>597443.63748299994</v>
      </c>
      <c r="M9" s="387"/>
    </row>
    <row r="10" spans="1:13" ht="15.6">
      <c r="A10" s="49" t="s">
        <v>91</v>
      </c>
      <c r="C10" s="315">
        <v>-3387.71</v>
      </c>
      <c r="D10" s="36"/>
      <c r="F10" s="170" t="s">
        <v>44</v>
      </c>
      <c r="G10" s="387"/>
      <c r="H10" s="168">
        <f>C56</f>
        <v>-6137.78</v>
      </c>
      <c r="I10" s="168"/>
      <c r="J10" s="168"/>
      <c r="K10" s="168">
        <f>H10</f>
        <v>-6137.78</v>
      </c>
      <c r="L10" s="168"/>
      <c r="M10" s="387"/>
    </row>
    <row r="11" spans="1:13">
      <c r="A11" s="66" t="s">
        <v>145</v>
      </c>
      <c r="C11" s="100">
        <f>SUM(C8:C10)</f>
        <v>286305.68999999994</v>
      </c>
      <c r="D11" s="36"/>
      <c r="F11" s="170" t="s">
        <v>45</v>
      </c>
      <c r="G11" s="387"/>
      <c r="H11" s="171">
        <f>C57</f>
        <v>-2155.16</v>
      </c>
      <c r="I11" s="168"/>
      <c r="J11" s="168"/>
      <c r="K11" s="171"/>
      <c r="L11" s="171">
        <f>H11</f>
        <v>-2155.16</v>
      </c>
      <c r="M11" s="387"/>
    </row>
    <row r="12" spans="1:13" ht="15.6">
      <c r="A12" s="386" t="s">
        <v>165</v>
      </c>
      <c r="C12" s="314">
        <f>239811.67+4490.47</f>
        <v>244302.14</v>
      </c>
      <c r="D12" s="36"/>
      <c r="F12" s="170" t="s">
        <v>138</v>
      </c>
      <c r="G12" s="387"/>
      <c r="H12" s="168">
        <f>H9+H10+H11</f>
        <v>1796127.5900000003</v>
      </c>
      <c r="I12" s="168"/>
      <c r="J12" s="168"/>
      <c r="K12" s="168">
        <f>SUM(K9:K11)</f>
        <v>1200839.1125170002</v>
      </c>
      <c r="L12" s="168">
        <f>SUM(L9:L11)</f>
        <v>595288.47748299991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244302.14</v>
      </c>
      <c r="D14" s="37"/>
      <c r="F14" s="50" t="s">
        <v>69</v>
      </c>
      <c r="G14" s="176"/>
      <c r="H14" s="125">
        <f>H12+H7</f>
        <v>4133666.56</v>
      </c>
      <c r="I14" s="177">
        <f>SUM(I7:I13)</f>
        <v>1651705.0362019998</v>
      </c>
      <c r="J14" s="177">
        <f>SUM(J7:J13)</f>
        <v>685833.93379799987</v>
      </c>
      <c r="K14" s="177">
        <f>K12</f>
        <v>1200839.1125170002</v>
      </c>
      <c r="L14" s="177">
        <f>L12</f>
        <v>595288.47748299991</v>
      </c>
      <c r="M14" s="387"/>
    </row>
    <row r="15" spans="1:13" ht="15.6">
      <c r="A15" s="386" t="s">
        <v>184</v>
      </c>
      <c r="C15" s="314">
        <f>451939.51+8462.55</f>
        <v>460402.06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460402.06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6194.07+1329.5+63780.98</f>
        <v>71304.55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v>1110.82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72415.37000000001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f>670.05+7647.18</f>
        <v>8317.23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8317.23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4833518</v>
      </c>
      <c r="H23" s="391">
        <v>0.12132999999999999</v>
      </c>
      <c r="I23" s="197">
        <f t="shared" ref="I23:I31" si="0">G23*H23</f>
        <v>586450.73893999995</v>
      </c>
      <c r="J23" s="201" t="s">
        <v>37</v>
      </c>
      <c r="K23" s="264">
        <v>2476612</v>
      </c>
      <c r="L23" s="391">
        <v>0.10854999999999999</v>
      </c>
      <c r="M23" s="197">
        <f>K23*L23</f>
        <v>268836.23259999999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>
        <v>425</v>
      </c>
      <c r="H24" s="391">
        <v>0.12132999999999999</v>
      </c>
      <c r="I24" s="197">
        <f t="shared" si="0"/>
        <v>51.565249999999999</v>
      </c>
      <c r="J24" s="201" t="s">
        <v>38</v>
      </c>
      <c r="K24" s="264">
        <v>1392647</v>
      </c>
      <c r="L24" s="391">
        <v>0.10854999999999999</v>
      </c>
      <c r="M24" s="197">
        <f t="shared" ref="M24:M27" si="1">K24*L24</f>
        <v>151171.83184999999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2624293</v>
      </c>
      <c r="H25" s="391">
        <v>0.11426</v>
      </c>
      <c r="I25" s="197">
        <f t="shared" si="0"/>
        <v>299851.71818000003</v>
      </c>
      <c r="J25" s="201" t="s">
        <v>39</v>
      </c>
      <c r="K25" s="264">
        <v>68934</v>
      </c>
      <c r="L25" s="391">
        <v>0.10854999999999999</v>
      </c>
      <c r="M25" s="197">
        <f t="shared" si="1"/>
        <v>7482.7856999999995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365802</v>
      </c>
      <c r="H27" s="391">
        <v>0.10385</v>
      </c>
      <c r="I27" s="197">
        <f t="shared" si="0"/>
        <v>37988.537700000001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36487</v>
      </c>
      <c r="H28" s="391">
        <v>0.10385</v>
      </c>
      <c r="I28" s="197">
        <f t="shared" si="0"/>
        <v>3789.1749500000001</v>
      </c>
      <c r="J28" s="200" t="s">
        <v>127</v>
      </c>
      <c r="K28" s="182">
        <f>SUM(K23:K27)</f>
        <v>3938193</v>
      </c>
      <c r="L28" s="183"/>
      <c r="M28" s="198">
        <f>SUM(M23:M27)</f>
        <v>427490.85014999995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3938193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2399961.2799999998</v>
      </c>
      <c r="D30" s="37"/>
      <c r="F30" s="201" t="s">
        <v>43</v>
      </c>
      <c r="G30" s="264">
        <v>96224</v>
      </c>
      <c r="H30" s="391">
        <v>7.1069999999999994E-2</v>
      </c>
      <c r="I30" s="197">
        <f t="shared" si="0"/>
        <v>6838.6396799999993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576">
        <v>-8649.6</v>
      </c>
      <c r="D31" s="39"/>
      <c r="F31" s="201" t="s">
        <v>74</v>
      </c>
      <c r="G31" s="264">
        <v>2201297</v>
      </c>
      <c r="H31" s="391">
        <v>5.4000000000000001E-4</v>
      </c>
      <c r="I31" s="197">
        <f t="shared" si="0"/>
        <v>1188.70038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2391311.6799999997</v>
      </c>
      <c r="D32" s="40"/>
      <c r="F32" s="200" t="s">
        <v>127</v>
      </c>
      <c r="G32" s="182">
        <f>SUM(G23:G31)</f>
        <v>10158046</v>
      </c>
      <c r="H32" s="7"/>
      <c r="I32" s="198">
        <f>SUM(I23:I31)</f>
        <v>936159.07507999998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-53772.71</v>
      </c>
      <c r="D33" s="36"/>
      <c r="F33" s="187"/>
      <c r="G33" s="232">
        <f>10157621+425</f>
        <v>10158046</v>
      </c>
      <c r="H33" s="188" t="s">
        <v>102</v>
      </c>
      <c r="I33" s="217">
        <f>I32/G32</f>
        <v>9.2159365598462537E-2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2337538.9699999997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2476612</v>
      </c>
      <c r="L36" s="391">
        <v>0.25031999999999999</v>
      </c>
      <c r="M36" s="197">
        <f t="shared" ref="M36:M42" si="2">K36*L36</f>
        <v>619945.51584000001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9907536.0800000001</v>
      </c>
      <c r="D37" s="36"/>
      <c r="F37" s="201" t="s">
        <v>37</v>
      </c>
      <c r="G37" s="265">
        <f>G23</f>
        <v>4833518</v>
      </c>
      <c r="H37" s="391">
        <v>0.25030999999999998</v>
      </c>
      <c r="I37" s="197">
        <f t="shared" ref="I37:I44" si="3">G37*H37</f>
        <v>1209877.8905799999</v>
      </c>
      <c r="J37" s="201" t="s">
        <v>38</v>
      </c>
      <c r="K37" s="265">
        <f>K24</f>
        <v>1392647</v>
      </c>
      <c r="L37" s="391">
        <v>0.25031999999999999</v>
      </c>
      <c r="M37" s="197">
        <f t="shared" si="2"/>
        <v>348607.39704000001</v>
      </c>
      <c r="P37" s="275"/>
      <c r="Q37" s="275"/>
    </row>
    <row r="38" spans="1:17" ht="15.6">
      <c r="A38" s="144" t="s">
        <v>14</v>
      </c>
      <c r="B38" s="540" t="s">
        <v>115</v>
      </c>
      <c r="C38" s="576">
        <v>8649.6</v>
      </c>
      <c r="D38" s="36"/>
      <c r="F38" s="201" t="s">
        <v>332</v>
      </c>
      <c r="G38" s="265">
        <f>G24</f>
        <v>425</v>
      </c>
      <c r="H38" s="391">
        <v>0.25030999999999998</v>
      </c>
      <c r="I38" s="197">
        <f t="shared" si="3"/>
        <v>106.38175</v>
      </c>
      <c r="J38" s="201" t="s">
        <v>39</v>
      </c>
      <c r="K38" s="265">
        <f>K25</f>
        <v>68934</v>
      </c>
      <c r="L38" s="391">
        <v>0.25031999999999999</v>
      </c>
      <c r="M38" s="197">
        <f t="shared" si="2"/>
        <v>17255.55888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-21312.5</v>
      </c>
      <c r="D39" s="36"/>
      <c r="F39" s="201" t="s">
        <v>38</v>
      </c>
      <c r="G39" s="265">
        <f t="shared" ref="G39:G44" si="4">G25</f>
        <v>2624293</v>
      </c>
      <c r="H39" s="391">
        <v>0.25030999999999998</v>
      </c>
      <c r="I39" s="197">
        <f t="shared" si="3"/>
        <v>656886.78082999995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-116284.88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-68065.13</v>
      </c>
      <c r="D41" s="36"/>
      <c r="F41" s="201" t="s">
        <v>40</v>
      </c>
      <c r="G41" s="265">
        <f t="shared" si="4"/>
        <v>365802</v>
      </c>
      <c r="H41" s="391">
        <v>0.25030999999999998</v>
      </c>
      <c r="I41" s="197">
        <f t="shared" si="3"/>
        <v>91563.898619999993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642575.43000000005</v>
      </c>
      <c r="D42" s="37"/>
      <c r="F42" s="201" t="s">
        <v>41</v>
      </c>
      <c r="G42" s="265">
        <f t="shared" si="4"/>
        <v>36487</v>
      </c>
      <c r="H42" s="391">
        <v>0.25030999999999998</v>
      </c>
      <c r="I42" s="197">
        <f t="shared" si="3"/>
        <v>9133.0609699999986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10353098.599999998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3938193</v>
      </c>
      <c r="L43" s="183"/>
      <c r="M43" s="198">
        <f>SUM(M36:M42)</f>
        <v>985808.47175999999</v>
      </c>
    </row>
    <row r="44" spans="1:17" ht="16.2" thickBot="1">
      <c r="A44" s="83" t="s">
        <v>178</v>
      </c>
      <c r="B44" s="84" t="s">
        <v>120</v>
      </c>
      <c r="C44" s="122">
        <f>231476.11-508223.45</f>
        <v>-276747.34000000003</v>
      </c>
      <c r="D44" s="37"/>
      <c r="F44" s="201" t="s">
        <v>43</v>
      </c>
      <c r="G44" s="265">
        <f t="shared" si="4"/>
        <v>96224</v>
      </c>
      <c r="H44" s="391">
        <v>0.25030999999999998</v>
      </c>
      <c r="I44" s="197">
        <f t="shared" si="3"/>
        <v>24085.829439999998</v>
      </c>
      <c r="J44" s="195"/>
      <c r="K44" s="233">
        <v>3938193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7956749</v>
      </c>
      <c r="H45" s="183"/>
      <c r="I45" s="198">
        <f>SUM(I37:I44)</f>
        <v>1991653.8421899998</v>
      </c>
      <c r="J45" s="124"/>
      <c r="K45" s="231">
        <f>K43-K44</f>
        <v>0</v>
      </c>
      <c r="L45" s="387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7956749</v>
      </c>
      <c r="H46" s="190" t="s">
        <v>102</v>
      </c>
      <c r="I46" s="216">
        <f>I45/G45</f>
        <v>0.25030999999999998</v>
      </c>
      <c r="J46" s="124"/>
      <c r="K46" s="114"/>
      <c r="L46" s="387"/>
      <c r="M46" s="68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114"/>
      <c r="L47" s="387"/>
      <c r="M47" s="68"/>
    </row>
    <row r="48" spans="1:17" ht="16.2" thickBot="1">
      <c r="A48" s="144" t="s">
        <v>330</v>
      </c>
      <c r="B48" s="6" t="s">
        <v>115</v>
      </c>
      <c r="C48" s="122">
        <v>5000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35750.39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122">
        <v>7282.47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4309.91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577">
        <f>-C33</f>
        <v>53772.71</v>
      </c>
      <c r="D52" s="33"/>
      <c r="F52" s="387" t="s">
        <v>136</v>
      </c>
      <c r="G52" s="387"/>
      <c r="H52" s="213">
        <f>K12</f>
        <v>1200839.1125170002</v>
      </c>
      <c r="I52" s="115">
        <f>I14</f>
        <v>1651705.0362019998</v>
      </c>
      <c r="J52" s="115">
        <f>L12</f>
        <v>595288.47748299991</v>
      </c>
      <c r="K52" s="115">
        <f>J14</f>
        <v>685833.93379799987</v>
      </c>
      <c r="L52" s="132">
        <f>SUM(H52:K52)</f>
        <v>4133666.5599999991</v>
      </c>
      <c r="M52" s="387"/>
    </row>
    <row r="53" spans="1:21" ht="16.2" thickBot="1">
      <c r="A53" s="384" t="s">
        <v>124</v>
      </c>
      <c r="B53" s="475" t="s">
        <v>316</v>
      </c>
      <c r="C53" s="314">
        <f>-3352069.43+205388.18-4856364.96</f>
        <v>-8003046.21</v>
      </c>
      <c r="D53" s="36"/>
      <c r="F53" s="386" t="s">
        <v>109</v>
      </c>
      <c r="H53" s="213">
        <f>-I45</f>
        <v>-1991653.8421899998</v>
      </c>
      <c r="I53" s="115">
        <f>-I32</f>
        <v>-936159.07507999998</v>
      </c>
      <c r="J53" s="115">
        <f>-M43</f>
        <v>-985808.47175999999</v>
      </c>
      <c r="K53" s="115">
        <f>-M28</f>
        <v>-427490.85014999995</v>
      </c>
      <c r="L53" s="263">
        <f>SUM(H53:K53)</f>
        <v>-4341112.2391799996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-207445.67918000044</v>
      </c>
    </row>
    <row r="55" spans="1:21" ht="16.2" thickBot="1">
      <c r="A55" s="82" t="s">
        <v>119</v>
      </c>
      <c r="B55" s="84"/>
      <c r="C55" s="160">
        <f>SUM(C43:C54)</f>
        <v>1804420.5300000003</v>
      </c>
      <c r="D55" s="36"/>
      <c r="F55" s="386" t="s">
        <v>71</v>
      </c>
      <c r="H55" s="125">
        <f>IFERROR(H52+H53+H54,0)</f>
        <v>-790814.72967299959</v>
      </c>
      <c r="I55" s="125">
        <f>I52+I53+I54</f>
        <v>715545.96112199978</v>
      </c>
      <c r="J55" s="125">
        <f>IFERROR(J52+J53+J54,0)</f>
        <v>-390519.99427700008</v>
      </c>
      <c r="K55" s="125">
        <f>K52+K53+K54</f>
        <v>258343.08364799991</v>
      </c>
      <c r="L55" s="47">
        <f>SUM(H55:K55)</f>
        <v>-207445.67917999998</v>
      </c>
    </row>
    <row r="56" spans="1:21" ht="16.8" thickTop="1" thickBot="1">
      <c r="A56" s="386" t="s">
        <v>121</v>
      </c>
      <c r="B56" s="6" t="s">
        <v>115</v>
      </c>
      <c r="C56" s="122">
        <v>-6137.78</v>
      </c>
      <c r="D56" s="36"/>
      <c r="F56" s="241" t="s">
        <v>182</v>
      </c>
      <c r="H56" s="386" t="s">
        <v>173</v>
      </c>
      <c r="I56" s="5">
        <f>SUM(H55:I55)</f>
        <v>-75268.768550999812</v>
      </c>
      <c r="J56" s="15" t="s">
        <v>174</v>
      </c>
      <c r="K56" s="386">
        <f>SUM(J55:K55)</f>
        <v>-132176.91062900017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-2155.16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1796127.5900000003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3"/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4133666.56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4133666.56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-4341112.2391799996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P62" s="21"/>
    </row>
    <row r="63" spans="1:21" ht="15.6">
      <c r="A63" s="44"/>
      <c r="C63" s="353"/>
      <c r="D63" s="36"/>
      <c r="N63" s="5"/>
      <c r="O63" s="5"/>
      <c r="S63" s="6"/>
    </row>
    <row r="64" spans="1:21" ht="15.6">
      <c r="A64" s="44"/>
      <c r="C64" s="8"/>
      <c r="D64" s="43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I66" s="96">
        <f>I45/(I45+M43)</f>
        <v>0.66890984072534099</v>
      </c>
      <c r="N66" s="22"/>
      <c r="S66" s="24"/>
    </row>
    <row r="67" spans="1:21">
      <c r="D67" s="36"/>
      <c r="I67" s="96">
        <f>K14/(K14+L14)</f>
        <v>0.66857116343110135</v>
      </c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  <c r="N71" s="22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587" priority="7" stopIfTrue="1" operator="equal">
      <formula>0</formula>
    </cfRule>
    <cfRule type="cellIs" dxfId="586" priority="8" stopIfTrue="1" operator="notEqual">
      <formula>0</formula>
    </cfRule>
  </conditionalFormatting>
  <conditionalFormatting sqref="G34 G47 K30 K45">
    <cfRule type="cellIs" dxfId="585" priority="6" operator="notEqual">
      <formula>0</formula>
    </cfRule>
  </conditionalFormatting>
  <conditionalFormatting sqref="C62">
    <cfRule type="cellIs" dxfId="584" priority="4" stopIfTrue="1" operator="equal">
      <formula>0</formula>
    </cfRule>
    <cfRule type="cellIs" dxfId="583" priority="5" stopIfTrue="1" operator="notEqual">
      <formula>0</formula>
    </cfRule>
  </conditionalFormatting>
  <conditionalFormatting sqref="K30">
    <cfRule type="cellIs" dxfId="582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rgb="FF00CC66"/>
    <pageSetUpPr fitToPage="1"/>
  </sheetPr>
  <dimension ref="A1:U1484"/>
  <sheetViews>
    <sheetView showGridLines="0" topLeftCell="A34" zoomScale="70" zoomScaleNormal="70" workbookViewId="0">
      <selection activeCell="I8" sqref="I8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Oct!C1+1</f>
        <v>201611</v>
      </c>
      <c r="F1" s="534">
        <f>C1</f>
        <v>201611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v>4449796.09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f>100181.99+175.75</f>
        <v>100357.74</v>
      </c>
      <c r="D5" s="34"/>
      <c r="F5" s="387"/>
      <c r="G5" s="387"/>
      <c r="H5" s="11"/>
      <c r="I5" s="166">
        <v>0.70660000000000001</v>
      </c>
      <c r="J5" s="166">
        <v>0.29339999999999999</v>
      </c>
      <c r="K5" s="447">
        <f>ROUND(G45/(G45+K43),4)</f>
        <v>0.69059999999999999</v>
      </c>
      <c r="L5" s="447">
        <f>1-K5</f>
        <v>0.30940000000000001</v>
      </c>
      <c r="M5" s="387"/>
    </row>
    <row r="6" spans="1:13" ht="16.2" thickBot="1">
      <c r="A6" s="49" t="s">
        <v>30</v>
      </c>
      <c r="C6" s="315">
        <f>-2267480.4-430500-71463-123000-138375-79335-99088.8</f>
        <v>-3209242.1999999997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1340911.6300000004</v>
      </c>
      <c r="D7" s="35"/>
      <c r="F7" s="167" t="s">
        <v>139</v>
      </c>
      <c r="G7" s="167"/>
      <c r="H7" s="125">
        <f>C34</f>
        <v>2156520.35</v>
      </c>
      <c r="I7" s="168">
        <f>H7*I5</f>
        <v>1523797.2793100001</v>
      </c>
      <c r="J7" s="168">
        <f>H7*J5</f>
        <v>632723.07068999996</v>
      </c>
      <c r="K7" s="168"/>
      <c r="L7" s="168"/>
      <c r="M7" s="387"/>
    </row>
    <row r="8" spans="1:13" ht="15.6">
      <c r="A8" s="386" t="s">
        <v>89</v>
      </c>
      <c r="C8" s="314">
        <v>272570.3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v>8344.19</v>
      </c>
      <c r="D9" s="36"/>
      <c r="F9" s="167" t="s">
        <v>119</v>
      </c>
      <c r="G9" s="387"/>
      <c r="H9" s="168">
        <f>C55</f>
        <v>7032232.5000000019</v>
      </c>
      <c r="I9" s="168"/>
      <c r="J9" s="168"/>
      <c r="K9" s="168">
        <f>H9*K5</f>
        <v>4856459.7645000014</v>
      </c>
      <c r="L9" s="168">
        <f>H9*L5</f>
        <v>2175772.7355000004</v>
      </c>
      <c r="M9" s="387"/>
    </row>
    <row r="10" spans="1:13" ht="15.6">
      <c r="A10" s="49" t="s">
        <v>91</v>
      </c>
      <c r="C10" s="315">
        <v>-3686.61</v>
      </c>
      <c r="D10" s="36"/>
      <c r="F10" s="170" t="s">
        <v>44</v>
      </c>
      <c r="G10" s="387"/>
      <c r="H10" s="168">
        <f>C56</f>
        <v>88056.98</v>
      </c>
      <c r="I10" s="168"/>
      <c r="J10" s="168"/>
      <c r="K10" s="168">
        <f>H10</f>
        <v>88056.98</v>
      </c>
      <c r="L10" s="168"/>
      <c r="M10" s="387"/>
    </row>
    <row r="11" spans="1:13">
      <c r="A11" s="66" t="s">
        <v>145</v>
      </c>
      <c r="C11" s="100">
        <f>SUM(C8:C10)</f>
        <v>277227.88</v>
      </c>
      <c r="D11" s="36"/>
      <c r="F11" s="170" t="s">
        <v>45</v>
      </c>
      <c r="G11" s="387"/>
      <c r="H11" s="171">
        <f>C57</f>
        <v>43675.51</v>
      </c>
      <c r="I11" s="168"/>
      <c r="J11" s="168"/>
      <c r="K11" s="171"/>
      <c r="L11" s="171">
        <f>H11</f>
        <v>43675.51</v>
      </c>
      <c r="M11" s="387"/>
    </row>
    <row r="12" spans="1:13" ht="15.6">
      <c r="A12" s="386" t="s">
        <v>165</v>
      </c>
      <c r="C12" s="314">
        <f>208906.77-4885.6</f>
        <v>204021.16999999998</v>
      </c>
      <c r="D12" s="36"/>
      <c r="F12" s="170" t="s">
        <v>138</v>
      </c>
      <c r="G12" s="387"/>
      <c r="H12" s="168">
        <f>H9+H10+H11</f>
        <v>7163964.9900000021</v>
      </c>
      <c r="I12" s="168"/>
      <c r="J12" s="168"/>
      <c r="K12" s="168">
        <f>SUM(K9:K11)</f>
        <v>4944516.7445000019</v>
      </c>
      <c r="L12" s="168">
        <f>SUM(L9:L11)</f>
        <v>2219448.2455000002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204021.16999999998</v>
      </c>
      <c r="D14" s="37"/>
      <c r="F14" s="50" t="s">
        <v>69</v>
      </c>
      <c r="G14" s="176"/>
      <c r="H14" s="125">
        <f>H12+H7</f>
        <v>9320485.3400000017</v>
      </c>
      <c r="I14" s="177">
        <f>SUM(I7:I13)</f>
        <v>1523797.2793100001</v>
      </c>
      <c r="J14" s="177">
        <f>SUM(J7:J13)</f>
        <v>632723.07068999996</v>
      </c>
      <c r="K14" s="177">
        <f>K12</f>
        <v>4944516.7445000019</v>
      </c>
      <c r="L14" s="177">
        <f>L12</f>
        <v>2219448.2455000002</v>
      </c>
      <c r="M14" s="387"/>
    </row>
    <row r="15" spans="1:13" ht="15.6">
      <c r="A15" s="386" t="s">
        <v>184</v>
      </c>
      <c r="C15" s="314">
        <f>393697.37-9208.02</f>
        <v>384489.35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4" ht="15.6" thickBot="1">
      <c r="A17" s="66" t="s">
        <v>186</v>
      </c>
      <c r="C17" s="100">
        <f>SUM(C15:C16)</f>
        <v>384489.35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4" ht="16.2" thickBot="1">
      <c r="A18" s="386" t="s">
        <v>163</v>
      </c>
      <c r="C18" s="314">
        <f>62705.04+6089.58-1426.95</f>
        <v>67367.67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4" ht="15.6">
      <c r="A19" s="46" t="s">
        <v>164</v>
      </c>
      <c r="C19" s="315">
        <v>10461.73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4" ht="16.2" thickBot="1">
      <c r="A20" s="67" t="s">
        <v>93</v>
      </c>
      <c r="C20" s="100">
        <f>SUM(C18:C19)</f>
        <v>77829.399999999994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4" ht="15.6">
      <c r="A21" s="46" t="s">
        <v>149</v>
      </c>
      <c r="C21" s="315">
        <f>670.05-519.67</f>
        <v>150.38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4" ht="18" customHeight="1">
      <c r="A22" s="65" t="s">
        <v>149</v>
      </c>
      <c r="C22" s="100">
        <f>SUM(C21)</f>
        <v>150.38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4" ht="15.6">
      <c r="A23" s="209" t="s">
        <v>181</v>
      </c>
      <c r="C23" s="100">
        <v>0</v>
      </c>
      <c r="D23" s="36"/>
      <c r="F23" s="201" t="s">
        <v>37</v>
      </c>
      <c r="G23" s="264">
        <v>15375028</v>
      </c>
      <c r="H23" s="391" t="s">
        <v>334</v>
      </c>
      <c r="I23" s="197">
        <v>2062610</v>
      </c>
      <c r="J23" s="201" t="s">
        <v>37</v>
      </c>
      <c r="K23" s="264">
        <v>7248071</v>
      </c>
      <c r="L23" s="391" t="s">
        <v>334</v>
      </c>
      <c r="M23" s="197">
        <v>868774</v>
      </c>
    </row>
    <row r="24" spans="1:14" ht="15.6">
      <c r="A24" s="209" t="s">
        <v>187</v>
      </c>
      <c r="C24" s="314">
        <v>0</v>
      </c>
      <c r="D24" s="36"/>
      <c r="F24" s="201" t="s">
        <v>332</v>
      </c>
      <c r="G24" s="264">
        <v>3502</v>
      </c>
      <c r="H24" s="391" t="s">
        <v>334</v>
      </c>
      <c r="I24" s="197">
        <v>500</v>
      </c>
      <c r="J24" s="201" t="s">
        <v>38</v>
      </c>
      <c r="K24" s="264">
        <v>2379775</v>
      </c>
      <c r="L24" s="391" t="s">
        <v>334</v>
      </c>
      <c r="M24" s="197">
        <v>293797</v>
      </c>
    </row>
    <row r="25" spans="1:14" ht="15.6">
      <c r="A25" s="209" t="s">
        <v>190</v>
      </c>
      <c r="C25" s="316">
        <v>0</v>
      </c>
      <c r="D25" s="36"/>
      <c r="F25" s="201" t="s">
        <v>38</v>
      </c>
      <c r="G25" s="264">
        <v>5503520</v>
      </c>
      <c r="H25" s="391" t="s">
        <v>334</v>
      </c>
      <c r="I25" s="197">
        <v>697631</v>
      </c>
      <c r="J25" s="201" t="s">
        <v>39</v>
      </c>
      <c r="K25" s="264">
        <v>23496</v>
      </c>
      <c r="L25" s="391" t="s">
        <v>334</v>
      </c>
      <c r="M25" s="197">
        <v>2941</v>
      </c>
    </row>
    <row r="26" spans="1:14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 t="s">
        <v>334</v>
      </c>
      <c r="I26" s="197">
        <v>0</v>
      </c>
      <c r="J26" s="201" t="s">
        <v>40</v>
      </c>
      <c r="K26" s="264">
        <v>0</v>
      </c>
      <c r="L26" s="391" t="s">
        <v>334</v>
      </c>
      <c r="M26" s="197">
        <v>0</v>
      </c>
    </row>
    <row r="27" spans="1:14" ht="15.6">
      <c r="A27" s="65" t="s">
        <v>96</v>
      </c>
      <c r="C27" s="100">
        <f>SUM(C23:C26)</f>
        <v>0</v>
      </c>
      <c r="D27" s="36"/>
      <c r="F27" s="201" t="s">
        <v>40</v>
      </c>
      <c r="G27" s="264">
        <v>541377</v>
      </c>
      <c r="H27" s="391" t="s">
        <v>334</v>
      </c>
      <c r="I27" s="197">
        <v>65034</v>
      </c>
      <c r="J27" s="201" t="s">
        <v>41</v>
      </c>
      <c r="K27" s="264">
        <v>0</v>
      </c>
      <c r="L27" s="391" t="s">
        <v>334</v>
      </c>
      <c r="M27" s="197">
        <f t="shared" ref="M27" si="0">K27*L27</f>
        <v>0</v>
      </c>
    </row>
    <row r="28" spans="1:14" ht="16.2" thickBot="1">
      <c r="A28" s="211" t="s">
        <v>150</v>
      </c>
      <c r="C28" s="314">
        <v>0</v>
      </c>
      <c r="D28" s="37"/>
      <c r="F28" s="201" t="s">
        <v>41</v>
      </c>
      <c r="G28" s="264">
        <v>47656</v>
      </c>
      <c r="H28" s="391" t="s">
        <v>334</v>
      </c>
      <c r="I28" s="197">
        <v>6193</v>
      </c>
      <c r="J28" s="200" t="s">
        <v>127</v>
      </c>
      <c r="K28" s="182">
        <f>SUM(K23:K27)</f>
        <v>9651342</v>
      </c>
      <c r="L28" s="183"/>
      <c r="M28" s="198">
        <f>SUM(M23:M27)</f>
        <v>1165512</v>
      </c>
      <c r="N28" s="386">
        <f>M28/(M28+I32)</f>
        <v>0.29099635827612086</v>
      </c>
    </row>
    <row r="29" spans="1:14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 t="s">
        <v>334</v>
      </c>
      <c r="I29" s="197">
        <v>0</v>
      </c>
      <c r="J29" s="200"/>
      <c r="K29" s="232">
        <v>9651342</v>
      </c>
      <c r="L29" s="188" t="s">
        <v>102</v>
      </c>
      <c r="M29" s="197">
        <f>M28/K28</f>
        <v>0.12076165159207911</v>
      </c>
    </row>
    <row r="30" spans="1:14" ht="16.2" thickBot="1">
      <c r="A30" s="2" t="s">
        <v>111</v>
      </c>
      <c r="C30" s="125">
        <f>C7+C11+C14+C17+C20+C22+C27+C28+C29</f>
        <v>2284629.81</v>
      </c>
      <c r="D30" s="37"/>
      <c r="F30" s="201" t="s">
        <v>43</v>
      </c>
      <c r="G30" s="264">
        <v>74781</v>
      </c>
      <c r="H30" s="391" t="s">
        <v>334</v>
      </c>
      <c r="I30" s="197">
        <v>6149</v>
      </c>
      <c r="J30" s="201"/>
      <c r="K30" s="231">
        <f>K28-K29</f>
        <v>0</v>
      </c>
      <c r="L30" s="183"/>
      <c r="M30" s="199"/>
    </row>
    <row r="31" spans="1:14" ht="15.6">
      <c r="A31" s="386" t="s">
        <v>112</v>
      </c>
      <c r="C31" s="314">
        <v>-8945.7999999999993</v>
      </c>
      <c r="D31" s="39"/>
      <c r="F31" s="201" t="s">
        <v>74</v>
      </c>
      <c r="G31" s="264">
        <v>3020174</v>
      </c>
      <c r="H31" s="391" t="s">
        <v>334</v>
      </c>
      <c r="I31" s="197">
        <v>1617</v>
      </c>
      <c r="J31" s="153"/>
      <c r="K31" s="7"/>
      <c r="L31" s="183"/>
      <c r="M31" s="199"/>
    </row>
    <row r="32" spans="1:14" ht="16.2" thickBot="1">
      <c r="A32" s="2" t="s">
        <v>116</v>
      </c>
      <c r="B32" s="2" t="s">
        <v>117</v>
      </c>
      <c r="C32" s="240">
        <f>C30+C31</f>
        <v>2275684.0100000002</v>
      </c>
      <c r="D32" s="40"/>
      <c r="F32" s="200" t="s">
        <v>127</v>
      </c>
      <c r="G32" s="182">
        <f>SUM(G23:G31)</f>
        <v>24566038</v>
      </c>
      <c r="H32" s="7"/>
      <c r="I32" s="198">
        <f>SUM(I23:I31)</f>
        <v>2839734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-119163.66</v>
      </c>
      <c r="D33" s="36"/>
      <c r="F33" s="187"/>
      <c r="G33" s="232">
        <v>24566038</v>
      </c>
      <c r="H33" s="188" t="s">
        <v>102</v>
      </c>
      <c r="I33" s="217">
        <f>I32/G32</f>
        <v>0.11559592963260905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2156520.35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7248071</v>
      </c>
      <c r="L36" s="391" t="s">
        <v>334</v>
      </c>
      <c r="M36" s="197">
        <v>1775737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10038773.17</v>
      </c>
      <c r="D37" s="36"/>
      <c r="F37" s="201" t="s">
        <v>37</v>
      </c>
      <c r="G37" s="265">
        <f>G23</f>
        <v>15375028</v>
      </c>
      <c r="H37" s="391" t="s">
        <v>334</v>
      </c>
      <c r="I37" s="197">
        <v>3786902</v>
      </c>
      <c r="J37" s="201" t="s">
        <v>38</v>
      </c>
      <c r="K37" s="265">
        <f>K24</f>
        <v>2379775</v>
      </c>
      <c r="L37" s="391" t="s">
        <v>334</v>
      </c>
      <c r="M37" s="197">
        <v>542775</v>
      </c>
      <c r="P37" s="275"/>
      <c r="Q37" s="275"/>
    </row>
    <row r="38" spans="1:17" ht="15.6">
      <c r="A38" s="144" t="s">
        <v>14</v>
      </c>
      <c r="B38" s="540" t="s">
        <v>115</v>
      </c>
      <c r="C38" s="122">
        <v>0</v>
      </c>
      <c r="D38" s="36"/>
      <c r="F38" s="201" t="s">
        <v>332</v>
      </c>
      <c r="G38" s="265">
        <f>G24</f>
        <v>3502</v>
      </c>
      <c r="H38" s="391" t="s">
        <v>334</v>
      </c>
      <c r="I38" s="197">
        <v>1032</v>
      </c>
      <c r="J38" s="201" t="s">
        <v>39</v>
      </c>
      <c r="K38" s="265">
        <f>K25</f>
        <v>23496</v>
      </c>
      <c r="L38" s="391" t="s">
        <v>334</v>
      </c>
      <c r="M38" s="197">
        <v>6781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-26420.37</v>
      </c>
      <c r="D39" s="36"/>
      <c r="F39" s="201" t="s">
        <v>38</v>
      </c>
      <c r="G39" s="265">
        <f t="shared" ref="G39:G44" si="1">G25</f>
        <v>5503520</v>
      </c>
      <c r="H39" s="391" t="s">
        <v>334</v>
      </c>
      <c r="I39" s="197">
        <v>1301339</v>
      </c>
      <c r="J39" s="201" t="s">
        <v>40</v>
      </c>
      <c r="K39" s="265">
        <f>K26</f>
        <v>0</v>
      </c>
      <c r="L39" s="391" t="s">
        <v>334</v>
      </c>
      <c r="M39" s="197"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1155503.25</v>
      </c>
      <c r="D40" s="36"/>
      <c r="F40" s="201" t="s">
        <v>39</v>
      </c>
      <c r="G40" s="265">
        <f t="shared" si="1"/>
        <v>0</v>
      </c>
      <c r="H40" s="391" t="s">
        <v>334</v>
      </c>
      <c r="I40" s="197">
        <v>0</v>
      </c>
      <c r="J40" s="201" t="s">
        <v>41</v>
      </c>
      <c r="K40" s="265">
        <f>K27</f>
        <v>0</v>
      </c>
      <c r="L40" s="391" t="s">
        <v>334</v>
      </c>
      <c r="M40" s="197"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26450.799999999999</v>
      </c>
      <c r="D41" s="36"/>
      <c r="F41" s="201" t="s">
        <v>40</v>
      </c>
      <c r="G41" s="265">
        <f t="shared" si="1"/>
        <v>541377</v>
      </c>
      <c r="H41" s="391" t="s">
        <v>334</v>
      </c>
      <c r="I41" s="197">
        <v>113610</v>
      </c>
      <c r="J41" s="201" t="s">
        <v>42</v>
      </c>
      <c r="K41" s="264">
        <v>0</v>
      </c>
      <c r="L41" s="391" t="s">
        <v>334</v>
      </c>
      <c r="M41" s="197"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485602.32</v>
      </c>
      <c r="D42" s="37"/>
      <c r="F42" s="201" t="s">
        <v>41</v>
      </c>
      <c r="G42" s="265">
        <f t="shared" si="1"/>
        <v>47656</v>
      </c>
      <c r="H42" s="391" t="s">
        <v>334</v>
      </c>
      <c r="I42" s="197">
        <v>14929</v>
      </c>
      <c r="J42" s="201" t="s">
        <v>43</v>
      </c>
      <c r="K42" s="266">
        <v>0</v>
      </c>
      <c r="L42" s="391" t="s">
        <v>334</v>
      </c>
      <c r="M42" s="197"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11679909.170000002</v>
      </c>
      <c r="D43" s="36"/>
      <c r="F43" s="201" t="s">
        <v>42</v>
      </c>
      <c r="G43" s="265">
        <f t="shared" si="1"/>
        <v>0</v>
      </c>
      <c r="H43" s="391" t="s">
        <v>334</v>
      </c>
      <c r="I43" s="197">
        <v>0</v>
      </c>
      <c r="J43" s="200" t="s">
        <v>133</v>
      </c>
      <c r="K43" s="182">
        <f>SUM(K36:K42)</f>
        <v>9651342</v>
      </c>
      <c r="L43" s="183"/>
      <c r="M43" s="198">
        <f>SUM(M36:M42)</f>
        <v>2325293</v>
      </c>
      <c r="N43" s="386">
        <f>M43/(M43+I45)</f>
        <v>0.3073846973435394</v>
      </c>
    </row>
    <row r="44" spans="1:17" ht="16.2" thickBot="1">
      <c r="A44" s="83" t="s">
        <v>178</v>
      </c>
      <c r="B44" s="84" t="s">
        <v>120</v>
      </c>
      <c r="C44" s="122">
        <f>3409989.5-44089.54</f>
        <v>3365899.96</v>
      </c>
      <c r="D44" s="37"/>
      <c r="F44" s="201" t="s">
        <v>43</v>
      </c>
      <c r="G44" s="265">
        <f t="shared" si="1"/>
        <v>74781</v>
      </c>
      <c r="H44" s="391" t="s">
        <v>334</v>
      </c>
      <c r="I44" s="197">
        <v>21660</v>
      </c>
      <c r="J44" s="195"/>
      <c r="K44" s="233">
        <v>9651342</v>
      </c>
      <c r="L44" s="190" t="s">
        <v>102</v>
      </c>
      <c r="M44" s="218">
        <f>M43/K43</f>
        <v>0.24092949975246966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21545864</v>
      </c>
      <c r="H45" s="183"/>
      <c r="I45" s="198">
        <f>SUM(I37:I44)</f>
        <v>5239472</v>
      </c>
      <c r="J45" s="124"/>
      <c r="K45" s="231">
        <f>K43-K44</f>
        <v>0</v>
      </c>
      <c r="L45" s="387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21545864</v>
      </c>
      <c r="H46" s="190" t="s">
        <v>102</v>
      </c>
      <c r="I46" s="216">
        <f>I45/G45</f>
        <v>0.24317762332482931</v>
      </c>
      <c r="J46" s="124"/>
      <c r="K46" s="231"/>
      <c r="L46" s="387"/>
      <c r="M46" s="124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231"/>
      <c r="L47" s="387"/>
      <c r="M47" s="124"/>
    </row>
    <row r="48" spans="1:17" ht="16.2" thickBot="1">
      <c r="A48" s="144" t="s">
        <v>330</v>
      </c>
      <c r="B48" s="6" t="s">
        <v>115</v>
      </c>
      <c r="C48" s="122">
        <v>5000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31384.43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175</v>
      </c>
      <c r="B50" s="540" t="s">
        <v>152</v>
      </c>
      <c r="C50" s="122">
        <v>1996.11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3227.92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577">
        <f>-C33</f>
        <v>119163.66</v>
      </c>
      <c r="D52" s="33"/>
      <c r="F52" s="387" t="s">
        <v>136</v>
      </c>
      <c r="G52" s="387"/>
      <c r="H52" s="213">
        <f>K12</f>
        <v>4944516.7445000019</v>
      </c>
      <c r="I52" s="115">
        <f>I14</f>
        <v>1523797.2793100001</v>
      </c>
      <c r="J52" s="115">
        <f>L12</f>
        <v>2219448.2455000002</v>
      </c>
      <c r="K52" s="115">
        <f>J14</f>
        <v>632723.07068999996</v>
      </c>
      <c r="L52" s="132">
        <f>SUM(H52:K52)</f>
        <v>9320485.3400000017</v>
      </c>
      <c r="M52" s="387"/>
    </row>
    <row r="53" spans="1:21" ht="16.2" thickBot="1">
      <c r="A53" s="384" t="s">
        <v>124</v>
      </c>
      <c r="B53" s="475" t="s">
        <v>316</v>
      </c>
      <c r="C53" s="314">
        <f>-709425-3540145.25-3549778.5</f>
        <v>-7799348.75</v>
      </c>
      <c r="D53" s="36"/>
      <c r="F53" s="386" t="s">
        <v>109</v>
      </c>
      <c r="H53" s="213">
        <f>-I45</f>
        <v>-5239472</v>
      </c>
      <c r="I53" s="115">
        <f>-I32</f>
        <v>-2839734</v>
      </c>
      <c r="J53" s="115">
        <f>-M43</f>
        <v>-2325293</v>
      </c>
      <c r="K53" s="115">
        <f>-M28</f>
        <v>-1165512</v>
      </c>
      <c r="L53" s="263">
        <f>SUM(H53:K53)</f>
        <v>-11570011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-2249525.6599999983</v>
      </c>
    </row>
    <row r="55" spans="1:21" ht="16.2" thickBot="1">
      <c r="A55" s="82" t="s">
        <v>119</v>
      </c>
      <c r="B55" s="84"/>
      <c r="C55" s="160">
        <f>SUM(C43:C54)</f>
        <v>7032232.5000000019</v>
      </c>
      <c r="D55" s="36"/>
      <c r="F55" s="386" t="s">
        <v>71</v>
      </c>
      <c r="H55" s="125">
        <f>IFERROR(H52+H53+H54,0)</f>
        <v>-294955.25549999811</v>
      </c>
      <c r="I55" s="125">
        <f>I52+I53+I54</f>
        <v>-1315936.7206899999</v>
      </c>
      <c r="J55" s="125">
        <f>IFERROR(J52+J53+J54,0)</f>
        <v>-105844.75449999981</v>
      </c>
      <c r="K55" s="125">
        <f>K52+K53+K54</f>
        <v>-532788.92931000004</v>
      </c>
      <c r="L55" s="47">
        <f>SUM(H55:K55)</f>
        <v>-2249525.6599999978</v>
      </c>
    </row>
    <row r="56" spans="1:21" ht="16.8" thickTop="1" thickBot="1">
      <c r="A56" s="386" t="s">
        <v>121</v>
      </c>
      <c r="B56" s="6" t="s">
        <v>115</v>
      </c>
      <c r="C56" s="122">
        <v>88056.98</v>
      </c>
      <c r="D56" s="36"/>
      <c r="F56" s="241" t="s">
        <v>182</v>
      </c>
      <c r="H56" s="386" t="s">
        <v>173</v>
      </c>
      <c r="I56" s="5">
        <f>SUM(H55:I55)</f>
        <v>-1610891.976189998</v>
      </c>
      <c r="J56" s="15" t="s">
        <v>174</v>
      </c>
      <c r="K56" s="386">
        <f>SUM(J55:K55)</f>
        <v>-638633.68380999984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43675.51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7163964.9900000021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3"/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9320485.3400000017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9320485.3399999999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-11570011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L56 I62 C62">
    <cfRule type="cellIs" dxfId="581" priority="7" stopIfTrue="1" operator="equal">
      <formula>0</formula>
    </cfRule>
    <cfRule type="cellIs" dxfId="580" priority="8" stopIfTrue="1" operator="notEqual">
      <formula>0</formula>
    </cfRule>
  </conditionalFormatting>
  <conditionalFormatting sqref="G34 G47 K30 K45:K47">
    <cfRule type="cellIs" dxfId="579" priority="6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7">
    <tabColor rgb="FF00CC66"/>
    <pageSetUpPr fitToPage="1"/>
  </sheetPr>
  <dimension ref="A1:U1484"/>
  <sheetViews>
    <sheetView showGridLines="0" topLeftCell="A24" zoomScale="70" zoomScaleNormal="70" workbookViewId="0">
      <selection activeCell="L54" sqref="L54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Nov!C1+1</f>
        <v>201612</v>
      </c>
      <c r="F1" s="534">
        <f>C1</f>
        <v>201612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122">
        <v>4598122.63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122">
        <f>113157.4-80.73+30.24+511.76+436.49</f>
        <v>114055.16</v>
      </c>
      <c r="D5" s="34"/>
      <c r="F5" s="387"/>
      <c r="G5" s="387"/>
      <c r="H5" s="11"/>
      <c r="I5" s="166">
        <v>0.70660000000000001</v>
      </c>
      <c r="J5" s="166">
        <v>0.29339999999999999</v>
      </c>
      <c r="K5" s="447">
        <f>ROUND(G45/(G45+K43),4)</f>
        <v>0.68630000000000002</v>
      </c>
      <c r="L5" s="447">
        <f>1-K5</f>
        <v>0.31369999999999998</v>
      </c>
      <c r="M5" s="387"/>
    </row>
    <row r="6" spans="1:13" ht="16.2" thickBot="1">
      <c r="A6" s="49" t="s">
        <v>30</v>
      </c>
      <c r="C6" s="580">
        <f>-2343063.08-444850-73845.1-127100-142987.5-81979.5-102391.76</f>
        <v>-3316216.94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1395960.85</v>
      </c>
      <c r="D7" s="35"/>
      <c r="F7" s="167" t="s">
        <v>139</v>
      </c>
      <c r="G7" s="167"/>
      <c r="H7" s="125">
        <f>C34</f>
        <v>2159737.6500000004</v>
      </c>
      <c r="I7" s="168">
        <f>H7*I5</f>
        <v>1526070.6234900004</v>
      </c>
      <c r="J7" s="168">
        <f>H7*J5</f>
        <v>633667.02651000011</v>
      </c>
      <c r="K7" s="168"/>
      <c r="L7" s="168"/>
      <c r="M7" s="387"/>
    </row>
    <row r="8" spans="1:13" ht="15.6">
      <c r="A8" s="386" t="s">
        <v>89</v>
      </c>
      <c r="C8" s="122">
        <v>281655.98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122">
        <f>3121+9125.61</f>
        <v>12246.61</v>
      </c>
      <c r="D9" s="36"/>
      <c r="F9" s="167" t="s">
        <v>119</v>
      </c>
      <c r="G9" s="387"/>
      <c r="H9" s="168">
        <f>C55</f>
        <v>8660204.6300000027</v>
      </c>
      <c r="I9" s="168"/>
      <c r="J9" s="168"/>
      <c r="K9" s="168">
        <f>H9*K5</f>
        <v>5943498.4375690017</v>
      </c>
      <c r="L9" s="168">
        <f>H9*L5</f>
        <v>2716706.1924310005</v>
      </c>
      <c r="M9" s="387"/>
    </row>
    <row r="10" spans="1:13" ht="15.6">
      <c r="A10" s="49" t="s">
        <v>91</v>
      </c>
      <c r="C10" s="580">
        <v>-3809.49</v>
      </c>
      <c r="D10" s="36"/>
      <c r="F10" s="170" t="s">
        <v>44</v>
      </c>
      <c r="G10" s="387"/>
      <c r="H10" s="168">
        <f>C56</f>
        <v>-20000.28</v>
      </c>
      <c r="I10" s="168"/>
      <c r="J10" s="168"/>
      <c r="K10" s="168">
        <f>H10</f>
        <v>-20000.28</v>
      </c>
      <c r="L10" s="168"/>
      <c r="M10" s="387"/>
    </row>
    <row r="11" spans="1:13">
      <c r="A11" s="66" t="s">
        <v>145</v>
      </c>
      <c r="C11" s="100">
        <f>SUM(C8:C10)</f>
        <v>290093.09999999998</v>
      </c>
      <c r="D11" s="36"/>
      <c r="F11" s="170" t="s">
        <v>45</v>
      </c>
      <c r="G11" s="387"/>
      <c r="H11" s="171">
        <f>C57</f>
        <v>-9201.08</v>
      </c>
      <c r="I11" s="168"/>
      <c r="J11" s="168"/>
      <c r="K11" s="171"/>
      <c r="L11" s="171">
        <f>H11</f>
        <v>-9201.08</v>
      </c>
      <c r="M11" s="387"/>
    </row>
    <row r="12" spans="1:13" ht="15.6">
      <c r="A12" s="386" t="s">
        <v>165</v>
      </c>
      <c r="C12" s="122">
        <f>200598.3-9470.28</f>
        <v>191128.02</v>
      </c>
      <c r="D12" s="36"/>
      <c r="F12" s="170" t="s">
        <v>138</v>
      </c>
      <c r="G12" s="387"/>
      <c r="H12" s="168">
        <f>H9+H10+H11</f>
        <v>8631003.2700000033</v>
      </c>
      <c r="I12" s="168"/>
      <c r="J12" s="168"/>
      <c r="K12" s="168">
        <f>SUM(K9:K11)</f>
        <v>5923498.1575690014</v>
      </c>
      <c r="L12" s="168">
        <f>SUM(L9:L11)</f>
        <v>2707505.1124310005</v>
      </c>
      <c r="M12" s="387"/>
    </row>
    <row r="13" spans="1:13" ht="16.2" thickBot="1">
      <c r="A13" s="49" t="s">
        <v>166</v>
      </c>
      <c r="C13" s="580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191128.02</v>
      </c>
      <c r="D14" s="37"/>
      <c r="F14" s="50" t="s">
        <v>69</v>
      </c>
      <c r="G14" s="176"/>
      <c r="H14" s="125">
        <f>H12+H7</f>
        <v>10790740.920000004</v>
      </c>
      <c r="I14" s="177">
        <f>SUM(I7:I13)</f>
        <v>1526070.6234900004</v>
      </c>
      <c r="J14" s="177">
        <f>SUM(J7:J13)</f>
        <v>633667.02651000011</v>
      </c>
      <c r="K14" s="177">
        <f>K12</f>
        <v>5923498.1575690014</v>
      </c>
      <c r="L14" s="177">
        <f>L12</f>
        <v>2707505.1124310005</v>
      </c>
      <c r="M14" s="387"/>
    </row>
    <row r="15" spans="1:13" ht="15.6">
      <c r="A15" s="386" t="s">
        <v>184</v>
      </c>
      <c r="C15" s="122">
        <f>378039.54-17847.08</f>
        <v>360192.45999999996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580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360192.45999999996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122">
        <f>60211.18+5847.39-98.83</f>
        <v>65959.740000000005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580">
        <v>5701.01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71660.75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580">
        <f>670.05-327.49</f>
        <v>342.55999999999995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342.55999999999995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19459801</v>
      </c>
      <c r="H23" s="391" t="s">
        <v>334</v>
      </c>
      <c r="I23" s="197">
        <v>2335203</v>
      </c>
      <c r="J23" s="201" t="s">
        <v>37</v>
      </c>
      <c r="K23" s="264">
        <v>9218989</v>
      </c>
      <c r="L23" s="391" t="s">
        <v>334</v>
      </c>
      <c r="M23" s="197">
        <v>1002184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>
        <v>7942</v>
      </c>
      <c r="H24" s="391" t="s">
        <v>334</v>
      </c>
      <c r="I24" s="197">
        <v>962</v>
      </c>
      <c r="J24" s="201" t="s">
        <v>38</v>
      </c>
      <c r="K24" s="264">
        <v>2701016</v>
      </c>
      <c r="L24" s="391" t="s">
        <v>334</v>
      </c>
      <c r="M24" s="197">
        <v>294535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6165932</v>
      </c>
      <c r="H25" s="391" t="s">
        <v>334</v>
      </c>
      <c r="I25" s="197">
        <v>696523</v>
      </c>
      <c r="J25" s="201" t="s">
        <v>39</v>
      </c>
      <c r="K25" s="264">
        <v>6097</v>
      </c>
      <c r="L25" s="391" t="s">
        <v>334</v>
      </c>
      <c r="M25" s="197">
        <v>663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 t="s">
        <v>334</v>
      </c>
      <c r="I26" s="197">
        <v>0</v>
      </c>
      <c r="J26" s="201" t="s">
        <v>40</v>
      </c>
      <c r="K26" s="264">
        <v>0</v>
      </c>
      <c r="L26" s="391" t="s">
        <v>334</v>
      </c>
      <c r="M26" s="197"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331801</v>
      </c>
      <c r="H27" s="391" t="s">
        <v>334</v>
      </c>
      <c r="I27" s="197">
        <v>33011</v>
      </c>
      <c r="J27" s="201" t="s">
        <v>41</v>
      </c>
      <c r="K27" s="264">
        <v>0</v>
      </c>
      <c r="L27" s="391" t="s">
        <v>334</v>
      </c>
      <c r="M27" s="197">
        <f t="shared" ref="M27" si="0">K27*L27</f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74705</v>
      </c>
      <c r="H28" s="391" t="s">
        <v>334</v>
      </c>
      <c r="I28" s="197">
        <v>7740</v>
      </c>
      <c r="J28" s="200" t="s">
        <v>127</v>
      </c>
      <c r="K28" s="182">
        <f>SUM(K23:K27)</f>
        <v>11926102</v>
      </c>
      <c r="L28" s="183"/>
      <c r="M28" s="198">
        <f>SUM(M23:M27)</f>
        <v>1297382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 t="s">
        <v>334</v>
      </c>
      <c r="I29" s="197">
        <v>0</v>
      </c>
      <c r="J29" s="200"/>
      <c r="K29" s="232">
        <v>11926102</v>
      </c>
      <c r="L29" s="188" t="s">
        <v>102</v>
      </c>
      <c r="M29" s="467">
        <f>M28/K28</f>
        <v>0.10878508334072608</v>
      </c>
    </row>
    <row r="30" spans="1:13" ht="16.2" thickBot="1">
      <c r="A30" s="2" t="s">
        <v>111</v>
      </c>
      <c r="C30" s="125">
        <f>C7+C11+C14+C17+C20+C22+C27+C28+C29</f>
        <v>2309377.7400000002</v>
      </c>
      <c r="D30" s="37"/>
      <c r="F30" s="201" t="s">
        <v>43</v>
      </c>
      <c r="G30" s="264">
        <v>51167</v>
      </c>
      <c r="H30" s="391" t="s">
        <v>334</v>
      </c>
      <c r="I30" s="197">
        <v>3628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f>-8672.17-8965.14</f>
        <v>-17637.309999999998</v>
      </c>
      <c r="D31" s="39"/>
      <c r="F31" s="201" t="s">
        <v>74</v>
      </c>
      <c r="G31" s="264">
        <v>3321068</v>
      </c>
      <c r="H31" s="391" t="s">
        <v>334</v>
      </c>
      <c r="I31" s="197">
        <v>1775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2291740.4300000002</v>
      </c>
      <c r="D32" s="40"/>
      <c r="F32" s="200" t="s">
        <v>127</v>
      </c>
      <c r="G32" s="182">
        <f>SUM(G23:G31)</f>
        <v>29412416</v>
      </c>
      <c r="H32" s="7"/>
      <c r="I32" s="198">
        <f>SUM(I23:I31)</f>
        <v>3078842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-132002.78</v>
      </c>
      <c r="D33" s="36"/>
      <c r="F33" s="187"/>
      <c r="G33" s="232">
        <v>29412416</v>
      </c>
      <c r="H33" s="188" t="s">
        <v>102</v>
      </c>
      <c r="I33" s="217">
        <f>I32/G32</f>
        <v>0.10467831000350328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2159737.6500000004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9218989</v>
      </c>
      <c r="L36" s="391" t="s">
        <v>334</v>
      </c>
      <c r="M36" s="197">
        <v>2310835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13064521.91</v>
      </c>
      <c r="D37" s="36"/>
      <c r="F37" s="201" t="s">
        <v>37</v>
      </c>
      <c r="G37" s="265">
        <f>G23</f>
        <v>19459801</v>
      </c>
      <c r="H37" s="391" t="s">
        <v>334</v>
      </c>
      <c r="I37" s="197">
        <v>4817065</v>
      </c>
      <c r="J37" s="201" t="s">
        <v>38</v>
      </c>
      <c r="K37" s="265">
        <f>K24</f>
        <v>2701016</v>
      </c>
      <c r="L37" s="391" t="s">
        <v>334</v>
      </c>
      <c r="M37" s="197">
        <v>679132</v>
      </c>
      <c r="P37" s="275"/>
      <c r="Q37" s="275"/>
    </row>
    <row r="38" spans="1:17" ht="15.6">
      <c r="A38" s="144" t="s">
        <v>14</v>
      </c>
      <c r="B38" s="540" t="s">
        <v>115</v>
      </c>
      <c r="C38" s="122"/>
      <c r="D38" s="36"/>
      <c r="F38" s="201" t="s">
        <v>332</v>
      </c>
      <c r="G38" s="265">
        <f>G24</f>
        <v>7942</v>
      </c>
      <c r="H38" s="391" t="s">
        <v>334</v>
      </c>
      <c r="I38" s="197">
        <v>1984</v>
      </c>
      <c r="J38" s="201" t="s">
        <v>39</v>
      </c>
      <c r="K38" s="265">
        <f>K25</f>
        <v>6097</v>
      </c>
      <c r="L38" s="391" t="s">
        <v>334</v>
      </c>
      <c r="M38" s="197">
        <v>1528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-24262.2</v>
      </c>
      <c r="D39" s="36"/>
      <c r="F39" s="201" t="s">
        <v>38</v>
      </c>
      <c r="G39" s="265">
        <f t="shared" ref="G39:G44" si="1">G25</f>
        <v>6165932</v>
      </c>
      <c r="H39" s="391" t="s">
        <v>334</v>
      </c>
      <c r="I39" s="197">
        <v>1525953</v>
      </c>
      <c r="J39" s="201" t="s">
        <v>40</v>
      </c>
      <c r="K39" s="265">
        <f>K26</f>
        <v>0</v>
      </c>
      <c r="L39" s="391" t="s">
        <v>334</v>
      </c>
      <c r="M39" s="197"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1641483.66</v>
      </c>
      <c r="D40" s="36"/>
      <c r="F40" s="201" t="s">
        <v>39</v>
      </c>
      <c r="G40" s="265">
        <f t="shared" si="1"/>
        <v>0</v>
      </c>
      <c r="H40" s="391" t="s">
        <v>334</v>
      </c>
      <c r="I40" s="197">
        <v>0</v>
      </c>
      <c r="J40" s="201" t="s">
        <v>41</v>
      </c>
      <c r="K40" s="265">
        <f>K27</f>
        <v>0</v>
      </c>
      <c r="L40" s="391" t="s">
        <v>334</v>
      </c>
      <c r="M40" s="197"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-59.78</v>
      </c>
      <c r="D41" s="36"/>
      <c r="F41" s="201" t="s">
        <v>40</v>
      </c>
      <c r="G41" s="265">
        <f t="shared" si="1"/>
        <v>331801</v>
      </c>
      <c r="H41" s="391" t="s">
        <v>334</v>
      </c>
      <c r="I41" s="197">
        <v>79584</v>
      </c>
      <c r="J41" s="201" t="s">
        <v>42</v>
      </c>
      <c r="K41" s="264">
        <v>0</v>
      </c>
      <c r="L41" s="391" t="s">
        <v>334</v>
      </c>
      <c r="M41" s="197"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357583.53</v>
      </c>
      <c r="D42" s="37"/>
      <c r="F42" s="201" t="s">
        <v>41</v>
      </c>
      <c r="G42" s="265">
        <f t="shared" si="1"/>
        <v>74705</v>
      </c>
      <c r="H42" s="391" t="s">
        <v>334</v>
      </c>
      <c r="I42" s="197">
        <v>18659</v>
      </c>
      <c r="J42" s="201" t="s">
        <v>43</v>
      </c>
      <c r="K42" s="266">
        <v>0</v>
      </c>
      <c r="L42" s="391" t="s">
        <v>334</v>
      </c>
      <c r="M42" s="197"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15039267.120000001</v>
      </c>
      <c r="D43" s="36"/>
      <c r="F43" s="201" t="s">
        <v>42</v>
      </c>
      <c r="G43" s="265">
        <f t="shared" si="1"/>
        <v>0</v>
      </c>
      <c r="H43" s="391" t="s">
        <v>334</v>
      </c>
      <c r="I43" s="197">
        <v>0</v>
      </c>
      <c r="J43" s="200" t="s">
        <v>133</v>
      </c>
      <c r="K43" s="182">
        <f>SUM(K36:K42)</f>
        <v>11926102</v>
      </c>
      <c r="L43" s="183"/>
      <c r="M43" s="198">
        <f>SUM(M36:M42)</f>
        <v>2991495</v>
      </c>
    </row>
    <row r="44" spans="1:17" ht="16.2" thickBot="1">
      <c r="A44" s="83" t="s">
        <v>178</v>
      </c>
      <c r="B44" s="84" t="s">
        <v>120</v>
      </c>
      <c r="C44" s="122">
        <f>4193281.53-676450.96</f>
        <v>3516830.57</v>
      </c>
      <c r="D44" s="37"/>
      <c r="F44" s="201" t="s">
        <v>43</v>
      </c>
      <c r="G44" s="265">
        <f t="shared" si="1"/>
        <v>51167</v>
      </c>
      <c r="H44" s="391" t="s">
        <v>334</v>
      </c>
      <c r="I44" s="197">
        <v>12780</v>
      </c>
      <c r="J44" s="195"/>
      <c r="K44" s="233">
        <v>11926102</v>
      </c>
      <c r="L44" s="190" t="s">
        <v>102</v>
      </c>
      <c r="M44" s="218">
        <f>M43/K43</f>
        <v>0.25083593952156369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26091348</v>
      </c>
      <c r="H45" s="183"/>
      <c r="I45" s="198">
        <f>SUM(I37:I44)</f>
        <v>6456025</v>
      </c>
      <c r="J45" s="124"/>
      <c r="K45" s="231">
        <f>K43-K44</f>
        <v>0</v>
      </c>
      <c r="L45" s="387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26091348</v>
      </c>
      <c r="H46" s="190" t="s">
        <v>102</v>
      </c>
      <c r="I46" s="216">
        <f>I45/G45</f>
        <v>0.24743930440083051</v>
      </c>
      <c r="J46" s="124"/>
      <c r="K46" s="114"/>
      <c r="L46" s="387"/>
      <c r="M46" s="68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114"/>
      <c r="L47" s="387"/>
      <c r="M47" s="68"/>
    </row>
    <row r="48" spans="1:17" ht="16.2" thickBot="1">
      <c r="A48" s="144" t="s">
        <v>330</v>
      </c>
      <c r="B48" s="6" t="s">
        <v>115</v>
      </c>
      <c r="C48" s="122">
        <v>7000</v>
      </c>
      <c r="D48" s="36"/>
      <c r="F48" s="387"/>
      <c r="G48" s="387"/>
      <c r="H48" s="387"/>
      <c r="I48" s="387"/>
      <c r="J48" s="124"/>
      <c r="K48" s="114"/>
      <c r="L48" s="387"/>
      <c r="M48" s="387"/>
    </row>
    <row r="49" spans="1:21" ht="15.6">
      <c r="A49" s="7" t="s">
        <v>130</v>
      </c>
      <c r="B49" s="540" t="s">
        <v>152</v>
      </c>
      <c r="C49" s="122">
        <v>24632.19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175</v>
      </c>
      <c r="B50" s="540" t="s">
        <v>152</v>
      </c>
      <c r="C50" s="122">
        <v>4295.93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6784.45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132002.78</v>
      </c>
      <c r="D52" s="33"/>
      <c r="F52" s="387" t="s">
        <v>136</v>
      </c>
      <c r="G52" s="387"/>
      <c r="H52" s="213">
        <f>K12</f>
        <v>5923498.1575690014</v>
      </c>
      <c r="I52" s="115">
        <f>I14</f>
        <v>1526070.6234900004</v>
      </c>
      <c r="J52" s="115">
        <f>L12</f>
        <v>2707505.1124310005</v>
      </c>
      <c r="K52" s="115">
        <f>J14</f>
        <v>633667.02651000011</v>
      </c>
      <c r="L52" s="132">
        <f>SUM(H52:K52)</f>
        <v>10790740.920000002</v>
      </c>
    </row>
    <row r="53" spans="1:21" ht="16.2" thickBot="1">
      <c r="A53" s="384" t="s">
        <v>124</v>
      </c>
      <c r="B53" s="475" t="s">
        <v>316</v>
      </c>
      <c r="C53" s="314">
        <f>-4930508.94-1223589.37-3541510.1</f>
        <v>-9695608.4100000001</v>
      </c>
      <c r="D53" s="36"/>
      <c r="F53" s="386" t="s">
        <v>109</v>
      </c>
      <c r="H53" s="213">
        <f>-I45</f>
        <v>-6456025</v>
      </c>
      <c r="I53" s="115">
        <f>-I32</f>
        <v>-3078842</v>
      </c>
      <c r="J53" s="115">
        <f>-M43</f>
        <v>-2991495</v>
      </c>
      <c r="K53" s="115">
        <f>-M28</f>
        <v>-1297382</v>
      </c>
      <c r="L53" s="263">
        <f>SUM(H53:K53)</f>
        <v>-13823744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-3033003.0799999982</v>
      </c>
    </row>
    <row r="55" spans="1:21" ht="16.2" thickBot="1">
      <c r="A55" s="82" t="s">
        <v>119</v>
      </c>
      <c r="B55" s="84"/>
      <c r="C55" s="160">
        <f>SUM(C43:C54)</f>
        <v>8660204.6300000027</v>
      </c>
      <c r="D55" s="36"/>
      <c r="F55" s="386" t="s">
        <v>71</v>
      </c>
      <c r="H55" s="125">
        <f>IFERROR(H52+H53+H54,0)</f>
        <v>-532526.84243099857</v>
      </c>
      <c r="I55" s="125">
        <f>I52+I53+I54</f>
        <v>-1552771.3765099996</v>
      </c>
      <c r="J55" s="125">
        <f>IFERROR(J52+J53+J54,0)</f>
        <v>-283989.88756899955</v>
      </c>
      <c r="K55" s="125">
        <f>K52+K53+K54</f>
        <v>-663714.97348999989</v>
      </c>
      <c r="L55" s="47">
        <f>SUM(H55:K55)</f>
        <v>-3033003.0799999973</v>
      </c>
    </row>
    <row r="56" spans="1:21" ht="16.8" thickTop="1" thickBot="1">
      <c r="A56" s="386" t="s">
        <v>121</v>
      </c>
      <c r="B56" s="6" t="s">
        <v>115</v>
      </c>
      <c r="C56" s="122">
        <v>-20000.28</v>
      </c>
      <c r="D56" s="36"/>
      <c r="F56" s="241" t="s">
        <v>182</v>
      </c>
      <c r="H56" s="386" t="s">
        <v>173</v>
      </c>
      <c r="I56" s="5">
        <f>SUM(H55:I55)</f>
        <v>-2085298.2189409982</v>
      </c>
      <c r="J56" s="15" t="s">
        <v>174</v>
      </c>
      <c r="K56" s="386">
        <f>SUM(J55:K55)</f>
        <v>-947704.86105899944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-9201.08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8631003.2700000033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10790740.920000004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10790740.92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-13823744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578" priority="6" stopIfTrue="1" operator="equal">
      <formula>0</formula>
    </cfRule>
    <cfRule type="cellIs" dxfId="577" priority="7" stopIfTrue="1" operator="notEqual">
      <formula>0</formula>
    </cfRule>
  </conditionalFormatting>
  <conditionalFormatting sqref="G34 G47 K30 K45">
    <cfRule type="cellIs" dxfId="576" priority="5" operator="notEqual">
      <formula>0</formula>
    </cfRule>
  </conditionalFormatting>
  <conditionalFormatting sqref="C62">
    <cfRule type="cellIs" dxfId="575" priority="3" stopIfTrue="1" operator="equal">
      <formula>0</formula>
    </cfRule>
    <cfRule type="cellIs" dxfId="574" priority="4" stopIfTrue="1" operator="notEqual">
      <formula>0</formula>
    </cfRule>
  </conditionalFormatting>
  <conditionalFormatting sqref="K30">
    <cfRule type="cellIs" dxfId="573" priority="2" operator="notEqual">
      <formula>0</formula>
    </cfRule>
  </conditionalFormatting>
  <conditionalFormatting sqref="G59">
    <cfRule type="cellIs" dxfId="57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AY84"/>
  <sheetViews>
    <sheetView showGridLines="0" zoomScale="70" zoomScaleNormal="70" zoomScaleSheetLayoutView="85" workbookViewId="0">
      <pane xSplit="2" ySplit="3" topLeftCell="AH63" activePane="bottomRight" state="frozen"/>
      <selection pane="topRight" activeCell="C1" sqref="C1"/>
      <selection pane="bottomLeft" activeCell="A4" sqref="A4"/>
      <selection pane="bottomRight" activeCell="AM79" sqref="AM79:AM81"/>
    </sheetView>
  </sheetViews>
  <sheetFormatPr defaultColWidth="9.109375" defaultRowHeight="15.6" outlineLevelRow="1"/>
  <cols>
    <col min="1" max="1" width="17.33203125" style="482" customWidth="1"/>
    <col min="2" max="2" width="18.6640625" style="48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35" width="18.109375" style="482" customWidth="1"/>
    <col min="36" max="36" width="19" style="482" customWidth="1"/>
    <col min="37" max="39" width="16.33203125" style="482" customWidth="1"/>
    <col min="40" max="42" width="16.33203125" style="482" hidden="1" customWidth="1"/>
    <col min="43" max="44" width="15.5546875" style="482" hidden="1" customWidth="1"/>
    <col min="45" max="45" width="5.109375" style="569" customWidth="1"/>
    <col min="46" max="46" width="31.88671875" style="482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" si="0">U3+1</f>
        <v>201502</v>
      </c>
      <c r="W3" s="484">
        <f t="shared" ref="W3" si="1">V3+1</f>
        <v>201503</v>
      </c>
      <c r="X3" s="484">
        <f t="shared" ref="X3" si="2">W3+1</f>
        <v>201504</v>
      </c>
      <c r="Y3" s="484">
        <f t="shared" ref="Y3" si="3">X3+1</f>
        <v>201505</v>
      </c>
      <c r="Z3" s="484">
        <f t="shared" ref="Z3" si="4">Y3+1</f>
        <v>201506</v>
      </c>
      <c r="AA3" s="484">
        <f t="shared" ref="AA3" si="5">Z3+1</f>
        <v>201507</v>
      </c>
      <c r="AB3" s="484">
        <f t="shared" ref="AB3" si="6">AA3+1</f>
        <v>201508</v>
      </c>
      <c r="AC3" s="484">
        <f t="shared" ref="AC3" si="7">AB3+1</f>
        <v>201509</v>
      </c>
      <c r="AD3" s="484">
        <f t="shared" ref="AD3" si="8">AC3+1</f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9">AH3+1</f>
        <v>201603</v>
      </c>
      <c r="AJ3" s="484">
        <f t="shared" si="9"/>
        <v>201604</v>
      </c>
      <c r="AK3" s="484">
        <f t="shared" si="9"/>
        <v>201605</v>
      </c>
      <c r="AL3" s="484">
        <f t="shared" si="9"/>
        <v>201606</v>
      </c>
      <c r="AM3" s="484">
        <f>AL3+1</f>
        <v>201607</v>
      </c>
      <c r="AN3" s="484">
        <f t="shared" si="9"/>
        <v>201608</v>
      </c>
      <c r="AO3" s="484">
        <f t="shared" si="9"/>
        <v>201609</v>
      </c>
      <c r="AP3" s="484">
        <f t="shared" si="9"/>
        <v>201610</v>
      </c>
      <c r="AQ3" s="484">
        <f t="shared" si="9"/>
        <v>201611</v>
      </c>
      <c r="AR3" s="484">
        <f>AQ3+1</f>
        <v>201612</v>
      </c>
      <c r="AS3" s="599"/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>
        <v>3.4599999999999999E-2</v>
      </c>
      <c r="AK4" s="488">
        <v>3.4599999999999999E-2</v>
      </c>
      <c r="AL4" s="488">
        <v>3.4599999999999999E-2</v>
      </c>
      <c r="AM4" s="488">
        <v>3.5000000000000003E-2</v>
      </c>
      <c r="AN4" s="488"/>
      <c r="AO4" s="488"/>
      <c r="AP4" s="488"/>
      <c r="AQ4" s="488"/>
      <c r="AR4" s="488"/>
      <c r="AS4" s="599"/>
      <c r="AT4" s="544">
        <v>201607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10">AF13</f>
        <v>-6508323.8685397729</v>
      </c>
      <c r="AH5" s="482">
        <f t="shared" si="10"/>
        <v>-8439847.1132167727</v>
      </c>
      <c r="AI5" s="482">
        <f t="shared" si="10"/>
        <v>-9264796.9494047705</v>
      </c>
      <c r="AJ5" s="482">
        <f t="shared" si="10"/>
        <v>-10398819.535470769</v>
      </c>
      <c r="AK5" s="482">
        <f t="shared" si="10"/>
        <v>-12153304.785960769</v>
      </c>
      <c r="AL5" s="482">
        <f t="shared" si="10"/>
        <v>-12778894.072104771</v>
      </c>
      <c r="AM5" s="482">
        <f>AL13</f>
        <v>-14182183.944992768</v>
      </c>
      <c r="AN5" s="482">
        <f t="shared" si="10"/>
        <v>-15130761.40771677</v>
      </c>
      <c r="AO5" s="482">
        <f t="shared" si="10"/>
        <v>-14735382.57938277</v>
      </c>
      <c r="AP5" s="482">
        <f t="shared" si="10"/>
        <v>-15191467.282484772</v>
      </c>
      <c r="AQ5" s="482">
        <f t="shared" si="10"/>
        <v>-15266736.051035771</v>
      </c>
      <c r="AR5" s="482">
        <f t="shared" si="10"/>
        <v>-16877628.02722577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 t="shared" ref="C6:C12" si="11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</f>
        <v>42685.8</v>
      </c>
      <c r="AY6" s="500">
        <v>0</v>
      </c>
    </row>
    <row r="7" spans="1:51" ht="16.2">
      <c r="B7" s="481" t="s">
        <v>255</v>
      </c>
      <c r="C7" s="482">
        <f t="shared" si="11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948577.46272400056</v>
      </c>
    </row>
    <row r="8" spans="1:51" ht="16.2">
      <c r="B8" s="481" t="s">
        <v>258</v>
      </c>
      <c r="C8" s="482">
        <f t="shared" si="11"/>
        <v>-220606.11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12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J8" si="13">ROUND(((AG5)*(AG4/12))+((SUM(AG6:AG7)/2)*(AG4/12)),2)</f>
        <v>-20214.939999999999</v>
      </c>
      <c r="AH8" s="489">
        <f t="shared" si="13"/>
        <v>-23942.62</v>
      </c>
      <c r="AI8" s="489">
        <f t="shared" si="13"/>
        <v>-26591.8</v>
      </c>
      <c r="AJ8" s="489">
        <f t="shared" si="13"/>
        <v>-32465.84</v>
      </c>
      <c r="AK8" s="489">
        <f>ROUND(((AK5)*(AK4/12))+((SUM(AK6:AK7)/2)*(AK4/12)),2)</f>
        <v>-35892.18</v>
      </c>
      <c r="AL8" s="489">
        <f>ROUND(((AL5)*(AL4/12))+((SUM(AL6:AL7)/2)*(AL4/12)),2)</f>
        <v>-38812.93</v>
      </c>
      <c r="AM8" s="489">
        <f>ROUND(((AM5)*(AM4/12))+((SUM(AM6:AM7)/2)*(AM4/12)),2)</f>
        <v>-42685.8</v>
      </c>
      <c r="AN8" s="489">
        <f t="shared" ref="AN8" si="14">ROUND(((AN5)*(AN4/12))+((SUM(AN6:AN7)/2)*(AN4/12)),2)</f>
        <v>0</v>
      </c>
      <c r="AO8" s="489">
        <f t="shared" ref="AO8" si="15">ROUND(((AO5)*(AO4/12))+((SUM(AO6:AO7)/2)*(AO4/12)),2)</f>
        <v>0</v>
      </c>
      <c r="AP8" s="489">
        <f t="shared" ref="AP8" si="16">ROUND(((AP5)*(AP4/12))+((SUM(AP6:AP7)/2)*(AP4/12)),2)</f>
        <v>0</v>
      </c>
      <c r="AQ8" s="489">
        <f t="shared" ref="AQ8:AR8" si="17">ROUND(((AQ5)*(AQ4/12))+((SUM(AQ6:AQ7)/2)*(AQ4/12)),2)</f>
        <v>0</v>
      </c>
      <c r="AR8" s="489">
        <f t="shared" si="17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</f>
        <v>905891.66272400052</v>
      </c>
      <c r="AY8" s="500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11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f t="shared" si="11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</row>
    <row r="11" spans="1:51" ht="16.2" thickBot="1">
      <c r="B11" s="481" t="s">
        <v>264</v>
      </c>
      <c r="C11" s="482">
        <f t="shared" si="11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11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f>SUM(C5:C12)</f>
        <v>-12454602.377626995</v>
      </c>
      <c r="D13" s="541"/>
      <c r="E13" s="541">
        <f>SUM(E5:E12)</f>
        <v>2712780.2600000002</v>
      </c>
      <c r="F13" s="541">
        <f t="shared" ref="F13:H13" si="18">SUM(F5:F12)</f>
        <v>2255013.9900000002</v>
      </c>
      <c r="G13" s="541">
        <f>SUM(G5:G12)</f>
        <v>-33498.738666789999</v>
      </c>
      <c r="H13" s="541">
        <f t="shared" si="18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19">SUM(V5:V12)</f>
        <v>-1694440.0214187815</v>
      </c>
      <c r="W13" s="541">
        <f t="shared" si="19"/>
        <v>-683405.33395377884</v>
      </c>
      <c r="X13" s="541">
        <f t="shared" si="19"/>
        <v>-2769396.4708657796</v>
      </c>
      <c r="Y13" s="541">
        <f>SUM(Y5:Y12)</f>
        <v>-2940906.6891037785</v>
      </c>
      <c r="Z13" s="541">
        <f t="shared" ref="Z13:AE13" si="20">SUM(Z5:Z12)</f>
        <v>-3112721.2246137792</v>
      </c>
      <c r="AA13" s="541">
        <f t="shared" si="20"/>
        <v>-3464489.8670317773</v>
      </c>
      <c r="AB13" s="541">
        <f t="shared" si="20"/>
        <v>-3555298.2266717753</v>
      </c>
      <c r="AC13" s="541">
        <f t="shared" si="20"/>
        <v>-4755858.0107337767</v>
      </c>
      <c r="AD13" s="541">
        <f t="shared" si="20"/>
        <v>-5900360.3440987766</v>
      </c>
      <c r="AE13" s="541">
        <f t="shared" si="20"/>
        <v>-4407824.1695987741</v>
      </c>
      <c r="AF13" s="541">
        <f>SUM(AF5:AF12)</f>
        <v>-6508323.8685397729</v>
      </c>
      <c r="AG13" s="541">
        <f t="shared" ref="AG13:AR13" si="21">SUM(AG5:AG12)</f>
        <v>-8439847.1132167727</v>
      </c>
      <c r="AH13" s="541">
        <f t="shared" si="21"/>
        <v>-9264796.9494047705</v>
      </c>
      <c r="AI13" s="541">
        <f t="shared" si="21"/>
        <v>-10398819.535470769</v>
      </c>
      <c r="AJ13" s="541">
        <f t="shared" si="21"/>
        <v>-12153304.785960769</v>
      </c>
      <c r="AK13" s="541">
        <f t="shared" si="21"/>
        <v>-12778894.072104771</v>
      </c>
      <c r="AL13" s="541">
        <f t="shared" si="21"/>
        <v>-14182183.944992768</v>
      </c>
      <c r="AM13" s="541">
        <f t="shared" si="21"/>
        <v>-15130761.40771677</v>
      </c>
      <c r="AN13" s="541">
        <f t="shared" si="21"/>
        <v>-14735382.57938277</v>
      </c>
      <c r="AO13" s="541">
        <f t="shared" si="21"/>
        <v>-15191467.282484772</v>
      </c>
      <c r="AP13" s="541">
        <f t="shared" si="21"/>
        <v>-15266736.051035771</v>
      </c>
      <c r="AQ13" s="541">
        <f t="shared" si="21"/>
        <v>-16877628.02722577</v>
      </c>
      <c r="AR13" s="541">
        <f t="shared" si="21"/>
        <v>-18962926.246166766</v>
      </c>
    </row>
    <row r="14" spans="1:51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51">
      <c r="B15" s="481" t="s">
        <v>245</v>
      </c>
      <c r="E15" s="482">
        <f t="shared" ref="E15:H15" si="22">E13-E14</f>
        <v>1.0000000242143869E-2</v>
      </c>
      <c r="F15" s="482">
        <f t="shared" si="22"/>
        <v>1.0000000242143869E-2</v>
      </c>
      <c r="G15" s="482">
        <f t="shared" si="22"/>
        <v>1.1333210000884719E-2</v>
      </c>
      <c r="H15" s="482">
        <f t="shared" si="22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C15" si="23">V13-V14</f>
        <v>-1.418781466782093E-3</v>
      </c>
      <c r="W15" s="482">
        <f t="shared" si="23"/>
        <v>-3.9537788834422827E-3</v>
      </c>
      <c r="X15" s="482">
        <f t="shared" si="23"/>
        <v>-8.6577935144305229E-4</v>
      </c>
      <c r="Y15" s="482">
        <f t="shared" si="23"/>
        <v>8.9622149243950844E-4</v>
      </c>
      <c r="Z15" s="482">
        <f t="shared" si="23"/>
        <v>5.3862207569181919E-3</v>
      </c>
      <c r="AA15" s="482">
        <f t="shared" si="23"/>
        <v>2.9682228341698647E-3</v>
      </c>
      <c r="AB15" s="482">
        <f t="shared" si="23"/>
        <v>3.3282246440649033E-3</v>
      </c>
      <c r="AC15" s="482">
        <f t="shared" si="23"/>
        <v>-7.3377694934606552E-4</v>
      </c>
      <c r="AD15" s="482">
        <f t="shared" ref="AD15:AE15" si="24">AD13-AD14</f>
        <v>-4.0987767279148102E-3</v>
      </c>
      <c r="AE15" s="482">
        <f t="shared" si="24"/>
        <v>4.0122587233781815E-4</v>
      </c>
      <c r="AF15" s="482">
        <f t="shared" ref="AF15:AK15" si="25">AF13-AF14</f>
        <v>1.4602271839976311E-3</v>
      </c>
      <c r="AG15" s="482">
        <f t="shared" si="25"/>
        <v>-7556.9932167734951</v>
      </c>
      <c r="AH15" s="482">
        <f t="shared" si="25"/>
        <v>5.9522874653339386E-4</v>
      </c>
      <c r="AI15" s="482">
        <f t="shared" si="25"/>
        <v>4.5292302966117859E-3</v>
      </c>
      <c r="AJ15" s="482">
        <f t="shared" si="25"/>
        <v>4.0392298251390457E-3</v>
      </c>
      <c r="AK15" s="482">
        <f t="shared" si="25"/>
        <v>7.895229384303093E-3</v>
      </c>
      <c r="AL15" s="482">
        <f>AL13-AL14</f>
        <v>5.0072316080331802E-3</v>
      </c>
      <c r="AM15" s="482">
        <f>AM13-AM14</f>
        <v>-948577.45771677047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" si="26">U18+1</f>
        <v>201502</v>
      </c>
      <c r="W18" s="484">
        <f t="shared" ref="W18" si="27">V18+1</f>
        <v>201503</v>
      </c>
      <c r="X18" s="484">
        <f t="shared" ref="X18" si="28">W18+1</f>
        <v>201504</v>
      </c>
      <c r="Y18" s="484">
        <f t="shared" ref="Y18" si="29">X18+1</f>
        <v>201505</v>
      </c>
      <c r="Z18" s="484">
        <f t="shared" ref="Z18" si="30">Y18+1</f>
        <v>201506</v>
      </c>
      <c r="AA18" s="484">
        <f t="shared" ref="AA18" si="31">Z18+1</f>
        <v>201507</v>
      </c>
      <c r="AB18" s="484">
        <f t="shared" ref="AB18" si="32">AA18+1</f>
        <v>201508</v>
      </c>
      <c r="AC18" s="484">
        <f t="shared" ref="AC18" si="33">AB18+1</f>
        <v>201509</v>
      </c>
      <c r="AD18" s="484">
        <f t="shared" ref="AD18" si="34">AC18+1</f>
        <v>201510</v>
      </c>
      <c r="AE18" s="484">
        <f>AD18+1</f>
        <v>201511</v>
      </c>
      <c r="AF18" s="484">
        <f t="shared" ref="AF18" si="35">AE18+1</f>
        <v>201512</v>
      </c>
      <c r="AG18" s="484">
        <v>201601</v>
      </c>
      <c r="AH18" s="484">
        <f>AG18+1</f>
        <v>201602</v>
      </c>
      <c r="AI18" s="484">
        <f t="shared" ref="AI18:AR18" si="36">AH18+1</f>
        <v>201603</v>
      </c>
      <c r="AJ18" s="484">
        <f t="shared" si="36"/>
        <v>201604</v>
      </c>
      <c r="AK18" s="484">
        <f t="shared" si="36"/>
        <v>201605</v>
      </c>
      <c r="AL18" s="484">
        <f t="shared" si="36"/>
        <v>201606</v>
      </c>
      <c r="AM18" s="484">
        <f t="shared" si="36"/>
        <v>201607</v>
      </c>
      <c r="AN18" s="484">
        <f t="shared" si="36"/>
        <v>201608</v>
      </c>
      <c r="AO18" s="484">
        <f t="shared" si="36"/>
        <v>201609</v>
      </c>
      <c r="AP18" s="484">
        <f t="shared" si="36"/>
        <v>201610</v>
      </c>
      <c r="AQ18" s="484">
        <f t="shared" si="36"/>
        <v>201611</v>
      </c>
      <c r="AR18" s="484">
        <f t="shared" si="36"/>
        <v>201612</v>
      </c>
    </row>
    <row r="19" spans="1:45">
      <c r="A19" s="483"/>
      <c r="B19" s="481" t="s">
        <v>37</v>
      </c>
      <c r="C19" s="491">
        <f>SUM(AG19:AR19)</f>
        <v>60467368</v>
      </c>
      <c r="D19" s="491">
        <f>SUM(AE19:AP19)</f>
        <v>95302197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>
        <f>Mar!$G23</f>
        <v>12238194</v>
      </c>
      <c r="AJ19" s="543">
        <f>Apr!$G23</f>
        <v>5348802</v>
      </c>
      <c r="AK19" s="543">
        <f>May!$G23</f>
        <v>3384728</v>
      </c>
      <c r="AL19" s="543">
        <f>Jun!$G23</f>
        <v>2765049</v>
      </c>
      <c r="AM19" s="543">
        <f>Jul!$G23</f>
        <v>2292583</v>
      </c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37">SUM(AG20:AR20)</f>
        <v>77086</v>
      </c>
      <c r="D20" s="491">
        <f>SUM(AE20:AP20)</f>
        <v>88530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>
        <f>Mar!$G24</f>
        <v>18603</v>
      </c>
      <c r="AJ20" s="543">
        <f>Apr!$G24</f>
        <v>12171</v>
      </c>
      <c r="AK20" s="543">
        <f>May!$G24</f>
        <v>5734</v>
      </c>
      <c r="AL20" s="543">
        <f>Jun!$G24</f>
        <v>4482</v>
      </c>
      <c r="AM20" s="543">
        <f>Jul!$G24</f>
        <v>3610</v>
      </c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37"/>
        <v>24639677</v>
      </c>
      <c r="D21" s="491">
        <f t="shared" ref="D21:D27" si="38">SUM(AE21:AP21)</f>
        <v>36309129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>
        <f>Mar!$G25</f>
        <v>4795258</v>
      </c>
      <c r="AJ21" s="543">
        <f>Apr!$G25</f>
        <v>2668983</v>
      </c>
      <c r="AK21" s="543">
        <f>May!$G25</f>
        <v>2221542</v>
      </c>
      <c r="AL21" s="543">
        <f>Jun!$G25</f>
        <v>1675034</v>
      </c>
      <c r="AM21" s="543">
        <f>Jul!$G25</f>
        <v>1510014</v>
      </c>
      <c r="AN21" s="543"/>
      <c r="AO21" s="543"/>
      <c r="AP21" s="543"/>
      <c r="AQ21" s="543"/>
      <c r="AR21" s="543"/>
    </row>
    <row r="22" spans="1:45" hidden="1" outlineLevel="1">
      <c r="A22" s="483"/>
      <c r="B22" s="595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 collapsed="1">
      <c r="A23" s="483"/>
      <c r="B23" s="481" t="s">
        <v>40</v>
      </c>
      <c r="C23" s="491">
        <f t="shared" si="37"/>
        <v>2147252</v>
      </c>
      <c r="D23" s="491">
        <f t="shared" si="38"/>
        <v>3020430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>
        <f>Mar!$G27</f>
        <v>361566</v>
      </c>
      <c r="AJ23" s="543">
        <f>Apr!$G27</f>
        <v>227877</v>
      </c>
      <c r="AK23" s="543">
        <f>May!$G27</f>
        <v>311290</v>
      </c>
      <c r="AL23" s="543">
        <f>Jun!$G27</f>
        <v>225272</v>
      </c>
      <c r="AM23" s="543">
        <f>Jul!$G27</f>
        <v>266816</v>
      </c>
      <c r="AN23" s="543"/>
      <c r="AO23" s="543"/>
      <c r="AP23" s="543"/>
      <c r="AQ23" s="543"/>
      <c r="AR23" s="543"/>
    </row>
    <row r="24" spans="1:45" hidden="1" outlineLevel="1">
      <c r="A24" s="483"/>
      <c r="B24" s="595" t="s">
        <v>41</v>
      </c>
      <c r="C24" s="491">
        <f t="shared" si="37"/>
        <v>0</v>
      </c>
      <c r="D24" s="491">
        <f t="shared" si="38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 collapsed="1">
      <c r="A25" s="483"/>
      <c r="B25" s="579" t="s">
        <v>42</v>
      </c>
      <c r="C25" s="491">
        <f t="shared" si="37"/>
        <v>0</v>
      </c>
      <c r="D25" s="491">
        <f t="shared" si="38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>
        <f>Mar!$G29</f>
        <v>0</v>
      </c>
      <c r="AJ25" s="543">
        <f>Apr!$G29</f>
        <v>0</v>
      </c>
      <c r="AK25" s="543">
        <f>May!$G29</f>
        <v>0</v>
      </c>
      <c r="AL25" s="543">
        <f>Jun!$G29</f>
        <v>0</v>
      </c>
      <c r="AM25" s="543">
        <f>Jul!$G29</f>
        <v>0</v>
      </c>
      <c r="AN25" s="543"/>
      <c r="AO25" s="543"/>
      <c r="AP25" s="543"/>
      <c r="AQ25" s="543"/>
      <c r="AR25" s="543"/>
    </row>
    <row r="26" spans="1:45" hidden="1" outlineLevel="1">
      <c r="A26" s="483"/>
      <c r="B26" s="595" t="s">
        <v>43</v>
      </c>
      <c r="C26" s="491">
        <f t="shared" si="37"/>
        <v>0</v>
      </c>
      <c r="D26" s="491">
        <f t="shared" si="38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 collapsed="1">
      <c r="A27" s="483"/>
      <c r="B27" s="481" t="s">
        <v>74</v>
      </c>
      <c r="C27" s="491">
        <f t="shared" si="37"/>
        <v>17971060</v>
      </c>
      <c r="D27" s="491">
        <f t="shared" si="38"/>
        <v>24312302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>
        <f>Mar!$G31</f>
        <v>2822744</v>
      </c>
      <c r="AJ27" s="543">
        <f>Apr!$G31</f>
        <v>2379815</v>
      </c>
      <c r="AK27" s="543">
        <f>May!$G31</f>
        <v>2359261</v>
      </c>
      <c r="AL27" s="543">
        <f>Jun!$G31</f>
        <v>2149880</v>
      </c>
      <c r="AM27" s="543">
        <f>Jul!$G31</f>
        <v>1956378</v>
      </c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105302443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39">SUM(G19:G27)</f>
        <v>24054373</v>
      </c>
      <c r="H28" s="542">
        <f t="shared" si="39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40">SUM(V19:V27)</f>
        <v>21809394</v>
      </c>
      <c r="W28" s="542">
        <f t="shared" si="40"/>
        <v>17454090</v>
      </c>
      <c r="X28" s="542">
        <f t="shared" si="40"/>
        <v>14032685</v>
      </c>
      <c r="Y28" s="542">
        <f t="shared" si="40"/>
        <v>7651890</v>
      </c>
      <c r="Z28" s="542">
        <f t="shared" si="40"/>
        <v>5795038</v>
      </c>
      <c r="AA28" s="542">
        <f t="shared" si="40"/>
        <v>5628267</v>
      </c>
      <c r="AB28" s="542">
        <f t="shared" si="40"/>
        <v>5459507</v>
      </c>
      <c r="AC28" s="542">
        <f t="shared" si="40"/>
        <v>7409442</v>
      </c>
      <c r="AD28" s="542">
        <f t="shared" si="40"/>
        <v>10025335</v>
      </c>
      <c r="AE28" s="542">
        <f t="shared" si="40"/>
        <v>24443601</v>
      </c>
      <c r="AF28" s="542">
        <f t="shared" si="40"/>
        <v>29286544</v>
      </c>
      <c r="AG28" s="542">
        <f>SUM(AG19:AG27)</f>
        <v>30419523</v>
      </c>
      <c r="AH28" s="542">
        <f t="shared" si="40"/>
        <v>22877234</v>
      </c>
      <c r="AI28" s="542">
        <f t="shared" si="40"/>
        <v>20236365</v>
      </c>
      <c r="AJ28" s="542">
        <f t="shared" si="40"/>
        <v>10637648</v>
      </c>
      <c r="AK28" s="542">
        <f t="shared" si="40"/>
        <v>8282555</v>
      </c>
      <c r="AL28" s="542">
        <f>SUM(AL19:AL27)</f>
        <v>6819717</v>
      </c>
      <c r="AM28" s="542">
        <f>SUM(AM19:AM27)</f>
        <v>6029401</v>
      </c>
      <c r="AN28" s="542">
        <f t="shared" si="40"/>
        <v>0</v>
      </c>
      <c r="AO28" s="542">
        <f t="shared" si="40"/>
        <v>0</v>
      </c>
      <c r="AP28" s="542">
        <f t="shared" si="40"/>
        <v>0</v>
      </c>
      <c r="AQ28" s="542">
        <f t="shared" si="40"/>
        <v>0</v>
      </c>
      <c r="AR28" s="542">
        <f t="shared" si="40"/>
        <v>0</v>
      </c>
    </row>
    <row r="29" spans="1:45" ht="16.2" thickTop="1">
      <c r="A29" s="483"/>
      <c r="B29" s="481" t="s">
        <v>269</v>
      </c>
      <c r="C29" s="491">
        <f>SUM(AG29:AR29)</f>
        <v>105302443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>
        <v>10637648</v>
      </c>
      <c r="AK29" s="491">
        <v>8282555</v>
      </c>
      <c r="AL29" s="491">
        <v>6819717</v>
      </c>
      <c r="AM29" s="491">
        <v>6029401</v>
      </c>
      <c r="AN29" s="491"/>
      <c r="AO29" s="491"/>
      <c r="AP29" s="491"/>
      <c r="AQ29" s="491"/>
      <c r="AR29" s="491"/>
      <c r="AS29" s="60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" si="41">U31+1</f>
        <v>201502</v>
      </c>
      <c r="W31" s="484">
        <f t="shared" ref="W31" si="42">V31+1</f>
        <v>201503</v>
      </c>
      <c r="X31" s="484">
        <f t="shared" ref="X31" si="43">W31+1</f>
        <v>201504</v>
      </c>
      <c r="Y31" s="484">
        <f t="shared" ref="Y31" si="44">X31+1</f>
        <v>201505</v>
      </c>
      <c r="Z31" s="484">
        <f t="shared" ref="Z31" si="45">Y31+1</f>
        <v>201506</v>
      </c>
      <c r="AA31" s="484">
        <f t="shared" ref="AA31" si="46">Z31+1</f>
        <v>201507</v>
      </c>
      <c r="AB31" s="484">
        <f t="shared" ref="AB31" si="47">AA31+1</f>
        <v>201508</v>
      </c>
      <c r="AC31" s="484">
        <f t="shared" ref="AC31" si="48">AB31+1</f>
        <v>201509</v>
      </c>
      <c r="AD31" s="484">
        <f t="shared" ref="AD31" si="49">AC31+1</f>
        <v>201510</v>
      </c>
      <c r="AE31" s="484">
        <f>AD31+1</f>
        <v>201511</v>
      </c>
      <c r="AF31" s="484">
        <f t="shared" ref="AF31" si="50">AE31+1</f>
        <v>201512</v>
      </c>
      <c r="AG31" s="484">
        <v>201601</v>
      </c>
      <c r="AH31" s="484">
        <f>AG31+1</f>
        <v>201602</v>
      </c>
      <c r="AI31" s="484">
        <f t="shared" ref="AI31:AR31" si="51">AH31+1</f>
        <v>201603</v>
      </c>
      <c r="AJ31" s="484">
        <f t="shared" si="51"/>
        <v>201604</v>
      </c>
      <c r="AK31" s="484">
        <f t="shared" si="51"/>
        <v>201605</v>
      </c>
      <c r="AL31" s="484">
        <f t="shared" si="51"/>
        <v>201606</v>
      </c>
      <c r="AM31" s="484">
        <f t="shared" si="51"/>
        <v>201607</v>
      </c>
      <c r="AN31" s="484">
        <f t="shared" si="51"/>
        <v>201608</v>
      </c>
      <c r="AO31" s="484">
        <f t="shared" si="51"/>
        <v>201609</v>
      </c>
      <c r="AP31" s="484">
        <f t="shared" si="51"/>
        <v>201610</v>
      </c>
      <c r="AQ31" s="484">
        <f t="shared" si="51"/>
        <v>201611</v>
      </c>
      <c r="AR31" s="484">
        <f t="shared" si="51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481" t="s">
        <v>332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 outlineLevel="1">
      <c r="A35" s="483"/>
      <c r="B35" s="595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 collapsed="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 outlineLevel="1">
      <c r="A37" s="483"/>
      <c r="B37" s="595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collapsed="1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outlineLevel="1" thickBot="1">
      <c r="A39" s="483"/>
      <c r="B39" s="595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collapsed="1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201607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" si="52">U42+1</f>
        <v>201502</v>
      </c>
      <c r="W42" s="484">
        <f t="shared" ref="W42" si="53">V42+1</f>
        <v>201503</v>
      </c>
      <c r="X42" s="484">
        <f t="shared" ref="X42" si="54">W42+1</f>
        <v>201504</v>
      </c>
      <c r="Y42" s="484">
        <f t="shared" ref="Y42" si="55">X42+1</f>
        <v>201505</v>
      </c>
      <c r="Z42" s="484">
        <f t="shared" ref="Z42" si="56">Y42+1</f>
        <v>201506</v>
      </c>
      <c r="AA42" s="484">
        <f t="shared" ref="AA42" si="57">Z42+1</f>
        <v>201507</v>
      </c>
      <c r="AB42" s="484">
        <f t="shared" ref="AB42" si="58">AA42+1</f>
        <v>201508</v>
      </c>
      <c r="AC42" s="484">
        <f t="shared" ref="AC42" si="59">AB42+1</f>
        <v>201509</v>
      </c>
      <c r="AD42" s="484">
        <f t="shared" ref="AD42" si="60">AC42+1</f>
        <v>201510</v>
      </c>
      <c r="AE42" s="484">
        <f>AD42+1</f>
        <v>201511</v>
      </c>
      <c r="AF42" s="484">
        <f t="shared" ref="AF42" si="61">AE42+1</f>
        <v>201512</v>
      </c>
      <c r="AG42" s="484">
        <v>201601</v>
      </c>
      <c r="AH42" s="484">
        <f>AG42+1</f>
        <v>201602</v>
      </c>
      <c r="AI42" s="484">
        <f t="shared" ref="AI42:AR42" si="62">AH42+1</f>
        <v>201603</v>
      </c>
      <c r="AJ42" s="484">
        <f t="shared" si="62"/>
        <v>201604</v>
      </c>
      <c r="AK42" s="484">
        <f t="shared" si="62"/>
        <v>201605</v>
      </c>
      <c r="AL42" s="484">
        <f t="shared" si="62"/>
        <v>201606</v>
      </c>
      <c r="AM42" s="484">
        <f t="shared" si="62"/>
        <v>201607</v>
      </c>
      <c r="AN42" s="484">
        <f t="shared" si="62"/>
        <v>201608</v>
      </c>
      <c r="AO42" s="484">
        <f t="shared" si="62"/>
        <v>201609</v>
      </c>
      <c r="AP42" s="484">
        <f t="shared" si="62"/>
        <v>201610</v>
      </c>
      <c r="AQ42" s="484">
        <f t="shared" si="62"/>
        <v>201611</v>
      </c>
      <c r="AR42" s="484">
        <f t="shared" si="62"/>
        <v>201612</v>
      </c>
      <c r="AS42" s="599"/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1681.6633701728074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>
        <v>3.4599999999999999E-2</v>
      </c>
      <c r="AK43" s="488">
        <v>3.4599999999999999E-2</v>
      </c>
      <c r="AL43" s="488">
        <v>3.4599999999999999E-2</v>
      </c>
      <c r="AM43" s="488">
        <v>3.5000000000000003E-2</v>
      </c>
      <c r="AN43" s="488"/>
      <c r="AO43" s="488"/>
      <c r="AP43" s="488"/>
      <c r="AQ43" s="488"/>
      <c r="AR43" s="488"/>
      <c r="AS43" s="599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76659.394099827172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" si="63">AE49</f>
        <v>-2966848.8846008489</v>
      </c>
      <c r="AG44" s="482">
        <f t="shared" ref="AG44" si="64">AF49</f>
        <v>-2400830.7877258095</v>
      </c>
      <c r="AH44" s="482">
        <f t="shared" ref="AH44" si="65">AG49</f>
        <v>-1799942.4443073752</v>
      </c>
      <c r="AI44" s="482">
        <f t="shared" ref="AI44" si="66">AH49</f>
        <v>-1367080.388300563</v>
      </c>
      <c r="AJ44" s="482">
        <f t="shared" ref="AJ44" si="67">AI49</f>
        <v>-991269.16134300514</v>
      </c>
      <c r="AK44" s="482">
        <f t="shared" ref="AK44" si="68">AJ49</f>
        <v>-820633.96798459429</v>
      </c>
      <c r="AL44" s="482">
        <f>AK49</f>
        <v>-706831.28344430251</v>
      </c>
      <c r="AM44" s="482">
        <f t="shared" ref="AM44" si="69">AL49</f>
        <v>-615740.82707996247</v>
      </c>
      <c r="AN44" s="482">
        <f t="shared" ref="AN44" si="70">AM49</f>
        <v>-539081.43298013532</v>
      </c>
      <c r="AO44" s="482">
        <f t="shared" ref="AO44" si="71">AN49</f>
        <v>-539081.43298013532</v>
      </c>
      <c r="AP44" s="482">
        <f t="shared" ref="AP44" si="72">AO49</f>
        <v>-539081.43298013532</v>
      </c>
      <c r="AQ44" s="482">
        <f t="shared" ref="AQ44" si="73">AP49</f>
        <v>-539081.43298013532</v>
      </c>
      <c r="AR44" s="482">
        <f t="shared" ref="AR44" si="74">AQ49</f>
        <v>-539081.43298013532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78341.057469999985</v>
      </c>
    </row>
    <row r="45" spans="1:51" ht="16.2">
      <c r="B45" s="481" t="s">
        <v>23</v>
      </c>
      <c r="C45" s="482">
        <f>SUM(AG45:AR45)</f>
        <v>1883295.3176999995</v>
      </c>
      <c r="D45" s="494">
        <f>SUM(AE45:AP45)</f>
        <v>2913668.3177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75">SUMPRODUCT(AH19:AH27,AH32:AH40)</f>
        <v>437144.93303000001</v>
      </c>
      <c r="AI45" s="482">
        <f t="shared" si="75"/>
        <v>379000.50648999994</v>
      </c>
      <c r="AJ45" s="482">
        <f t="shared" si="75"/>
        <v>173243.59325999999</v>
      </c>
      <c r="AK45" s="482">
        <f t="shared" si="75"/>
        <v>116001.61016</v>
      </c>
      <c r="AL45" s="482">
        <f>SUMPRODUCT(AL19:AL27,AL32:AL40)</f>
        <v>92994.419610000012</v>
      </c>
      <c r="AM45" s="482">
        <f t="shared" si="75"/>
        <v>78341.057469999985</v>
      </c>
      <c r="AN45" s="482">
        <f t="shared" si="75"/>
        <v>0</v>
      </c>
      <c r="AO45" s="482">
        <f t="shared" si="75"/>
        <v>0</v>
      </c>
      <c r="AP45" s="482">
        <f t="shared" si="75"/>
        <v>0</v>
      </c>
      <c r="AQ45" s="482">
        <f t="shared" si="75"/>
        <v>0</v>
      </c>
      <c r="AR45" s="482">
        <f t="shared" si="75"/>
        <v>0</v>
      </c>
      <c r="AT45" s="153" t="s">
        <v>156</v>
      </c>
      <c r="AU45" s="209">
        <f>AU43</f>
        <v>191000</v>
      </c>
      <c r="AV45" s="209" t="str">
        <f t="shared" ref="AV45:AW45" si="76">AV43</f>
        <v>GD</v>
      </c>
      <c r="AW45" s="209" t="str">
        <f t="shared" si="76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77">SUM(AG46:AR46)</f>
        <v>-21545.962954325772</v>
      </c>
      <c r="D46" s="494">
        <f t="shared" ref="D46" si="78">SUM(AE46:AP46)</f>
        <v>-37513.754150096924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79">((AG44+AG47)*(AG43/12))+(((AG45+AG48)/2)*(AG43/12))</f>
        <v>-5680.8542615657343</v>
      </c>
      <c r="AH46" s="489">
        <f t="shared" si="79"/>
        <v>-4282.8770231876824</v>
      </c>
      <c r="AI46" s="489">
        <f t="shared" si="79"/>
        <v>-3189.27953244215</v>
      </c>
      <c r="AJ46" s="489">
        <f t="shared" si="79"/>
        <v>-2608.3999015891645</v>
      </c>
      <c r="AK46" s="489">
        <f t="shared" si="79"/>
        <v>-2198.9256197082468</v>
      </c>
      <c r="AL46" s="489">
        <f t="shared" si="79"/>
        <v>-1903.9632456599886</v>
      </c>
      <c r="AM46" s="489">
        <f t="shared" si="79"/>
        <v>-1681.6633701728074</v>
      </c>
      <c r="AN46" s="489">
        <f t="shared" si="79"/>
        <v>0</v>
      </c>
      <c r="AO46" s="489">
        <f t="shared" si="79"/>
        <v>0</v>
      </c>
      <c r="AP46" s="489">
        <f t="shared" si="79"/>
        <v>0</v>
      </c>
      <c r="AQ46" s="489">
        <f t="shared" si="79"/>
        <v>0</v>
      </c>
      <c r="AR46" s="489">
        <f t="shared" si="79"/>
        <v>0</v>
      </c>
      <c r="AT46" s="154" t="str">
        <f>AT45</f>
        <v>Large Customer Refund</v>
      </c>
      <c r="AU46" s="561">
        <f>AU44</f>
        <v>805110</v>
      </c>
      <c r="AV46" s="561" t="str">
        <f t="shared" ref="AV46:AW46" si="80">AV44</f>
        <v>GD</v>
      </c>
      <c r="AW46" s="561" t="str">
        <f t="shared" si="80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77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77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1861749.3547456737</v>
      </c>
      <c r="D49" s="541"/>
      <c r="E49" s="541">
        <f>SUM(E44:E48)</f>
        <v>-46035.360287444513</v>
      </c>
      <c r="F49" s="541">
        <f t="shared" ref="F49" si="81">SUM(F44:F48)</f>
        <v>404885.58467682183</v>
      </c>
      <c r="G49" s="541">
        <f t="shared" ref="G49" si="82">SUM(G44:G48)</f>
        <v>1486369.5928734979</v>
      </c>
      <c r="H49" s="541">
        <f t="shared" ref="H49" si="83">SUM(H44:H48)</f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E49" si="84">SUM(V44:V48)</f>
        <v>-978605.01769356499</v>
      </c>
      <c r="W49" s="541">
        <f t="shared" si="84"/>
        <v>-801445.32791263924</v>
      </c>
      <c r="X49" s="541">
        <f t="shared" si="84"/>
        <v>-669275.24177190254</v>
      </c>
      <c r="Y49" s="541">
        <f t="shared" si="84"/>
        <v>-610882.24266902648</v>
      </c>
      <c r="Z49" s="541">
        <f t="shared" si="84"/>
        <v>-574943.04011245095</v>
      </c>
      <c r="AA49" s="541">
        <f t="shared" si="84"/>
        <v>-537511.27700320142</v>
      </c>
      <c r="AB49" s="541">
        <f t="shared" si="84"/>
        <v>-503286.03358886426</v>
      </c>
      <c r="AC49" s="541">
        <f t="shared" si="84"/>
        <v>-446057.56644618412</v>
      </c>
      <c r="AD49" s="541">
        <f t="shared" si="84"/>
        <v>-360318.05653003836</v>
      </c>
      <c r="AE49" s="541">
        <f t="shared" si="84"/>
        <v>-2966848.8846008489</v>
      </c>
      <c r="AF49" s="541">
        <f t="shared" ref="AF49:AR49" si="85">SUM(AF44:AF48)</f>
        <v>-2400830.7877258095</v>
      </c>
      <c r="AG49" s="541">
        <f t="shared" si="85"/>
        <v>-1799942.4443073752</v>
      </c>
      <c r="AH49" s="541">
        <f t="shared" si="85"/>
        <v>-1367080.388300563</v>
      </c>
      <c r="AI49" s="541">
        <f t="shared" si="85"/>
        <v>-991269.16134300514</v>
      </c>
      <c r="AJ49" s="541">
        <f t="shared" si="85"/>
        <v>-820633.96798459429</v>
      </c>
      <c r="AK49" s="541">
        <f t="shared" si="85"/>
        <v>-706831.28344430251</v>
      </c>
      <c r="AL49" s="541">
        <f t="shared" si="85"/>
        <v>-615740.82707996247</v>
      </c>
      <c r="AM49" s="541">
        <f>SUM(AM44:AM48)</f>
        <v>-539081.43298013532</v>
      </c>
      <c r="AN49" s="541">
        <f t="shared" si="85"/>
        <v>-539081.43298013532</v>
      </c>
      <c r="AO49" s="541">
        <f t="shared" si="85"/>
        <v>-539081.43298013532</v>
      </c>
      <c r="AP49" s="541">
        <f t="shared" si="85"/>
        <v>-539081.43298013532</v>
      </c>
      <c r="AQ49" s="541">
        <f t="shared" si="85"/>
        <v>-539081.43298013532</v>
      </c>
      <c r="AR49" s="541">
        <f t="shared" si="85"/>
        <v>-539081.43298013532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86">E49-E50</f>
        <v>-0.22028744451381499</v>
      </c>
      <c r="F51" s="482">
        <f t="shared" si="86"/>
        <v>-0.22532317816512659</v>
      </c>
      <c r="G51" s="482">
        <f t="shared" si="86"/>
        <v>-0.22712650219909847</v>
      </c>
      <c r="H51" s="482">
        <f t="shared" si="86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D51" si="87">V49-V50</f>
        <v>-0.21769356494769454</v>
      </c>
      <c r="W51" s="482">
        <f t="shared" si="87"/>
        <v>-0.21791263925842941</v>
      </c>
      <c r="X51" s="482">
        <f t="shared" si="87"/>
        <v>-0.22177190252114087</v>
      </c>
      <c r="Y51" s="482">
        <f t="shared" si="87"/>
        <v>-0.22266902646515518</v>
      </c>
      <c r="Z51" s="482">
        <f t="shared" si="87"/>
        <v>-0.22011245100293308</v>
      </c>
      <c r="AA51" s="482">
        <f t="shared" si="87"/>
        <v>-0.21700320136733353</v>
      </c>
      <c r="AB51" s="482">
        <f t="shared" si="87"/>
        <v>-0.21358886425150558</v>
      </c>
      <c r="AC51" s="482">
        <f t="shared" si="87"/>
        <v>-0.21644618414575234</v>
      </c>
      <c r="AD51" s="482">
        <f t="shared" si="87"/>
        <v>-0.21653003833489493</v>
      </c>
      <c r="AE51" s="482">
        <f t="shared" ref="AE51:AR51" si="88">AE49-AE50</f>
        <v>-0.21460084896534681</v>
      </c>
      <c r="AF51" s="482">
        <f t="shared" si="88"/>
        <v>-0.21772580966353416</v>
      </c>
      <c r="AG51" s="482">
        <f t="shared" si="88"/>
        <v>-0.22430737526156008</v>
      </c>
      <c r="AH51" s="482">
        <f t="shared" si="88"/>
        <v>-0.21830056305043399</v>
      </c>
      <c r="AI51" s="482">
        <f t="shared" si="88"/>
        <v>-0.22134300519246608</v>
      </c>
      <c r="AJ51" s="482">
        <f t="shared" si="88"/>
        <v>-0.2179845942882821</v>
      </c>
      <c r="AK51" s="482">
        <f>AK49-AK50</f>
        <v>-0.21344430255703628</v>
      </c>
      <c r="AL51" s="482">
        <f t="shared" si="88"/>
        <v>-0.21707996248733252</v>
      </c>
      <c r="AM51" s="482">
        <f>AM49-AM50</f>
        <v>76659.17701986467</v>
      </c>
      <c r="AN51" s="482">
        <f t="shared" si="88"/>
        <v>76659.17701986467</v>
      </c>
      <c r="AO51" s="482">
        <f t="shared" si="88"/>
        <v>-539081.43298013532</v>
      </c>
      <c r="AP51" s="482">
        <f t="shared" si="88"/>
        <v>-539081.43298013532</v>
      </c>
      <c r="AQ51" s="482">
        <f t="shared" si="88"/>
        <v>-539081.43298013532</v>
      </c>
      <c r="AR51" s="482">
        <f t="shared" si="88"/>
        <v>-539081.43298013532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" si="89">U54+1</f>
        <v>201502</v>
      </c>
      <c r="W54" s="484">
        <f t="shared" ref="W54" si="90">V54+1</f>
        <v>201503</v>
      </c>
      <c r="X54" s="484">
        <f t="shared" ref="X54" si="91">W54+1</f>
        <v>201504</v>
      </c>
      <c r="Y54" s="484">
        <f t="shared" ref="Y54" si="92">X54+1</f>
        <v>201505</v>
      </c>
      <c r="Z54" s="484">
        <f t="shared" ref="Z54" si="93">Y54+1</f>
        <v>201506</v>
      </c>
      <c r="AA54" s="484">
        <f t="shared" ref="AA54" si="94">Z54+1</f>
        <v>201507</v>
      </c>
      <c r="AB54" s="484">
        <f t="shared" ref="AB54" si="95">AA54+1</f>
        <v>201508</v>
      </c>
      <c r="AC54" s="484">
        <f t="shared" ref="AC54" si="96">AB54+1</f>
        <v>201509</v>
      </c>
      <c r="AD54" s="484">
        <f t="shared" ref="AD54" si="97">AC54+1</f>
        <v>201510</v>
      </c>
      <c r="AE54" s="484">
        <f>AD54+1</f>
        <v>201511</v>
      </c>
      <c r="AF54" s="484">
        <f t="shared" ref="AF54" si="98">AE54+1</f>
        <v>201512</v>
      </c>
      <c r="AG54" s="484">
        <v>201601</v>
      </c>
      <c r="AH54" s="484">
        <f>AG54+1</f>
        <v>201602</v>
      </c>
      <c r="AI54" s="484">
        <f t="shared" ref="AI54:AR54" si="99">AH54+1</f>
        <v>201603</v>
      </c>
      <c r="AJ54" s="484">
        <f t="shared" si="99"/>
        <v>201604</v>
      </c>
      <c r="AK54" s="484">
        <f t="shared" si="99"/>
        <v>201605</v>
      </c>
      <c r="AL54" s="484">
        <f t="shared" si="99"/>
        <v>201606</v>
      </c>
      <c r="AM54" s="484">
        <f t="shared" si="99"/>
        <v>201607</v>
      </c>
      <c r="AN54" s="484">
        <f t="shared" si="99"/>
        <v>201608</v>
      </c>
      <c r="AO54" s="484">
        <f t="shared" si="99"/>
        <v>201609</v>
      </c>
      <c r="AP54" s="484">
        <f t="shared" si="99"/>
        <v>201610</v>
      </c>
      <c r="AQ54" s="484">
        <f t="shared" si="99"/>
        <v>201611</v>
      </c>
      <c r="AR54" s="484">
        <f t="shared" si="99"/>
        <v>201612</v>
      </c>
      <c r="AX54" s="563"/>
    </row>
    <row r="55" spans="1:50">
      <c r="A55" s="483"/>
      <c r="B55" s="481" t="s">
        <v>37</v>
      </c>
      <c r="C55" s="491">
        <f>SUM(AG55:AR55)</f>
        <v>60467368</v>
      </c>
      <c r="D55" s="491">
        <f>SUM(AE55:AP55)</f>
        <v>95302197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>
        <f>Mar!$G23</f>
        <v>12238194</v>
      </c>
      <c r="AJ55" s="543">
        <f>Apr!$G23</f>
        <v>5348802</v>
      </c>
      <c r="AK55" s="543">
        <f>May!$G23</f>
        <v>3384728</v>
      </c>
      <c r="AL55" s="543">
        <f>Jun!G23</f>
        <v>2765049</v>
      </c>
      <c r="AM55" s="543">
        <f>Jul!G23</f>
        <v>2292583</v>
      </c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100">SUM(AG56:AR56)</f>
        <v>77086</v>
      </c>
      <c r="D56" s="491">
        <f t="shared" ref="D56:D63" si="101">SUM(AE56:AP56)</f>
        <v>88530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>
        <f>Mar!$G24</f>
        <v>18603</v>
      </c>
      <c r="AJ56" s="543">
        <f>Apr!$G24</f>
        <v>12171</v>
      </c>
      <c r="AK56" s="543">
        <f>May!$G24</f>
        <v>5734</v>
      </c>
      <c r="AL56" s="543">
        <f>Jun!G24</f>
        <v>4482</v>
      </c>
      <c r="AM56" s="543">
        <f>Jul!G24</f>
        <v>3610</v>
      </c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100"/>
        <v>24639677</v>
      </c>
      <c r="D57" s="491">
        <f t="shared" si="101"/>
        <v>36309129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>
        <f>Mar!$G25</f>
        <v>4795258</v>
      </c>
      <c r="AJ57" s="543">
        <f>Apr!$G25</f>
        <v>2668983</v>
      </c>
      <c r="AK57" s="543">
        <f>May!$G25</f>
        <v>2221542</v>
      </c>
      <c r="AL57" s="543">
        <f>Jun!G25</f>
        <v>1675034</v>
      </c>
      <c r="AM57" s="543">
        <f>Jul!G25</f>
        <v>1510014</v>
      </c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100"/>
        <v>0</v>
      </c>
      <c r="D58" s="491">
        <f t="shared" si="101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>
        <f>Mar!$G26</f>
        <v>0</v>
      </c>
      <c r="AJ58" s="543">
        <f>Apr!$G26</f>
        <v>0</v>
      </c>
      <c r="AK58" s="543">
        <f>May!$G26</f>
        <v>0</v>
      </c>
      <c r="AL58" s="543">
        <f>Jun!G26</f>
        <v>0</v>
      </c>
      <c r="AM58" s="543">
        <f>Jul!G26</f>
        <v>0</v>
      </c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100"/>
        <v>2147252</v>
      </c>
      <c r="D59" s="491">
        <f t="shared" si="101"/>
        <v>3020430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>
        <f>Mar!$G27</f>
        <v>361566</v>
      </c>
      <c r="AJ59" s="543">
        <f>Apr!$G27</f>
        <v>227877</v>
      </c>
      <c r="AK59" s="543">
        <f>May!$G27</f>
        <v>311290</v>
      </c>
      <c r="AL59" s="543">
        <f>Jun!G27</f>
        <v>225272</v>
      </c>
      <c r="AM59" s="543">
        <f>Jul!G27</f>
        <v>266816</v>
      </c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100"/>
        <v>370480</v>
      </c>
      <c r="D60" s="491">
        <f t="shared" si="101"/>
        <v>492841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>
        <f>Mar!$G28</f>
        <v>59583</v>
      </c>
      <c r="AJ60" s="543">
        <f>Apr!$G28</f>
        <v>54523</v>
      </c>
      <c r="AK60" s="543">
        <f>May!$G28</f>
        <v>42598</v>
      </c>
      <c r="AL60" s="543">
        <f>Jun!G28</f>
        <v>35139</v>
      </c>
      <c r="AM60" s="543">
        <f>Jul!G28</f>
        <v>27605</v>
      </c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100"/>
        <v>0</v>
      </c>
      <c r="D61" s="491">
        <f t="shared" si="101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>
        <f>Mar!$G29</f>
        <v>0</v>
      </c>
      <c r="AJ61" s="543">
        <f>Apr!$G29</f>
        <v>0</v>
      </c>
      <c r="AK61" s="543">
        <f>May!$G29</f>
        <v>0</v>
      </c>
      <c r="AL61" s="543">
        <f>Jun!G29</f>
        <v>0</v>
      </c>
      <c r="AM61" s="543">
        <f>Jul!G29</f>
        <v>0</v>
      </c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100"/>
        <v>633033</v>
      </c>
      <c r="D62" s="491">
        <f t="shared" si="101"/>
        <v>758981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>
        <f>Mar!$G30</f>
        <v>89942</v>
      </c>
      <c r="AJ62" s="543">
        <f>Apr!$G30</f>
        <v>82073</v>
      </c>
      <c r="AK62" s="543">
        <f>May!$G30</f>
        <v>57685</v>
      </c>
      <c r="AL62" s="543">
        <f>Jun!G30</f>
        <v>51713</v>
      </c>
      <c r="AM62" s="543">
        <f>Jul!G30</f>
        <v>45567</v>
      </c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100"/>
        <v>17971060</v>
      </c>
      <c r="D63" s="491">
        <f t="shared" si="101"/>
        <v>24312302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>
        <f>Mar!$G31</f>
        <v>2822744</v>
      </c>
      <c r="AJ63" s="543">
        <f>Apr!$G31</f>
        <v>2379815</v>
      </c>
      <c r="AK63" s="543">
        <f>May!$G31</f>
        <v>2359261</v>
      </c>
      <c r="AL63" s="543">
        <f>Jun!G31</f>
        <v>2149880</v>
      </c>
      <c r="AM63" s="543">
        <f>Jul!G31</f>
        <v>1956378</v>
      </c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106305956</v>
      </c>
      <c r="D64" s="542">
        <f t="shared" ref="D64:D65" si="102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" si="103">SUM(G55:G63)</f>
        <v>24248041</v>
      </c>
      <c r="H64" s="542">
        <f t="shared" ref="H64" si="104">SUM(H55:H63)</f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" si="105">SUM(V55:V63)</f>
        <v>22001617</v>
      </c>
      <c r="W64" s="542">
        <f t="shared" ref="W64:AR64" si="106">SUM(W55:W63)</f>
        <v>17611817</v>
      </c>
      <c r="X64" s="542">
        <f t="shared" si="106"/>
        <v>14163392</v>
      </c>
      <c r="Y64" s="542">
        <f t="shared" si="106"/>
        <v>7782410</v>
      </c>
      <c r="Z64" s="542">
        <f t="shared" si="106"/>
        <v>5881684</v>
      </c>
      <c r="AA64" s="542">
        <f t="shared" si="106"/>
        <v>5669948</v>
      </c>
      <c r="AB64" s="542">
        <f t="shared" si="106"/>
        <v>5554978</v>
      </c>
      <c r="AC64" s="542">
        <f t="shared" si="106"/>
        <v>7484702</v>
      </c>
      <c r="AD64" s="542">
        <f t="shared" si="106"/>
        <v>10158046</v>
      </c>
      <c r="AE64" s="542">
        <f t="shared" si="106"/>
        <v>24566038</v>
      </c>
      <c r="AF64" s="542">
        <f t="shared" si="106"/>
        <v>29412416</v>
      </c>
      <c r="AG64" s="542">
        <f t="shared" si="106"/>
        <v>30707107</v>
      </c>
      <c r="AH64" s="542">
        <f t="shared" si="106"/>
        <v>23046735</v>
      </c>
      <c r="AI64" s="542">
        <f t="shared" si="106"/>
        <v>20385890</v>
      </c>
      <c r="AJ64" s="542">
        <f t="shared" si="106"/>
        <v>10774244</v>
      </c>
      <c r="AK64" s="542">
        <f t="shared" si="106"/>
        <v>8382838</v>
      </c>
      <c r="AL64" s="542">
        <f t="shared" si="106"/>
        <v>6906569</v>
      </c>
      <c r="AM64" s="542">
        <f>SUM(AM55:AM63)</f>
        <v>6102573</v>
      </c>
      <c r="AN64" s="542">
        <f t="shared" si="106"/>
        <v>0</v>
      </c>
      <c r="AO64" s="542">
        <f t="shared" si="106"/>
        <v>0</v>
      </c>
      <c r="AP64" s="542">
        <f t="shared" si="106"/>
        <v>0</v>
      </c>
      <c r="AQ64" s="542">
        <f t="shared" si="106"/>
        <v>0</v>
      </c>
      <c r="AR64" s="542">
        <f t="shared" si="106"/>
        <v>0</v>
      </c>
    </row>
    <row r="65" spans="1:51" ht="16.2" thickTop="1">
      <c r="A65" s="483"/>
      <c r="B65" s="481" t="s">
        <v>269</v>
      </c>
      <c r="C65" s="491">
        <f>SUM(AG65:AR65)</f>
        <v>106305956</v>
      </c>
      <c r="D65" s="491">
        <f t="shared" si="102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>
        <v>10774244</v>
      </c>
      <c r="AK65" s="491">
        <v>8382838</v>
      </c>
      <c r="AL65" s="491">
        <v>6906569</v>
      </c>
      <c r="AM65" s="491">
        <v>6102573</v>
      </c>
      <c r="AN65" s="491"/>
      <c r="AO65" s="491"/>
      <c r="AP65" s="491"/>
      <c r="AQ65" s="491"/>
      <c r="AR65" s="491"/>
      <c r="AS65" s="60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" si="107">U67+1</f>
        <v>201502</v>
      </c>
      <c r="W67" s="484">
        <f t="shared" ref="W67" si="108">V67+1</f>
        <v>201503</v>
      </c>
      <c r="X67" s="484">
        <f t="shared" ref="X67" si="109">W67+1</f>
        <v>201504</v>
      </c>
      <c r="Y67" s="484">
        <f t="shared" ref="Y67" si="110">X67+1</f>
        <v>201505</v>
      </c>
      <c r="Z67" s="484">
        <f t="shared" ref="Z67" si="111">Y67+1</f>
        <v>201506</v>
      </c>
      <c r="AA67" s="484">
        <f t="shared" ref="AA67" si="112">Z67+1</f>
        <v>201507</v>
      </c>
      <c r="AB67" s="484">
        <f t="shared" ref="AB67" si="113">AA67+1</f>
        <v>201508</v>
      </c>
      <c r="AC67" s="484">
        <f t="shared" ref="AC67" si="114">AB67+1</f>
        <v>201509</v>
      </c>
      <c r="AD67" s="484">
        <f t="shared" ref="AD67" si="115">AC67+1</f>
        <v>201510</v>
      </c>
      <c r="AE67" s="484">
        <f>AD67+1</f>
        <v>201511</v>
      </c>
      <c r="AF67" s="484">
        <f t="shared" ref="AF67" si="116">AE67+1</f>
        <v>201512</v>
      </c>
      <c r="AG67" s="484">
        <v>201601</v>
      </c>
      <c r="AH67" s="484">
        <f>AG67+1</f>
        <v>201602</v>
      </c>
      <c r="AI67" s="484">
        <f t="shared" ref="AI67:AR67" si="117">AH67+1</f>
        <v>201603</v>
      </c>
      <c r="AJ67" s="484">
        <f t="shared" si="117"/>
        <v>201604</v>
      </c>
      <c r="AK67" s="484">
        <f t="shared" si="117"/>
        <v>201605</v>
      </c>
      <c r="AL67" s="484">
        <f t="shared" si="117"/>
        <v>201606</v>
      </c>
      <c r="AM67" s="484">
        <f t="shared" si="117"/>
        <v>201607</v>
      </c>
      <c r="AN67" s="484">
        <f t="shared" si="117"/>
        <v>201608</v>
      </c>
      <c r="AO67" s="484">
        <f t="shared" si="117"/>
        <v>201609</v>
      </c>
      <c r="AP67" s="484">
        <f t="shared" si="117"/>
        <v>201610</v>
      </c>
      <c r="AQ67" s="484">
        <f t="shared" si="117"/>
        <v>201611</v>
      </c>
      <c r="AR67" s="484">
        <f t="shared" si="117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201607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578.13290999999992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578.13290999999992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" si="118">U78+1</f>
        <v>201502</v>
      </c>
      <c r="W78" s="484">
        <f t="shared" ref="W78" si="119">V78+1</f>
        <v>201503</v>
      </c>
      <c r="X78" s="484">
        <f t="shared" ref="X78" si="120">W78+1</f>
        <v>201504</v>
      </c>
      <c r="Y78" s="484">
        <f t="shared" ref="Y78" si="121">X78+1</f>
        <v>201505</v>
      </c>
      <c r="Z78" s="484">
        <f t="shared" ref="Z78" si="122">Y78+1</f>
        <v>201506</v>
      </c>
      <c r="AA78" s="484">
        <f t="shared" ref="AA78" si="123">Z78+1</f>
        <v>201507</v>
      </c>
      <c r="AB78" s="484">
        <f t="shared" ref="AB78" si="124">AA78+1</f>
        <v>201508</v>
      </c>
      <c r="AC78" s="484">
        <f t="shared" ref="AC78" si="125">AB78+1</f>
        <v>201509</v>
      </c>
      <c r="AD78" s="484">
        <f t="shared" ref="AD78" si="126">AC78+1</f>
        <v>201510</v>
      </c>
      <c r="AE78" s="484">
        <f>AD78+1</f>
        <v>201511</v>
      </c>
      <c r="AF78" s="484">
        <f t="shared" ref="AF78" si="127">AE78+1</f>
        <v>201512</v>
      </c>
      <c r="AG78" s="484">
        <v>201601</v>
      </c>
      <c r="AH78" s="484">
        <f>AG78+1</f>
        <v>201602</v>
      </c>
      <c r="AI78" s="484">
        <f t="shared" ref="AI78:AR78" si="128">AH78+1</f>
        <v>201603</v>
      </c>
      <c r="AJ78" s="484">
        <f t="shared" si="128"/>
        <v>201604</v>
      </c>
      <c r="AK78" s="484">
        <f t="shared" si="128"/>
        <v>201605</v>
      </c>
      <c r="AL78" s="484">
        <f t="shared" si="128"/>
        <v>201606</v>
      </c>
      <c r="AM78" s="484">
        <f t="shared" si="128"/>
        <v>201607</v>
      </c>
      <c r="AN78" s="484">
        <f t="shared" si="128"/>
        <v>201608</v>
      </c>
      <c r="AO78" s="484">
        <f t="shared" si="128"/>
        <v>201609</v>
      </c>
      <c r="AP78" s="484">
        <f t="shared" si="128"/>
        <v>201610</v>
      </c>
      <c r="AQ78" s="484">
        <f t="shared" si="128"/>
        <v>201611</v>
      </c>
      <c r="AR78" s="484">
        <f t="shared" si="128"/>
        <v>201612</v>
      </c>
      <c r="AS78" s="599"/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129">AF82</f>
        <v>-18146.93566000001</v>
      </c>
      <c r="AH79" s="482">
        <f t="shared" si="129"/>
        <v>-14523.147320000011</v>
      </c>
      <c r="AI79" s="482">
        <f t="shared" si="129"/>
        <v>-11852.264220000012</v>
      </c>
      <c r="AJ79" s="482">
        <f t="shared" si="129"/>
        <v>-9512.6003600000113</v>
      </c>
      <c r="AK79" s="482">
        <f t="shared" si="129"/>
        <v>-8373.7282900000118</v>
      </c>
      <c r="AL79" s="482">
        <f t="shared" si="129"/>
        <v>-7543.4780600000122</v>
      </c>
      <c r="AM79" s="482">
        <f t="shared" si="129"/>
        <v>-6882.1108900000127</v>
      </c>
      <c r="AN79" s="482">
        <f t="shared" si="129"/>
        <v>-6303.9779800000124</v>
      </c>
      <c r="AO79" s="482">
        <f t="shared" si="129"/>
        <v>-6303.9779800000124</v>
      </c>
      <c r="AP79" s="482">
        <f t="shared" si="129"/>
        <v>-6303.9779800000124</v>
      </c>
      <c r="AQ79" s="482">
        <f t="shared" si="129"/>
        <v>-6303.9779800000124</v>
      </c>
      <c r="AR79" s="482">
        <f t="shared" si="129"/>
        <v>-6303.9779800000124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11842.957679999998</v>
      </c>
      <c r="D80" s="494">
        <f>SUM(AE80:AP80)</f>
        <v>16893.957679999996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130">SUMPRODUCT(AH55:AH63,AH68:AH76)</f>
        <v>2670.8831</v>
      </c>
      <c r="AI80" s="563">
        <f t="shared" si="130"/>
        <v>2339.6638599999997</v>
      </c>
      <c r="AJ80" s="563">
        <f t="shared" si="130"/>
        <v>1138.8720699999999</v>
      </c>
      <c r="AK80" s="563">
        <f t="shared" si="130"/>
        <v>830.25022999999999</v>
      </c>
      <c r="AL80" s="563">
        <f>SUMPRODUCT(AL55:AL63,AL68:AL76)</f>
        <v>661.36716999999987</v>
      </c>
      <c r="AM80" s="563">
        <f t="shared" si="130"/>
        <v>578.13290999999992</v>
      </c>
      <c r="AN80" s="563">
        <f t="shared" si="130"/>
        <v>0</v>
      </c>
      <c r="AO80" s="563">
        <f t="shared" si="130"/>
        <v>0</v>
      </c>
      <c r="AP80" s="563">
        <f t="shared" si="130"/>
        <v>0</v>
      </c>
      <c r="AQ80" s="563">
        <f t="shared" si="130"/>
        <v>0</v>
      </c>
      <c r="AR80" s="563">
        <f t="shared" si="130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11842.957679999998</v>
      </c>
      <c r="D82" s="541"/>
      <c r="E82" s="541">
        <f t="shared" ref="E82:H82" si="131">SUM(E79:E81)</f>
        <v>38932.729789999998</v>
      </c>
      <c r="F82" s="541">
        <f t="shared" si="131"/>
        <v>8140.2385399999985</v>
      </c>
      <c r="G82" s="541">
        <f t="shared" si="131"/>
        <v>-693.68146000000161</v>
      </c>
      <c r="H82" s="541">
        <f t="shared" si="131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132">SUM(V79:V81)</f>
        <v>-38138.117780000015</v>
      </c>
      <c r="W82" s="541">
        <f t="shared" si="132"/>
        <v>-34282.961340000016</v>
      </c>
      <c r="X82" s="541">
        <f t="shared" si="132"/>
        <v>-31253.873050000017</v>
      </c>
      <c r="Y82" s="541">
        <f t="shared" si="132"/>
        <v>-29770.929110000015</v>
      </c>
      <c r="Z82" s="541">
        <f t="shared" si="132"/>
        <v>-28708.282540000015</v>
      </c>
      <c r="AA82" s="541">
        <f t="shared" si="132"/>
        <v>-27692.487530000013</v>
      </c>
      <c r="AB82" s="541">
        <f t="shared" si="132"/>
        <v>-26711.886850000014</v>
      </c>
      <c r="AC82" s="541">
        <f t="shared" si="132"/>
        <v>-25249.174790000012</v>
      </c>
      <c r="AD82" s="541">
        <f t="shared" si="132"/>
        <v>-23171.93566000001</v>
      </c>
      <c r="AE82" s="541">
        <f t="shared" si="132"/>
        <v>-21380.93566000001</v>
      </c>
      <c r="AF82" s="541">
        <f t="shared" si="132"/>
        <v>-18146.93566000001</v>
      </c>
      <c r="AG82" s="541">
        <f t="shared" si="132"/>
        <v>-14523.147320000011</v>
      </c>
      <c r="AH82" s="541">
        <f t="shared" si="132"/>
        <v>-11852.264220000012</v>
      </c>
      <c r="AI82" s="541">
        <f t="shared" si="132"/>
        <v>-9512.6003600000113</v>
      </c>
      <c r="AJ82" s="541">
        <f t="shared" si="132"/>
        <v>-8373.7282900000118</v>
      </c>
      <c r="AK82" s="541">
        <f t="shared" si="132"/>
        <v>-7543.4780600000122</v>
      </c>
      <c r="AL82" s="541">
        <f t="shared" si="132"/>
        <v>-6882.1108900000127</v>
      </c>
      <c r="AM82" s="541">
        <f t="shared" si="132"/>
        <v>-6303.9779800000124</v>
      </c>
      <c r="AN82" s="541">
        <f t="shared" si="132"/>
        <v>-6303.9779800000124</v>
      </c>
      <c r="AO82" s="541">
        <f t="shared" si="132"/>
        <v>-6303.9779800000124</v>
      </c>
      <c r="AP82" s="541">
        <f t="shared" si="132"/>
        <v>-6303.9779800000124</v>
      </c>
      <c r="AQ82" s="541">
        <f t="shared" si="132"/>
        <v>-6303.9779800000124</v>
      </c>
      <c r="AR82" s="541">
        <f t="shared" si="132"/>
        <v>-6303.9779800000124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133">E82-E83</f>
        <v>-2.1000000560889021E-4</v>
      </c>
      <c r="F84" s="482">
        <f t="shared" si="133"/>
        <v>-1.4600000013160752E-3</v>
      </c>
      <c r="G84" s="482">
        <f t="shared" si="133"/>
        <v>-1.4600000016571357E-3</v>
      </c>
      <c r="H84" s="482">
        <f t="shared" si="133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" si="134">V82-V83</f>
        <v>1.2219999982335139E-2</v>
      </c>
      <c r="W84" s="482">
        <f t="shared" ref="W84:AR84" si="135">W82-W83</f>
        <v>8.6599999849568121E-3</v>
      </c>
      <c r="X84" s="482">
        <f t="shared" si="135"/>
        <v>6.9499999844992999E-3</v>
      </c>
      <c r="Y84" s="482">
        <f t="shared" si="135"/>
        <v>1.0889999983191956E-2</v>
      </c>
      <c r="Z84" s="482">
        <f t="shared" si="135"/>
        <v>7.4599999861675315E-3</v>
      </c>
      <c r="AA84" s="482">
        <f t="shared" si="135"/>
        <v>2.469999988534255E-3</v>
      </c>
      <c r="AB84" s="482">
        <f t="shared" si="135"/>
        <v>3.1499999859079253E-3</v>
      </c>
      <c r="AC84" s="482">
        <f t="shared" si="135"/>
        <v>5.2099999884376302E-3</v>
      </c>
      <c r="AD84" s="482">
        <f t="shared" si="135"/>
        <v>4.339999988587806E-3</v>
      </c>
      <c r="AE84" s="482">
        <f t="shared" si="135"/>
        <v>4.339999988587806E-3</v>
      </c>
      <c r="AF84" s="482">
        <f t="shared" si="135"/>
        <v>4.339999988587806E-3</v>
      </c>
      <c r="AG84" s="482">
        <f t="shared" si="135"/>
        <v>2.6799999886861769E-3</v>
      </c>
      <c r="AH84" s="482">
        <f t="shared" si="135"/>
        <v>5.7799999885901343E-3</v>
      </c>
      <c r="AI84" s="482">
        <f t="shared" si="135"/>
        <v>9.6399999893037602E-3</v>
      </c>
      <c r="AJ84" s="482">
        <f t="shared" si="135"/>
        <v>1.1709999987942865E-2</v>
      </c>
      <c r="AK84" s="482">
        <f t="shared" si="135"/>
        <v>1.1939999987589545E-2</v>
      </c>
      <c r="AL84" s="482">
        <f t="shared" si="135"/>
        <v>9.1099999872312765E-3</v>
      </c>
      <c r="AM84" s="482">
        <f t="shared" si="135"/>
        <v>578.1420199999875</v>
      </c>
      <c r="AN84" s="482">
        <f t="shared" si="135"/>
        <v>578.1420199999875</v>
      </c>
      <c r="AO84" s="482">
        <f t="shared" si="135"/>
        <v>-6303.9779800000124</v>
      </c>
      <c r="AP84" s="482">
        <f t="shared" si="135"/>
        <v>-6303.9779800000124</v>
      </c>
      <c r="AQ84" s="482">
        <f t="shared" si="135"/>
        <v>-6303.9779800000124</v>
      </c>
      <c r="AR84" s="482">
        <f t="shared" si="135"/>
        <v>-6303.9779800000124</v>
      </c>
    </row>
  </sheetData>
  <conditionalFormatting sqref="E29 L65:AS65 K29:AK29 AN29:AS29">
    <cfRule type="cellIs" dxfId="571" priority="36" operator="notEqual">
      <formula>E28</formula>
    </cfRule>
  </conditionalFormatting>
  <conditionalFormatting sqref="F29">
    <cfRule type="cellIs" dxfId="570" priority="35" operator="notEqual">
      <formula>F28</formula>
    </cfRule>
  </conditionalFormatting>
  <conditionalFormatting sqref="G29">
    <cfRule type="cellIs" dxfId="569" priority="34" operator="notEqual">
      <formula>G28</formula>
    </cfRule>
  </conditionalFormatting>
  <conditionalFormatting sqref="H29">
    <cfRule type="cellIs" dxfId="568" priority="33" operator="notEqual">
      <formula>H28</formula>
    </cfRule>
  </conditionalFormatting>
  <conditionalFormatting sqref="G65">
    <cfRule type="cellIs" dxfId="567" priority="28" operator="notEqual">
      <formula>G64</formula>
    </cfRule>
  </conditionalFormatting>
  <conditionalFormatting sqref="H65">
    <cfRule type="cellIs" dxfId="566" priority="27" operator="notEqual">
      <formula>H64</formula>
    </cfRule>
  </conditionalFormatting>
  <conditionalFormatting sqref="E65">
    <cfRule type="cellIs" dxfId="565" priority="30" operator="notEqual">
      <formula>E64</formula>
    </cfRule>
  </conditionalFormatting>
  <conditionalFormatting sqref="F65">
    <cfRule type="cellIs" dxfId="564" priority="29" operator="notEqual">
      <formula>F64</formula>
    </cfRule>
  </conditionalFormatting>
  <conditionalFormatting sqref="AY80 AY47 AY11">
    <cfRule type="cellIs" dxfId="563" priority="24" operator="notEqual">
      <formula>0</formula>
    </cfRule>
  </conditionalFormatting>
  <conditionalFormatting sqref="D65">
    <cfRule type="cellIs" dxfId="562" priority="20" operator="notEqual">
      <formula>D64</formula>
    </cfRule>
  </conditionalFormatting>
  <conditionalFormatting sqref="C65">
    <cfRule type="cellIs" dxfId="561" priority="19" operator="notEqual">
      <formula>C64</formula>
    </cfRule>
  </conditionalFormatting>
  <conditionalFormatting sqref="D29">
    <cfRule type="cellIs" dxfId="560" priority="18" operator="notEqual">
      <formula>D28</formula>
    </cfRule>
  </conditionalFormatting>
  <conditionalFormatting sqref="C29">
    <cfRule type="cellIs" dxfId="559" priority="17" operator="notEqual">
      <formula>C28</formula>
    </cfRule>
  </conditionalFormatting>
  <conditionalFormatting sqref="I29">
    <cfRule type="cellIs" dxfId="558" priority="16" operator="notEqual">
      <formula>I28</formula>
    </cfRule>
  </conditionalFormatting>
  <conditionalFormatting sqref="I65">
    <cfRule type="cellIs" dxfId="557" priority="15" operator="notEqual">
      <formula>I64</formula>
    </cfRule>
  </conditionalFormatting>
  <conditionalFormatting sqref="J29">
    <cfRule type="cellIs" dxfId="556" priority="14" operator="notEqual">
      <formula>J28</formula>
    </cfRule>
  </conditionalFormatting>
  <conditionalFormatting sqref="J65">
    <cfRule type="cellIs" dxfId="555" priority="13" operator="notEqual">
      <formula>J64</formula>
    </cfRule>
  </conditionalFormatting>
  <conditionalFormatting sqref="K65">
    <cfRule type="cellIs" dxfId="554" priority="11" operator="notEqual">
      <formula>K64</formula>
    </cfRule>
  </conditionalFormatting>
  <conditionalFormatting sqref="U29">
    <cfRule type="cellIs" dxfId="553" priority="9" operator="notEqual">
      <formula>U28</formula>
    </cfRule>
  </conditionalFormatting>
  <conditionalFormatting sqref="U65">
    <cfRule type="cellIs" dxfId="552" priority="8" operator="notEqual">
      <formula>U64</formula>
    </cfRule>
  </conditionalFormatting>
  <conditionalFormatting sqref="V29">
    <cfRule type="cellIs" dxfId="551" priority="7" operator="notEqual">
      <formula>V28</formula>
    </cfRule>
  </conditionalFormatting>
  <conditionalFormatting sqref="V65">
    <cfRule type="cellIs" dxfId="550" priority="6" operator="notEqual">
      <formula>V64</formula>
    </cfRule>
  </conditionalFormatting>
  <conditionalFormatting sqref="W65">
    <cfRule type="cellIs" dxfId="549" priority="5" operator="notEqual">
      <formula>W64</formula>
    </cfRule>
  </conditionalFormatting>
  <conditionalFormatting sqref="AL29">
    <cfRule type="cellIs" dxfId="548" priority="2" operator="notEqual">
      <formula>AL28</formula>
    </cfRule>
  </conditionalFormatting>
  <conditionalFormatting sqref="AM29">
    <cfRule type="cellIs" dxfId="547" priority="1" operator="notEqual">
      <formula>AM28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00CC66"/>
    <pageSetUpPr fitToPage="1"/>
  </sheetPr>
  <dimension ref="A1:BA93"/>
  <sheetViews>
    <sheetView showGridLines="0" topLeftCell="B1" zoomScale="70" zoomScaleNormal="70" zoomScaleSheetLayoutView="85" workbookViewId="0">
      <pane xSplit="1" ySplit="3" topLeftCell="AE51" activePane="bottomRight" state="frozen"/>
      <selection activeCell="B1" sqref="B1"/>
      <selection pane="topRight" activeCell="C1" sqref="C1"/>
      <selection pane="bottomLeft" activeCell="B4" sqref="B4"/>
      <selection pane="bottomRight" activeCell="AM75" sqref="AM75:AM78"/>
    </sheetView>
  </sheetViews>
  <sheetFormatPr defaultColWidth="9.109375" defaultRowHeight="15.6" outlineLevelRow="2"/>
  <cols>
    <col min="1" max="1" width="16.6640625" style="482" customWidth="1"/>
    <col min="2" max="2" width="29" style="48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9" width="16.33203125" style="482" customWidth="1"/>
    <col min="40" max="44" width="16.33203125" style="482" hidden="1" customWidth="1"/>
    <col min="45" max="45" width="4.6640625" style="569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B2" s="596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" si="0">U3+1</f>
        <v>201502</v>
      </c>
      <c r="W3" s="484">
        <f t="shared" ref="W3" si="1">V3+1</f>
        <v>201503</v>
      </c>
      <c r="X3" s="484">
        <f t="shared" ref="X3" si="2">W3+1</f>
        <v>201504</v>
      </c>
      <c r="Y3" s="484">
        <f t="shared" ref="Y3" si="3">X3+1</f>
        <v>201505</v>
      </c>
      <c r="Z3" s="484">
        <f t="shared" ref="Z3" si="4">Y3+1</f>
        <v>201506</v>
      </c>
      <c r="AA3" s="484">
        <f t="shared" ref="AA3" si="5">Z3+1</f>
        <v>201507</v>
      </c>
      <c r="AB3" s="484">
        <f t="shared" ref="AB3" si="6">AA3+1</f>
        <v>201508</v>
      </c>
      <c r="AC3" s="484">
        <f t="shared" ref="AC3" si="7">AB3+1</f>
        <v>201509</v>
      </c>
      <c r="AD3" s="484">
        <f t="shared" ref="AD3" si="8">AC3+1</f>
        <v>201510</v>
      </c>
      <c r="AE3" s="484">
        <f t="shared" ref="AE3" si="9">AD3+1</f>
        <v>201511</v>
      </c>
      <c r="AF3" s="484">
        <f t="shared" ref="AF3" si="10">AE3+1</f>
        <v>201512</v>
      </c>
      <c r="AG3" s="484">
        <v>201601</v>
      </c>
      <c r="AH3" s="484">
        <f>AG3+1</f>
        <v>201602</v>
      </c>
      <c r="AI3" s="484">
        <f t="shared" ref="AI3:AR3" si="11">AH3+1</f>
        <v>201603</v>
      </c>
      <c r="AJ3" s="484">
        <f t="shared" si="11"/>
        <v>201604</v>
      </c>
      <c r="AK3" s="484">
        <f t="shared" si="11"/>
        <v>201605</v>
      </c>
      <c r="AL3" s="484">
        <f t="shared" si="11"/>
        <v>201606</v>
      </c>
      <c r="AM3" s="484">
        <f t="shared" si="11"/>
        <v>201607</v>
      </c>
      <c r="AN3" s="484">
        <f t="shared" si="11"/>
        <v>201608</v>
      </c>
      <c r="AO3" s="484">
        <f t="shared" si="11"/>
        <v>201609</v>
      </c>
      <c r="AP3" s="484">
        <f t="shared" si="11"/>
        <v>201610</v>
      </c>
      <c r="AQ3" s="484">
        <f t="shared" si="11"/>
        <v>201611</v>
      </c>
      <c r="AR3" s="484">
        <f t="shared" si="11"/>
        <v>201612</v>
      </c>
      <c r="AS3" s="599"/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S4" s="599"/>
      <c r="AT4" s="544">
        <v>201607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" si="12">AE13</f>
        <v>-2684344.9824949973</v>
      </c>
      <c r="AG5" s="482">
        <f t="shared" ref="AG5" si="13">AF13</f>
        <v>-3634681.6735539967</v>
      </c>
      <c r="AH5" s="482">
        <f t="shared" ref="AH5" si="14">AG13</f>
        <v>-4349728.1832369966</v>
      </c>
      <c r="AI5" s="482">
        <f t="shared" ref="AI5" si="15">AH13</f>
        <v>-4647235.483478996</v>
      </c>
      <c r="AJ5" s="482">
        <f t="shared" ref="AJ5" si="16">AI13</f>
        <v>-5147221.2688729959</v>
      </c>
      <c r="AK5" s="482">
        <f t="shared" ref="AK5" si="17">AJ13</f>
        <v>-6002096.6110229967</v>
      </c>
      <c r="AL5" s="482">
        <f>AK13</f>
        <v>-6406273.944958997</v>
      </c>
      <c r="AM5" s="482">
        <f>AL13</f>
        <v>-7224717.6167209959</v>
      </c>
      <c r="AN5" s="482">
        <f t="shared" ref="AN5" si="18">AM13</f>
        <v>-7883900.3474069955</v>
      </c>
      <c r="AO5" s="482">
        <f t="shared" ref="AO5" si="19">AN13</f>
        <v>-7979481.4255209956</v>
      </c>
      <c r="AP5" s="482">
        <f t="shared" ref="AP5" si="20">AO13</f>
        <v>-8279679.969798997</v>
      </c>
      <c r="AQ5" s="482">
        <f t="shared" ref="AQ5" si="21">AP13</f>
        <v>-8418811.6904279981</v>
      </c>
      <c r="AR5" s="482">
        <f t="shared" ref="AR5" si="22">AQ13</f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6292.64</v>
      </c>
      <c r="AY6" s="500">
        <v>0</v>
      </c>
    </row>
    <row r="7" spans="1:51" ht="16.2">
      <c r="B7" s="481" t="s">
        <v>255</v>
      </c>
      <c r="C7" s="482">
        <f t="shared" ref="C7:C12" si="23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659182.73068600032</v>
      </c>
    </row>
    <row r="8" spans="1:51" ht="16.2">
      <c r="B8" s="481" t="s">
        <v>258</v>
      </c>
      <c r="C8" s="482">
        <f t="shared" si="23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24">ROUND(((AG5+AG9+AG10+AG11)*(AG4/12))+((SUM(AG6:AG7)/2)*(AG4/12)),2)</f>
        <v>-3325.45</v>
      </c>
      <c r="AH8" s="489">
        <f t="shared" si="24"/>
        <v>-3747.17</v>
      </c>
      <c r="AI8" s="489">
        <f t="shared" si="24"/>
        <v>-4079.32</v>
      </c>
      <c r="AJ8" s="489">
        <f t="shared" si="24"/>
        <v>-4643.6099999999997</v>
      </c>
      <c r="AK8" s="489">
        <f t="shared" si="24"/>
        <v>-5168</v>
      </c>
      <c r="AL8" s="489">
        <f t="shared" si="24"/>
        <v>-5677.21</v>
      </c>
      <c r="AM8" s="489">
        <f>ROUND(((AM5+AM9+AM10+AM11)*(AM4/12))+((SUM(AM6:AM7)/2)*(AM4/12)),2)</f>
        <v>-6292.64</v>
      </c>
      <c r="AN8" s="489">
        <f t="shared" si="24"/>
        <v>-6606.99</v>
      </c>
      <c r="AO8" s="489">
        <f t="shared" si="24"/>
        <v>-6771.83</v>
      </c>
      <c r="AP8" s="489">
        <f t="shared" si="24"/>
        <v>-6954.81</v>
      </c>
      <c r="AQ8" s="489">
        <f t="shared" si="24"/>
        <v>-7281.77</v>
      </c>
      <c r="AR8" s="489">
        <f t="shared" si="24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652890.0906860003</v>
      </c>
      <c r="AY8" s="462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23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f t="shared" si="23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</row>
    <row r="11" spans="1:51" ht="16.2" thickBot="1">
      <c r="B11" s="481" t="s">
        <v>264</v>
      </c>
      <c r="C11" s="482">
        <f t="shared" si="23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2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25">SUM(F5:F12)</f>
        <v>-179650.44284699953</v>
      </c>
      <c r="G13" s="541">
        <f t="shared" si="25"/>
        <v>-770749.33284699952</v>
      </c>
      <c r="H13" s="541">
        <f t="shared" si="25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26">SUM(U5:U12)</f>
        <v>-645308.82581999747</v>
      </c>
      <c r="V13" s="541">
        <f t="shared" si="26"/>
        <v>-754837.52375499834</v>
      </c>
      <c r="W13" s="541">
        <f t="shared" si="26"/>
        <v>-287477.8915199968</v>
      </c>
      <c r="X13" s="541">
        <f t="shared" si="26"/>
        <v>-1224292.1730279976</v>
      </c>
      <c r="Y13" s="541">
        <f t="shared" si="26"/>
        <v>-1390232.6525299973</v>
      </c>
      <c r="Z13" s="541">
        <f t="shared" si="26"/>
        <v>-1678662.999059998</v>
      </c>
      <c r="AA13" s="541">
        <f t="shared" si="26"/>
        <v>-2022423.1820719973</v>
      </c>
      <c r="AB13" s="541">
        <f t="shared" si="26"/>
        <v>-2418884.2503219969</v>
      </c>
      <c r="AC13" s="541">
        <f t="shared" si="26"/>
        <v>-3067053.2533299979</v>
      </c>
      <c r="AD13" s="541">
        <f t="shared" si="26"/>
        <v>-3722405.068684998</v>
      </c>
      <c r="AE13" s="541">
        <f t="shared" si="26"/>
        <v>-2684344.9824949973</v>
      </c>
      <c r="AF13" s="541">
        <f t="shared" si="26"/>
        <v>-3634681.6735539967</v>
      </c>
      <c r="AG13" s="541">
        <f t="shared" si="26"/>
        <v>-4349728.1832369966</v>
      </c>
      <c r="AH13" s="541">
        <f t="shared" si="26"/>
        <v>-4647235.483478996</v>
      </c>
      <c r="AI13" s="541">
        <f t="shared" si="26"/>
        <v>-5147221.2688729959</v>
      </c>
      <c r="AJ13" s="541">
        <f t="shared" si="26"/>
        <v>-6002096.6110229967</v>
      </c>
      <c r="AK13" s="541">
        <f>SUM(AK5:AK12)</f>
        <v>-6406273.944958997</v>
      </c>
      <c r="AL13" s="541">
        <f t="shared" si="26"/>
        <v>-7224717.6167209959</v>
      </c>
      <c r="AM13" s="541">
        <f t="shared" si="26"/>
        <v>-7883900.3474069955</v>
      </c>
      <c r="AN13" s="541">
        <f t="shared" si="26"/>
        <v>-7979481.4255209956</v>
      </c>
      <c r="AO13" s="541">
        <f t="shared" si="26"/>
        <v>-8279679.969798997</v>
      </c>
      <c r="AP13" s="541">
        <f t="shared" si="26"/>
        <v>-8418811.6904279981</v>
      </c>
      <c r="AQ13" s="541">
        <f t="shared" si="26"/>
        <v>-9064727.144237997</v>
      </c>
      <c r="AR13" s="541">
        <f t="shared" si="26"/>
        <v>-10020380.825296996</v>
      </c>
    </row>
    <row r="14" spans="1:51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51">
      <c r="B15" s="481" t="s">
        <v>245</v>
      </c>
      <c r="E15" s="482">
        <f t="shared" ref="E15:H15" si="27">E13-E14</f>
        <v>-1.5300058177672327E-2</v>
      </c>
      <c r="F15" s="482">
        <f t="shared" si="27"/>
        <v>-2.2846999519970268E-2</v>
      </c>
      <c r="G15" s="482">
        <f t="shared" si="27"/>
        <v>-2.2846999461762607E-2</v>
      </c>
      <c r="H15" s="482">
        <f t="shared" si="27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28">S13-S14</f>
        <v>8.8100053835660219E-4</v>
      </c>
      <c r="T15" s="482">
        <f t="shared" si="28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A15" si="29">W13-W14</f>
        <v>-1.5199967892840505E-3</v>
      </c>
      <c r="X15" s="482">
        <f t="shared" si="29"/>
        <v>-3.0279976781457663E-3</v>
      </c>
      <c r="Y15" s="482">
        <f t="shared" si="29"/>
        <v>-2.5299973785877228E-3</v>
      </c>
      <c r="Z15" s="482">
        <f t="shared" si="29"/>
        <v>9.4000203534960747E-4</v>
      </c>
      <c r="AA15" s="482">
        <f t="shared" si="29"/>
        <v>-2.0719973836094141E-3</v>
      </c>
      <c r="AB15" s="482">
        <f t="shared" ref="AB15:AR15" si="30">AB13-AB14</f>
        <v>-3.2199686393141747E-4</v>
      </c>
      <c r="AC15" s="482">
        <f t="shared" si="30"/>
        <v>-3.3299978822469711E-3</v>
      </c>
      <c r="AD15" s="482">
        <f t="shared" si="30"/>
        <v>1.3150018639862537E-3</v>
      </c>
      <c r="AE15" s="482">
        <f t="shared" si="30"/>
        <v>-2.4949973449110985E-3</v>
      </c>
      <c r="AF15" s="482">
        <f t="shared" si="30"/>
        <v>-3.5539967939257622E-3</v>
      </c>
      <c r="AG15" s="482">
        <f t="shared" si="30"/>
        <v>-3.2369969412684441E-3</v>
      </c>
      <c r="AH15" s="482">
        <f t="shared" si="30"/>
        <v>-3.4789955243468285E-3</v>
      </c>
      <c r="AI15" s="482">
        <f t="shared" si="30"/>
        <v>1.1270036920905113E-3</v>
      </c>
      <c r="AJ15" s="482">
        <f t="shared" si="30"/>
        <v>-1.0229963809251785E-3</v>
      </c>
      <c r="AK15" s="482">
        <f t="shared" si="30"/>
        <v>-4.9589965492486954E-3</v>
      </c>
      <c r="AL15" s="482">
        <f t="shared" si="30"/>
        <v>-6.7209955304861069E-3</v>
      </c>
      <c r="AM15" s="482">
        <f>AM13-AM14</f>
        <v>-659182.73740699515</v>
      </c>
      <c r="AN15" s="482">
        <f t="shared" si="30"/>
        <v>-754763.8155209953</v>
      </c>
      <c r="AO15" s="482">
        <f t="shared" si="30"/>
        <v>-8279679.969798997</v>
      </c>
      <c r="AP15" s="482">
        <f t="shared" si="30"/>
        <v>-8418811.6904279981</v>
      </c>
      <c r="AQ15" s="482">
        <f t="shared" si="30"/>
        <v>-9064727.144237997</v>
      </c>
      <c r="AR15" s="482">
        <f t="shared" si="30"/>
        <v>-10020380.825296996</v>
      </c>
    </row>
    <row r="16" spans="1:51">
      <c r="B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" si="31">U18+1</f>
        <v>201502</v>
      </c>
      <c r="W18" s="484">
        <f t="shared" ref="W18" si="32">V18+1</f>
        <v>201503</v>
      </c>
      <c r="X18" s="484">
        <f t="shared" ref="X18" si="33">W18+1</f>
        <v>201504</v>
      </c>
      <c r="Y18" s="484">
        <f t="shared" ref="Y18" si="34">X18+1</f>
        <v>201505</v>
      </c>
      <c r="Z18" s="484">
        <f t="shared" ref="Z18" si="35">Y18+1</f>
        <v>201506</v>
      </c>
      <c r="AA18" s="484">
        <f t="shared" ref="AA18" si="36">Z18+1</f>
        <v>201507</v>
      </c>
      <c r="AB18" s="484">
        <f t="shared" ref="AB18" si="37">AA18+1</f>
        <v>201508</v>
      </c>
      <c r="AC18" s="484">
        <f t="shared" ref="AC18" si="38">AB18+1</f>
        <v>201509</v>
      </c>
      <c r="AD18" s="484">
        <f t="shared" ref="AD18" si="39">AC18+1</f>
        <v>201510</v>
      </c>
      <c r="AE18" s="484">
        <f t="shared" ref="AE18" si="40">AD18+1</f>
        <v>201511</v>
      </c>
      <c r="AF18" s="484">
        <f t="shared" ref="AF18" si="41">AE18+1</f>
        <v>201512</v>
      </c>
      <c r="AG18" s="484">
        <v>201601</v>
      </c>
      <c r="AH18" s="484">
        <f>AG18+1</f>
        <v>201602</v>
      </c>
      <c r="AI18" s="484">
        <f t="shared" ref="AI18:AR18" si="42">AH18+1</f>
        <v>201603</v>
      </c>
      <c r="AJ18" s="484">
        <f t="shared" si="42"/>
        <v>201604</v>
      </c>
      <c r="AK18" s="484">
        <f t="shared" si="42"/>
        <v>201605</v>
      </c>
      <c r="AL18" s="484">
        <f t="shared" si="42"/>
        <v>201606</v>
      </c>
      <c r="AM18" s="484">
        <f t="shared" si="42"/>
        <v>201607</v>
      </c>
      <c r="AN18" s="484">
        <f t="shared" si="42"/>
        <v>201608</v>
      </c>
      <c r="AO18" s="484">
        <f t="shared" si="42"/>
        <v>201609</v>
      </c>
      <c r="AP18" s="484">
        <f t="shared" si="42"/>
        <v>201610</v>
      </c>
      <c r="AQ18" s="484">
        <f t="shared" si="42"/>
        <v>201611</v>
      </c>
      <c r="AR18" s="484">
        <f t="shared" si="42"/>
        <v>201612</v>
      </c>
      <c r="AS18" s="600"/>
      <c r="AU18" s="558"/>
    </row>
    <row r="19" spans="1:51">
      <c r="A19" s="483"/>
      <c r="B19" s="481" t="s">
        <v>37</v>
      </c>
      <c r="C19" s="491">
        <f>SUM(AG19:AR19)</f>
        <v>28234012</v>
      </c>
      <c r="D19" s="491">
        <f>SUM(AE19:AP19)</f>
        <v>44701072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>
        <f>Mar!$K36</f>
        <v>5909720</v>
      </c>
      <c r="AJ19" s="491">
        <f>Apr!$K36</f>
        <v>2663108</v>
      </c>
      <c r="AK19" s="491">
        <f>May!$K36</f>
        <v>1813665</v>
      </c>
      <c r="AL19" s="491">
        <f>Jun!K36</f>
        <v>1388507</v>
      </c>
      <c r="AM19" s="491">
        <f>Jul!K36</f>
        <v>1156092</v>
      </c>
      <c r="AN19" s="491"/>
      <c r="AO19" s="491"/>
      <c r="AP19" s="491"/>
      <c r="AQ19" s="491"/>
      <c r="AR19" s="491"/>
      <c r="AS19" s="601"/>
    </row>
    <row r="20" spans="1:51">
      <c r="A20" s="483"/>
      <c r="B20" s="481" t="s">
        <v>38</v>
      </c>
      <c r="C20" s="491">
        <f t="shared" ref="C20:C24" si="43">SUM(AG20:AR20)</f>
        <v>11777648</v>
      </c>
      <c r="D20" s="491">
        <f t="shared" ref="D20:D24" si="44">SUM(AE20:AP20)</f>
        <v>16858439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>
        <f>Mar!$K37</f>
        <v>2149496</v>
      </c>
      <c r="AJ20" s="491">
        <f>Apr!$K37</f>
        <v>1257156</v>
      </c>
      <c r="AK20" s="491">
        <f>May!$K37</f>
        <v>1182789</v>
      </c>
      <c r="AL20" s="491">
        <f>Jun!K37</f>
        <v>1004638</v>
      </c>
      <c r="AM20" s="491">
        <f>Jul!K37</f>
        <v>1000390</v>
      </c>
      <c r="AN20" s="491"/>
      <c r="AO20" s="491"/>
      <c r="AP20" s="491"/>
      <c r="AQ20" s="491"/>
      <c r="AR20" s="491"/>
      <c r="AS20" s="601"/>
    </row>
    <row r="21" spans="1:51" hidden="1" outlineLevel="1">
      <c r="A21" s="483"/>
      <c r="B21" s="595" t="s">
        <v>39</v>
      </c>
      <c r="C21" s="491">
        <f t="shared" si="43"/>
        <v>0</v>
      </c>
      <c r="D21" s="491">
        <f t="shared" si="44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 outlineLevel="1">
      <c r="A22" s="483"/>
      <c r="B22" s="595" t="s">
        <v>40</v>
      </c>
      <c r="C22" s="491">
        <f t="shared" si="43"/>
        <v>0</v>
      </c>
      <c r="D22" s="491">
        <f t="shared" si="44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 outlineLevel="1">
      <c r="A23" s="483"/>
      <c r="B23" s="595" t="s">
        <v>41</v>
      </c>
      <c r="C23" s="491">
        <f t="shared" si="43"/>
        <v>0</v>
      </c>
      <c r="D23" s="491">
        <f t="shared" si="44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 hidden="1" outlineLevel="1">
      <c r="A24" s="483"/>
      <c r="B24" s="595" t="s">
        <v>42</v>
      </c>
      <c r="C24" s="491">
        <f t="shared" si="43"/>
        <v>0</v>
      </c>
      <c r="D24" s="491">
        <f t="shared" si="44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>
        <f>Mar!$K41</f>
        <v>0</v>
      </c>
      <c r="AJ24" s="491">
        <f>Apr!$K41</f>
        <v>0</v>
      </c>
      <c r="AK24" s="491">
        <f>May!$K41</f>
        <v>0</v>
      </c>
      <c r="AL24" s="491">
        <f>Jun!$K41</f>
        <v>0</v>
      </c>
      <c r="AM24" s="491"/>
      <c r="AN24" s="491"/>
      <c r="AO24" s="491"/>
      <c r="AP24" s="491"/>
      <c r="AQ24" s="491"/>
      <c r="AR24" s="491"/>
      <c r="AS24" s="601"/>
    </row>
    <row r="25" spans="1:51" hidden="1" outlineLevel="1">
      <c r="A25" s="483"/>
      <c r="B25" s="595" t="s">
        <v>43</v>
      </c>
      <c r="C25" s="491">
        <f t="shared" ref="C25:C26" si="45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 outlineLevel="1">
      <c r="A26" s="483"/>
      <c r="B26" s="595" t="s">
        <v>74</v>
      </c>
      <c r="C26" s="491">
        <f t="shared" si="45"/>
        <v>0</v>
      </c>
      <c r="D26" s="491">
        <f>SUM(G26:R26)</f>
        <v>0</v>
      </c>
      <c r="E26" s="491"/>
      <c r="F26" s="491"/>
      <c r="G26" s="491"/>
      <c r="H26" s="491"/>
    </row>
    <row r="27" spans="1:51" ht="16.8" collapsed="1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46">SUM(G19:G26)</f>
        <v>9508099</v>
      </c>
      <c r="H27" s="542">
        <f t="shared" si="46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C27" si="47">SUM(U19:U26)</f>
        <v>11809937</v>
      </c>
      <c r="V27" s="542">
        <f t="shared" si="47"/>
        <v>7940694</v>
      </c>
      <c r="W27" s="542">
        <f t="shared" si="47"/>
        <v>7017973</v>
      </c>
      <c r="X27" s="542">
        <f t="shared" si="47"/>
        <v>5254736</v>
      </c>
      <c r="Y27" s="542">
        <f t="shared" si="47"/>
        <v>2699945</v>
      </c>
      <c r="Z27" s="542">
        <f t="shared" si="47"/>
        <v>2074520</v>
      </c>
      <c r="AA27" s="542">
        <f t="shared" si="47"/>
        <v>2156482</v>
      </c>
      <c r="AB27" s="542">
        <f t="shared" si="47"/>
        <v>2252954</v>
      </c>
      <c r="AC27" s="542">
        <f t="shared" si="47"/>
        <v>2632656</v>
      </c>
      <c r="AD27" s="542">
        <f t="shared" ref="AD27:AR27" si="48">SUM(AD19:AD26)</f>
        <v>3869259</v>
      </c>
      <c r="AE27" s="542">
        <f t="shared" si="48"/>
        <v>9627846</v>
      </c>
      <c r="AF27" s="542">
        <f t="shared" si="48"/>
        <v>11920005</v>
      </c>
      <c r="AG27" s="542">
        <f t="shared" si="48"/>
        <v>11685014</v>
      </c>
      <c r="AH27" s="542">
        <f t="shared" si="48"/>
        <v>8801085</v>
      </c>
      <c r="AI27" s="542">
        <f t="shared" si="48"/>
        <v>8059216</v>
      </c>
      <c r="AJ27" s="542">
        <f t="shared" si="48"/>
        <v>3920264</v>
      </c>
      <c r="AK27" s="542">
        <f t="shared" si="48"/>
        <v>2996454</v>
      </c>
      <c r="AL27" s="542">
        <f t="shared" si="48"/>
        <v>2393145</v>
      </c>
      <c r="AM27" s="542">
        <f t="shared" si="48"/>
        <v>2156482</v>
      </c>
      <c r="AN27" s="542">
        <f t="shared" si="48"/>
        <v>0</v>
      </c>
      <c r="AO27" s="542">
        <f t="shared" si="48"/>
        <v>0</v>
      </c>
      <c r="AP27" s="542">
        <f t="shared" si="48"/>
        <v>0</v>
      </c>
      <c r="AQ27" s="542">
        <f t="shared" si="48"/>
        <v>0</v>
      </c>
      <c r="AR27" s="542">
        <f t="shared" si="48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73">
        <v>3920264</v>
      </c>
      <c r="AK28" s="573">
        <v>2996454</v>
      </c>
      <c r="AL28" s="573">
        <v>2393145</v>
      </c>
      <c r="AM28" s="573">
        <v>2156482</v>
      </c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" si="49">U30+1</f>
        <v>201502</v>
      </c>
      <c r="W30" s="484">
        <f t="shared" ref="W30" si="50">V30+1</f>
        <v>201503</v>
      </c>
      <c r="X30" s="484">
        <f t="shared" ref="X30" si="51">W30+1</f>
        <v>201504</v>
      </c>
      <c r="Y30" s="484">
        <f t="shared" ref="Y30" si="52">X30+1</f>
        <v>201505</v>
      </c>
      <c r="Z30" s="484">
        <f t="shared" ref="Z30" si="53">Y30+1</f>
        <v>201506</v>
      </c>
      <c r="AA30" s="484">
        <f t="shared" ref="AA30" si="54">Z30+1</f>
        <v>201507</v>
      </c>
      <c r="AB30" s="484">
        <f t="shared" ref="AB30" si="55">AA30+1</f>
        <v>201508</v>
      </c>
      <c r="AC30" s="484">
        <f t="shared" ref="AC30" si="56">AB30+1</f>
        <v>201509</v>
      </c>
      <c r="AD30" s="484">
        <f t="shared" ref="AD30" si="57">AC30+1</f>
        <v>201510</v>
      </c>
      <c r="AE30" s="484">
        <f t="shared" ref="AE30" si="58">AD30+1</f>
        <v>201511</v>
      </c>
      <c r="AF30" s="484">
        <f t="shared" ref="AF30" si="59">AE30+1</f>
        <v>201512</v>
      </c>
      <c r="AG30" s="484">
        <v>201601</v>
      </c>
      <c r="AH30" s="484">
        <f>AG30+1</f>
        <v>201602</v>
      </c>
      <c r="AI30" s="484">
        <f t="shared" ref="AI30:AR30" si="60">AH30+1</f>
        <v>201603</v>
      </c>
      <c r="AJ30" s="484">
        <f t="shared" si="60"/>
        <v>201604</v>
      </c>
      <c r="AK30" s="484">
        <f t="shared" si="60"/>
        <v>201605</v>
      </c>
      <c r="AL30" s="484">
        <f t="shared" si="60"/>
        <v>201606</v>
      </c>
      <c r="AM30" s="484">
        <f t="shared" si="60"/>
        <v>201607</v>
      </c>
      <c r="AN30" s="484">
        <f t="shared" si="60"/>
        <v>201608</v>
      </c>
      <c r="AO30" s="484">
        <f t="shared" si="60"/>
        <v>201609</v>
      </c>
      <c r="AP30" s="484">
        <f t="shared" si="60"/>
        <v>201610</v>
      </c>
      <c r="AQ30" s="484">
        <f t="shared" si="60"/>
        <v>201611</v>
      </c>
      <c r="AR30" s="484">
        <f t="shared" si="60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 outlineLevel="1">
      <c r="A33" s="483"/>
      <c r="B33" s="595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 outlineLevel="1">
      <c r="A34" s="483"/>
      <c r="B34" s="595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 outlineLevel="1">
      <c r="A35" s="483"/>
      <c r="B35" s="595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 collapsed="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 outlineLevel="1">
      <c r="A37" s="483"/>
      <c r="B37" s="595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 outlineLevel="1">
      <c r="A38" s="483"/>
      <c r="B38" s="595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 collapsed="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" si="61">U40+1</f>
        <v>201502</v>
      </c>
      <c r="W40" s="484">
        <f t="shared" ref="W40" si="62">V40+1</f>
        <v>201503</v>
      </c>
      <c r="X40" s="484">
        <f t="shared" ref="X40" si="63">W40+1</f>
        <v>201504</v>
      </c>
      <c r="Y40" s="484">
        <f t="shared" ref="Y40" si="64">X40+1</f>
        <v>201505</v>
      </c>
      <c r="Z40" s="484">
        <f t="shared" ref="Z40" si="65">Y40+1</f>
        <v>201506</v>
      </c>
      <c r="AA40" s="484">
        <f t="shared" ref="AA40" si="66">Z40+1</f>
        <v>201507</v>
      </c>
      <c r="AB40" s="484">
        <f t="shared" ref="AB40" si="67">AA40+1</f>
        <v>201508</v>
      </c>
      <c r="AC40" s="484">
        <f t="shared" ref="AC40" si="68">AB40+1</f>
        <v>201509</v>
      </c>
      <c r="AD40" s="484">
        <f t="shared" ref="AD40" si="69">AC40+1</f>
        <v>201510</v>
      </c>
      <c r="AE40" s="484">
        <f t="shared" ref="AE40" si="70">AD40+1</f>
        <v>201511</v>
      </c>
      <c r="AF40" s="484">
        <f t="shared" ref="AF40" si="71">AE40+1</f>
        <v>201512</v>
      </c>
      <c r="AG40" s="484">
        <v>201601</v>
      </c>
      <c r="AH40" s="484">
        <f>AG40+1</f>
        <v>201602</v>
      </c>
      <c r="AI40" s="484">
        <f t="shared" ref="AI40:AR40" si="72">AH40+1</f>
        <v>201603</v>
      </c>
      <c r="AJ40" s="484">
        <f t="shared" si="72"/>
        <v>201604</v>
      </c>
      <c r="AK40" s="484">
        <f t="shared" si="72"/>
        <v>201605</v>
      </c>
      <c r="AL40" s="484">
        <f t="shared" si="72"/>
        <v>201606</v>
      </c>
      <c r="AM40" s="484">
        <f t="shared" si="72"/>
        <v>201607</v>
      </c>
      <c r="AN40" s="484">
        <f t="shared" si="72"/>
        <v>201608</v>
      </c>
      <c r="AO40" s="484">
        <f t="shared" si="72"/>
        <v>201609</v>
      </c>
      <c r="AP40" s="484">
        <f t="shared" si="72"/>
        <v>201610</v>
      </c>
      <c r="AQ40" s="484">
        <f t="shared" si="72"/>
        <v>201611</v>
      </c>
      <c r="AR40" s="484">
        <f t="shared" si="72"/>
        <v>201612</v>
      </c>
      <c r="AS40" s="599"/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S41" s="599"/>
      <c r="AT41" s="513">
        <f>AT4</f>
        <v>201607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" si="73">V47</f>
        <v>-1139196.8415066958</v>
      </c>
      <c r="X42" s="482">
        <f t="shared" ref="X42" si="74">W47</f>
        <v>-927936.74257669575</v>
      </c>
      <c r="Y42" s="482">
        <f t="shared" ref="Y42" si="75">X47</f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" si="76">AB47</f>
        <v>-496357.29729955469</v>
      </c>
      <c r="AD42" s="482">
        <f t="shared" ref="AD42" si="77">AC47</f>
        <v>-416678.50147523766</v>
      </c>
      <c r="AE42" s="482">
        <f t="shared" ref="AE42" si="78">AD47</f>
        <v>-299312.54063388787</v>
      </c>
      <c r="AF42" s="482">
        <f>AE47</f>
        <v>-1658528.5495927494</v>
      </c>
      <c r="AG42" s="482">
        <f t="shared" ref="AG42:AR42" si="79">AF47</f>
        <v>-1317584.0800507434</v>
      </c>
      <c r="AH42" s="482">
        <f t="shared" si="79"/>
        <v>-983065.53286414407</v>
      </c>
      <c r="AI42" s="482">
        <f t="shared" si="79"/>
        <v>-731100.32081221836</v>
      </c>
      <c r="AJ42" s="482">
        <f t="shared" si="79"/>
        <v>-500233.0713481619</v>
      </c>
      <c r="AK42" s="482">
        <f t="shared" si="79"/>
        <v>-388052.25664285204</v>
      </c>
      <c r="AL42" s="482">
        <f t="shared" si="79"/>
        <v>-302311.59410241275</v>
      </c>
      <c r="AM42" s="482">
        <f t="shared" si="79"/>
        <v>-233827.69948376893</v>
      </c>
      <c r="AN42" s="482">
        <f t="shared" si="79"/>
        <v>-172084.16076408038</v>
      </c>
      <c r="AO42" s="482">
        <f t="shared" si="79"/>
        <v>-172227.56423138379</v>
      </c>
      <c r="AP42" s="482">
        <f t="shared" si="79"/>
        <v>-172371.08720157662</v>
      </c>
      <c r="AQ42" s="482">
        <f t="shared" si="79"/>
        <v>-172514.7297742446</v>
      </c>
      <c r="AR42" s="482">
        <f t="shared" si="79"/>
        <v>-172658.49204905645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</row>
    <row r="43" spans="1:51" ht="16.2">
      <c r="B43" s="481" t="s">
        <v>23</v>
      </c>
      <c r="C43" s="482">
        <f>SUM(AG43:AR43)</f>
        <v>1148734.7586000001</v>
      </c>
      <c r="D43" s="491">
        <f>SUM(AE43:AP43)</f>
        <v>1767618.7586000001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80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81">SUMPRODUCT(V19:V26,V31:V38)</f>
        <v>241476.50453999999</v>
      </c>
      <c r="W43" s="482">
        <f t="shared" si="81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82">SUMPRODUCT(AC19:AC26,AC31:AC38)</f>
        <v>80059.068960000004</v>
      </c>
      <c r="AD43" s="482">
        <f t="shared" si="82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83">SUMPRODUCT(AH19:AH24,AH31:AH36)</f>
        <v>252679.15035000001</v>
      </c>
      <c r="AI43" s="563">
        <f t="shared" si="83"/>
        <v>231380.09135999999</v>
      </c>
      <c r="AJ43" s="563">
        <f t="shared" si="83"/>
        <v>112550.77944</v>
      </c>
      <c r="AK43" s="563">
        <f t="shared" si="83"/>
        <v>86028.194340000002</v>
      </c>
      <c r="AL43" s="563">
        <f t="shared" si="83"/>
        <v>68707.192949999997</v>
      </c>
      <c r="AM43" s="563">
        <f t="shared" si="83"/>
        <v>61912.59822</v>
      </c>
      <c r="AN43" s="563">
        <f t="shared" si="83"/>
        <v>0</v>
      </c>
      <c r="AO43" s="563">
        <f t="shared" si="83"/>
        <v>0</v>
      </c>
      <c r="AP43" s="563">
        <f t="shared" si="83"/>
        <v>0</v>
      </c>
      <c r="AQ43" s="563">
        <f t="shared" si="83"/>
        <v>0</v>
      </c>
      <c r="AR43" s="563">
        <f t="shared" si="83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169.05950031147412</v>
      </c>
      <c r="AY43" s="500">
        <v>0</v>
      </c>
    </row>
    <row r="44" spans="1:51" ht="16.2">
      <c r="B44" s="481" t="s">
        <v>4</v>
      </c>
      <c r="C44" s="482">
        <f t="shared" ref="C44:C46" si="84">SUM(AG44:AR44)</f>
        <v>-3953.0526750205363</v>
      </c>
      <c r="D44" s="491">
        <f>SUM(AE44:AP44)</f>
        <v>-6419.5177403566504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85">((AC42*(AC41/12))+((AC43/2)*(AC41/12)))</f>
        <v>-380.27313568296228</v>
      </c>
      <c r="AD44" s="489">
        <f t="shared" si="85"/>
        <v>-298.20534865019806</v>
      </c>
      <c r="AE44" s="489">
        <f>((AE42+AE45)*(AE41/12))+(((AE43+AE46)/2)*(AE41/12))</f>
        <v>-1514.5789588615733</v>
      </c>
      <c r="AF44" s="489">
        <f t="shared" ref="AF44:AR44" si="86">((AF42*(AF41/12))+((AF43/2)*(AF41/12)))</f>
        <v>-1239.530457993958</v>
      </c>
      <c r="AG44" s="489">
        <f t="shared" si="86"/>
        <v>-958.20475340061967</v>
      </c>
      <c r="AH44" s="489">
        <f t="shared" si="86"/>
        <v>-713.93829807428676</v>
      </c>
      <c r="AI44" s="489">
        <f t="shared" si="86"/>
        <v>-512.8418959435154</v>
      </c>
      <c r="AJ44" s="489">
        <f t="shared" si="86"/>
        <v>-369.96473469013495</v>
      </c>
      <c r="AK44" s="489">
        <f t="shared" si="86"/>
        <v>-287.53179956071006</v>
      </c>
      <c r="AL44" s="489">
        <f t="shared" si="86"/>
        <v>-223.2983313561773</v>
      </c>
      <c r="AM44" s="489">
        <f t="shared" si="86"/>
        <v>-169.05950031147412</v>
      </c>
      <c r="AN44" s="489">
        <f t="shared" si="86"/>
        <v>-143.40346730340033</v>
      </c>
      <c r="AO44" s="489">
        <f t="shared" si="86"/>
        <v>-143.52297019281983</v>
      </c>
      <c r="AP44" s="489">
        <f t="shared" si="86"/>
        <v>-143.64257266798052</v>
      </c>
      <c r="AQ44" s="489">
        <f t="shared" si="86"/>
        <v>-143.7622748118705</v>
      </c>
      <c r="AR44" s="489">
        <f t="shared" si="86"/>
        <v>-143.88207670754704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61743.538719688528</v>
      </c>
      <c r="AY44" s="500">
        <f>IF((SUMIF(U40:AR40,AT41,U43:AR43)+SUMIF(U40:AR40,AT41,U44:AR44))&lt;0,-(SUMIF(U40:AR40,AT41,U43:AR43)+SUMIF(U40:AR40,AT41,U44:AR44)),0)</f>
        <v>0</v>
      </c>
    </row>
    <row r="45" spans="1:51" ht="16.2">
      <c r="B45" s="481" t="s">
        <v>259</v>
      </c>
      <c r="C45" s="482">
        <f t="shared" si="84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61912.59822</v>
      </c>
    </row>
    <row r="46" spans="1:51" ht="16.2">
      <c r="B46" s="481" t="s">
        <v>148</v>
      </c>
      <c r="C46" s="482">
        <f t="shared" si="84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87">AU44</f>
        <v>191000</v>
      </c>
      <c r="AV46" s="528" t="str">
        <f t="shared" si="87"/>
        <v>GD</v>
      </c>
      <c r="AW46" s="528" t="str">
        <f t="shared" si="87"/>
        <v>ID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88">SUM(F42:F46)</f>
        <v>122203.74560073584</v>
      </c>
      <c r="G47" s="541">
        <f t="shared" si="88"/>
        <v>121907.05607206978</v>
      </c>
      <c r="H47" s="541">
        <f t="shared" si="88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89">SUM(V42:V46)</f>
        <v>-1139196.8415066958</v>
      </c>
      <c r="W47" s="541">
        <f t="shared" si="89"/>
        <v>-927936.74257669575</v>
      </c>
      <c r="X47" s="541">
        <f t="shared" si="89"/>
        <v>-767403.9580847763</v>
      </c>
      <c r="Y47" s="541">
        <f t="shared" si="89"/>
        <v>-685903.92338007619</v>
      </c>
      <c r="Z47" s="541">
        <f t="shared" si="89"/>
        <v>-623363.07088572613</v>
      </c>
      <c r="AA47" s="541">
        <f t="shared" si="89"/>
        <v>-564427.81872858922</v>
      </c>
      <c r="AB47" s="541">
        <f t="shared" si="89"/>
        <v>-496357.29729955469</v>
      </c>
      <c r="AC47" s="541">
        <f t="shared" si="89"/>
        <v>-416678.50147523766</v>
      </c>
      <c r="AD47" s="541">
        <f t="shared" si="89"/>
        <v>-299312.54063388787</v>
      </c>
      <c r="AE47" s="541">
        <f t="shared" si="89"/>
        <v>-1658528.5495927494</v>
      </c>
      <c r="AF47" s="541">
        <f t="shared" si="89"/>
        <v>-1317584.0800507434</v>
      </c>
      <c r="AG47" s="541">
        <f t="shared" si="89"/>
        <v>-983065.53286414407</v>
      </c>
      <c r="AH47" s="541">
        <f t="shared" si="89"/>
        <v>-731100.32081221836</v>
      </c>
      <c r="AI47" s="541">
        <f t="shared" si="89"/>
        <v>-500233.0713481619</v>
      </c>
      <c r="AJ47" s="541">
        <f t="shared" si="89"/>
        <v>-388052.25664285204</v>
      </c>
      <c r="AK47" s="541">
        <f t="shared" si="89"/>
        <v>-302311.59410241275</v>
      </c>
      <c r="AL47" s="541">
        <f t="shared" si="89"/>
        <v>-233827.69948376893</v>
      </c>
      <c r="AM47" s="541">
        <f t="shared" si="89"/>
        <v>-172084.16076408038</v>
      </c>
      <c r="AN47" s="541">
        <f t="shared" si="89"/>
        <v>-172227.56423138379</v>
      </c>
      <c r="AO47" s="541">
        <f t="shared" si="89"/>
        <v>-172371.08720157662</v>
      </c>
      <c r="AP47" s="541">
        <f t="shared" si="89"/>
        <v>-172514.7297742446</v>
      </c>
      <c r="AQ47" s="541">
        <f t="shared" si="89"/>
        <v>-172658.49204905645</v>
      </c>
      <c r="AR47" s="541">
        <f t="shared" si="89"/>
        <v>-172802.37412576401</v>
      </c>
      <c r="AT47" s="501" t="str">
        <f>AT46</f>
        <v>Large Customer Refund</v>
      </c>
      <c r="AU47" s="529">
        <f t="shared" si="87"/>
        <v>805110</v>
      </c>
      <c r="AV47" s="529" t="str">
        <f t="shared" si="87"/>
        <v>GD</v>
      </c>
      <c r="AW47" s="529" t="str">
        <f t="shared" si="87"/>
        <v>ID</v>
      </c>
      <c r="AX47" s="503">
        <v>0</v>
      </c>
      <c r="AY47" s="521">
        <f>AX46</f>
        <v>0</v>
      </c>
    </row>
    <row r="48" spans="1:51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90">E47-E48</f>
        <v>2.2137390881653118E-2</v>
      </c>
      <c r="F49" s="482">
        <f t="shared" si="90"/>
        <v>90.56560073584842</v>
      </c>
      <c r="G49" s="482">
        <f t="shared" si="90"/>
        <v>90.646072069779621</v>
      </c>
      <c r="H49" s="482">
        <f t="shared" si="90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X49" si="91">V47-V48</f>
        <v>-1.506695756688714E-3</v>
      </c>
      <c r="W49" s="482">
        <f t="shared" si="91"/>
        <v>-2.5766957551240921E-3</v>
      </c>
      <c r="X49" s="482">
        <f t="shared" si="91"/>
        <v>1.9152236636728048E-3</v>
      </c>
      <c r="Y49" s="482">
        <f t="shared" ref="Y49:AR49" si="92">Y47-Y48</f>
        <v>-3.3800761448219419E-3</v>
      </c>
      <c r="Z49" s="482">
        <f t="shared" si="92"/>
        <v>-8.8572618551552296E-4</v>
      </c>
      <c r="AA49" s="482">
        <f t="shared" si="92"/>
        <v>1.2714107288047671E-3</v>
      </c>
      <c r="AB49" s="482">
        <f t="shared" si="92"/>
        <v>2.7004453004337847E-3</v>
      </c>
      <c r="AC49" s="482">
        <f t="shared" si="92"/>
        <v>-1.4752376591786742E-3</v>
      </c>
      <c r="AD49" s="482">
        <f t="shared" si="92"/>
        <v>-6.3388788839802146E-4</v>
      </c>
      <c r="AE49" s="482">
        <f t="shared" si="92"/>
        <v>4.0725059807300568E-4</v>
      </c>
      <c r="AF49" s="482">
        <f t="shared" si="92"/>
        <v>-5.0743343308568001E-5</v>
      </c>
      <c r="AG49" s="482">
        <f t="shared" si="92"/>
        <v>-2.8641440439969301E-3</v>
      </c>
      <c r="AH49" s="482">
        <f t="shared" si="92"/>
        <v>-8.1221840810030699E-4</v>
      </c>
      <c r="AI49" s="482">
        <f t="shared" si="92"/>
        <v>-1.3481618952937424E-3</v>
      </c>
      <c r="AJ49" s="482">
        <f t="shared" si="92"/>
        <v>-6.6428520367480814E-3</v>
      </c>
      <c r="AK49" s="482">
        <f t="shared" si="92"/>
        <v>-4.1024127276614308E-3</v>
      </c>
      <c r="AL49" s="482">
        <f t="shared" si="92"/>
        <v>5.1623108447529376E-4</v>
      </c>
      <c r="AM49" s="482">
        <f t="shared" si="92"/>
        <v>61743.539235919627</v>
      </c>
      <c r="AN49" s="482">
        <f t="shared" si="92"/>
        <v>61600.135768616223</v>
      </c>
      <c r="AO49" s="482">
        <f t="shared" si="92"/>
        <v>-172371.08720157662</v>
      </c>
      <c r="AP49" s="482">
        <f t="shared" si="92"/>
        <v>-172514.7297742446</v>
      </c>
      <c r="AQ49" s="482">
        <f t="shared" si="92"/>
        <v>-172658.49204905645</v>
      </c>
      <c r="AR49" s="482">
        <f t="shared" si="92"/>
        <v>-172802.37412576401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" si="93">U51+1</f>
        <v>201502</v>
      </c>
      <c r="W51" s="484">
        <f t="shared" ref="W51" si="94">V51+1</f>
        <v>201503</v>
      </c>
      <c r="X51" s="484">
        <f t="shared" ref="X51" si="95">W51+1</f>
        <v>201504</v>
      </c>
      <c r="Y51" s="484">
        <f t="shared" ref="Y51" si="96">X51+1</f>
        <v>201505</v>
      </c>
      <c r="Z51" s="484">
        <f t="shared" ref="Z51" si="97">Y51+1</f>
        <v>201506</v>
      </c>
      <c r="AA51" s="484">
        <f t="shared" ref="AA51" si="98">Z51+1</f>
        <v>201507</v>
      </c>
      <c r="AB51" s="484">
        <f t="shared" ref="AB51" si="99">AA51+1</f>
        <v>201508</v>
      </c>
      <c r="AC51" s="484">
        <f t="shared" ref="AC51" si="100">AB51+1</f>
        <v>201509</v>
      </c>
      <c r="AD51" s="484">
        <f t="shared" ref="AD51" si="101">AC51+1</f>
        <v>201510</v>
      </c>
      <c r="AE51" s="484">
        <f t="shared" ref="AE51" si="102">AD51+1</f>
        <v>201511</v>
      </c>
      <c r="AF51" s="484">
        <f t="shared" ref="AF51" si="103">AE51+1</f>
        <v>201512</v>
      </c>
      <c r="AG51" s="484">
        <v>201601</v>
      </c>
      <c r="AH51" s="484">
        <f>AG51+1</f>
        <v>201602</v>
      </c>
      <c r="AI51" s="484">
        <f t="shared" ref="AI51:AR51" si="104">AH51+1</f>
        <v>201603</v>
      </c>
      <c r="AJ51" s="484">
        <f t="shared" si="104"/>
        <v>201604</v>
      </c>
      <c r="AK51" s="484">
        <f t="shared" si="104"/>
        <v>201605</v>
      </c>
      <c r="AL51" s="484">
        <f t="shared" si="104"/>
        <v>201606</v>
      </c>
      <c r="AM51" s="484">
        <f t="shared" si="104"/>
        <v>201607</v>
      </c>
      <c r="AN51" s="484">
        <f t="shared" si="104"/>
        <v>201608</v>
      </c>
      <c r="AO51" s="484">
        <f t="shared" si="104"/>
        <v>201609</v>
      </c>
      <c r="AP51" s="484">
        <f t="shared" si="104"/>
        <v>201610</v>
      </c>
      <c r="AQ51" s="484">
        <f t="shared" si="104"/>
        <v>201611</v>
      </c>
      <c r="AR51" s="484">
        <f t="shared" si="104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>
        <f>Mar!$K36</f>
        <v>5909720</v>
      </c>
      <c r="AJ52" s="491">
        <f>Apr!$K36</f>
        <v>2663108</v>
      </c>
      <c r="AK52" s="491">
        <f>May!$K36</f>
        <v>1813665</v>
      </c>
      <c r="AL52" s="491">
        <f>Jun!$K36</f>
        <v>1388507</v>
      </c>
      <c r="AM52" s="491">
        <f>Jul!$K36</f>
        <v>1156092</v>
      </c>
      <c r="AN52" s="491"/>
      <c r="AO52" s="491"/>
      <c r="AP52" s="491"/>
      <c r="AQ52" s="491"/>
      <c r="AR52" s="491"/>
      <c r="AS52" s="601"/>
    </row>
    <row r="53" spans="1:45">
      <c r="A53" s="483"/>
      <c r="B53" s="481" t="s">
        <v>38</v>
      </c>
      <c r="C53" s="491">
        <f t="shared" ref="C53:C60" si="105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>
        <f>Mar!$K37</f>
        <v>2149496</v>
      </c>
      <c r="AJ53" s="491">
        <f>Apr!$K37</f>
        <v>1257156</v>
      </c>
      <c r="AK53" s="491">
        <f>May!$K37</f>
        <v>1182789</v>
      </c>
      <c r="AL53" s="491">
        <f>Jun!$K37</f>
        <v>1004638</v>
      </c>
      <c r="AM53" s="491">
        <f>Jul!$K37</f>
        <v>1000390</v>
      </c>
      <c r="AN53" s="491">
        <f>Feb!$K37</f>
        <v>2339216</v>
      </c>
      <c r="AO53" s="491">
        <f>Feb!$K37</f>
        <v>2339216</v>
      </c>
      <c r="AP53" s="491">
        <f>Feb!$K37</f>
        <v>2339216</v>
      </c>
      <c r="AQ53" s="491">
        <f>Feb!$K37</f>
        <v>2339216</v>
      </c>
      <c r="AR53" s="491">
        <f>Feb!$K37</f>
        <v>2339216</v>
      </c>
      <c r="AS53" s="601"/>
    </row>
    <row r="54" spans="1:45">
      <c r="A54" s="483"/>
      <c r="B54" s="481" t="s">
        <v>39</v>
      </c>
      <c r="C54" s="491">
        <f t="shared" si="105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>
        <f>Mar!$K38</f>
        <v>232</v>
      </c>
      <c r="AJ54" s="491">
        <f>Apr!$K38</f>
        <v>11807</v>
      </c>
      <c r="AK54" s="491">
        <f>May!$K38</f>
        <v>27568</v>
      </c>
      <c r="AL54" s="491">
        <f>Jun!$K38</f>
        <v>27174</v>
      </c>
      <c r="AM54" s="491">
        <f>Jul!$K38</f>
        <v>73549</v>
      </c>
      <c r="AN54" s="491"/>
      <c r="AO54" s="491"/>
      <c r="AP54" s="491"/>
      <c r="AQ54" s="491"/>
      <c r="AR54" s="491"/>
      <c r="AS54" s="601"/>
    </row>
    <row r="55" spans="1:45">
      <c r="A55" s="483"/>
      <c r="B55" s="481" t="s">
        <v>40</v>
      </c>
      <c r="C55" s="491">
        <f t="shared" si="105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>
        <f>Mar!$K39</f>
        <v>0</v>
      </c>
      <c r="AJ55" s="491">
        <f>Apr!$K39</f>
        <v>0</v>
      </c>
      <c r="AK55" s="491">
        <f>May!$K39</f>
        <v>0</v>
      </c>
      <c r="AL55" s="491">
        <f>Jun!$K39</f>
        <v>0</v>
      </c>
      <c r="AM55" s="491">
        <f>Jul!$K39</f>
        <v>0</v>
      </c>
      <c r="AN55" s="491"/>
      <c r="AO55" s="491"/>
      <c r="AP55" s="491"/>
      <c r="AQ55" s="491"/>
      <c r="AR55" s="491"/>
      <c r="AS55" s="601"/>
    </row>
    <row r="56" spans="1:45" hidden="1" outlineLevel="2">
      <c r="A56" s="483"/>
      <c r="B56" s="595" t="s">
        <v>41</v>
      </c>
      <c r="C56" s="491">
        <f t="shared" si="105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601"/>
    </row>
    <row r="57" spans="1:45" hidden="1" outlineLevel="2">
      <c r="A57" s="483"/>
      <c r="B57" s="595" t="s">
        <v>42</v>
      </c>
      <c r="C57" s="491">
        <f t="shared" si="105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601"/>
    </row>
    <row r="58" spans="1:45" collapsed="1">
      <c r="A58" s="483"/>
      <c r="B58" s="481" t="s">
        <v>43</v>
      </c>
      <c r="C58" s="491">
        <f t="shared" si="105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>
        <f>Mar!$K42</f>
        <v>0</v>
      </c>
      <c r="AJ58" s="491">
        <f>Apr!$K42</f>
        <v>0</v>
      </c>
      <c r="AK58" s="491">
        <f>May!$K42</f>
        <v>0</v>
      </c>
      <c r="AL58" s="491">
        <f>Jun!$K42</f>
        <v>0</v>
      </c>
      <c r="AM58" s="491">
        <f>Jul!$K42</f>
        <v>0</v>
      </c>
      <c r="AN58" s="491"/>
      <c r="AO58" s="491"/>
      <c r="AP58" s="491"/>
      <c r="AQ58" s="491"/>
      <c r="AR58" s="491"/>
      <c r="AS58" s="601"/>
    </row>
    <row r="59" spans="1:45" hidden="1" outlineLevel="1">
      <c r="A59" s="483"/>
      <c r="B59" s="595" t="s">
        <v>74</v>
      </c>
      <c r="C59" s="491">
        <f t="shared" ref="C59" si="106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collapsed="1" thickBot="1">
      <c r="A60" s="483"/>
      <c r="B60" s="481" t="s">
        <v>21</v>
      </c>
      <c r="C60" s="542">
        <f t="shared" si="105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107">SUM(G52:G59)</f>
        <v>9560411</v>
      </c>
      <c r="H60" s="542">
        <f t="shared" si="107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C60" si="108">SUM(U52:U59)</f>
        <v>11853389</v>
      </c>
      <c r="V60" s="542">
        <f t="shared" si="108"/>
        <v>7975879</v>
      </c>
      <c r="W60" s="542">
        <f t="shared" si="108"/>
        <v>7051984</v>
      </c>
      <c r="X60" s="542">
        <f t="shared" si="108"/>
        <v>5286030</v>
      </c>
      <c r="Y60" s="542">
        <f t="shared" si="108"/>
        <v>2733897</v>
      </c>
      <c r="Z60" s="542">
        <f t="shared" si="108"/>
        <v>2096440</v>
      </c>
      <c r="AA60" s="542">
        <f t="shared" si="108"/>
        <v>1982316</v>
      </c>
      <c r="AB60" s="542">
        <f t="shared" si="108"/>
        <v>2300576</v>
      </c>
      <c r="AC60" s="542">
        <f t="shared" si="108"/>
        <v>2659390</v>
      </c>
      <c r="AD60" s="542">
        <f t="shared" ref="AD60:AR60" si="109">SUM(AD52:AD59)</f>
        <v>3938193</v>
      </c>
      <c r="AE60" s="542">
        <f t="shared" si="109"/>
        <v>9651342</v>
      </c>
      <c r="AF60" s="542">
        <f t="shared" si="109"/>
        <v>11926102</v>
      </c>
      <c r="AG60" s="542">
        <f t="shared" si="109"/>
        <v>11687768</v>
      </c>
      <c r="AH60" s="542">
        <f t="shared" si="109"/>
        <v>8803437</v>
      </c>
      <c r="AI60" s="542">
        <f t="shared" si="109"/>
        <v>8059448</v>
      </c>
      <c r="AJ60" s="542">
        <f t="shared" si="109"/>
        <v>3932071</v>
      </c>
      <c r="AK60" s="542">
        <f t="shared" si="109"/>
        <v>3024022</v>
      </c>
      <c r="AL60" s="542">
        <f t="shared" si="109"/>
        <v>2420319</v>
      </c>
      <c r="AM60" s="542">
        <f t="shared" si="109"/>
        <v>2230031</v>
      </c>
      <c r="AN60" s="542">
        <f t="shared" si="109"/>
        <v>2339216</v>
      </c>
      <c r="AO60" s="542">
        <f t="shared" si="109"/>
        <v>2339216</v>
      </c>
      <c r="AP60" s="542">
        <f t="shared" si="109"/>
        <v>6277409</v>
      </c>
      <c r="AQ60" s="542">
        <f t="shared" si="109"/>
        <v>2339216</v>
      </c>
      <c r="AR60" s="542">
        <f t="shared" si="109"/>
        <v>2339216</v>
      </c>
      <c r="AS60" s="602"/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73">
        <v>3932071</v>
      </c>
      <c r="AK61" s="573">
        <v>3024022</v>
      </c>
      <c r="AL61" s="573">
        <v>2420319</v>
      </c>
      <c r="AM61" s="573">
        <v>2230031</v>
      </c>
      <c r="AN61" s="582"/>
      <c r="AO61" s="582"/>
      <c r="AP61" s="582"/>
      <c r="AQ61" s="582"/>
      <c r="AR61" s="582"/>
      <c r="AS61" s="603"/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" si="110">U63+1</f>
        <v>201502</v>
      </c>
      <c r="W63" s="484">
        <f t="shared" ref="W63" si="111">V63+1</f>
        <v>201503</v>
      </c>
      <c r="X63" s="484">
        <f t="shared" ref="X63" si="112">W63+1</f>
        <v>201504</v>
      </c>
      <c r="Y63" s="484">
        <f t="shared" ref="Y63" si="113">X63+1</f>
        <v>201505</v>
      </c>
      <c r="Z63" s="484">
        <f t="shared" ref="Z63" si="114">Y63+1</f>
        <v>201506</v>
      </c>
      <c r="AA63" s="484">
        <f t="shared" ref="AA63" si="115">Z63+1</f>
        <v>201507</v>
      </c>
      <c r="AB63" s="484">
        <f t="shared" ref="AB63" si="116">AA63+1</f>
        <v>201508</v>
      </c>
      <c r="AC63" s="484">
        <f t="shared" ref="AC63" si="117">AB63+1</f>
        <v>201509</v>
      </c>
      <c r="AD63" s="484">
        <f t="shared" ref="AD63" si="118">AC63+1</f>
        <v>201510</v>
      </c>
      <c r="AE63" s="484">
        <f t="shared" ref="AE63" si="119">AD63+1</f>
        <v>201511</v>
      </c>
      <c r="AF63" s="484">
        <f t="shared" ref="AF63" si="120">AE63+1</f>
        <v>201512</v>
      </c>
      <c r="AG63" s="484">
        <v>201601</v>
      </c>
      <c r="AH63" s="484">
        <f>AG63+1</f>
        <v>201602</v>
      </c>
      <c r="AI63" s="484">
        <f t="shared" ref="AI63:AR63" si="121">AH63+1</f>
        <v>201603</v>
      </c>
      <c r="AJ63" s="484">
        <f t="shared" si="121"/>
        <v>201604</v>
      </c>
      <c r="AK63" s="484">
        <f t="shared" si="121"/>
        <v>201605</v>
      </c>
      <c r="AL63" s="484">
        <f t="shared" si="121"/>
        <v>201606</v>
      </c>
      <c r="AM63" s="484">
        <f t="shared" si="121"/>
        <v>201607</v>
      </c>
      <c r="AN63" s="484">
        <f t="shared" si="121"/>
        <v>201608</v>
      </c>
      <c r="AO63" s="484">
        <f t="shared" si="121"/>
        <v>201609</v>
      </c>
      <c r="AP63" s="484">
        <f t="shared" si="121"/>
        <v>201610</v>
      </c>
      <c r="AQ63" s="484">
        <f t="shared" si="121"/>
        <v>201611</v>
      </c>
      <c r="AR63" s="484">
        <f t="shared" si="121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 outlineLevel="1">
      <c r="A68" s="483"/>
      <c r="B68" s="595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 outlineLevel="1">
      <c r="A69" s="483"/>
      <c r="B69" s="595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 collapsed="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 outlineLevel="1">
      <c r="A71" s="483"/>
      <c r="B71" s="595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 collapsed="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" si="122">U73+1</f>
        <v>201502</v>
      </c>
      <c r="W73" s="484">
        <f t="shared" ref="W73" si="123">V73+1</f>
        <v>201503</v>
      </c>
      <c r="X73" s="484">
        <f t="shared" ref="X73" si="124">W73+1</f>
        <v>201504</v>
      </c>
      <c r="Y73" s="484">
        <f t="shared" ref="Y73" si="125">X73+1</f>
        <v>201505</v>
      </c>
      <c r="Z73" s="484">
        <f t="shared" ref="Z73" si="126">Y73+1</f>
        <v>201506</v>
      </c>
      <c r="AA73" s="484">
        <f t="shared" ref="AA73" si="127">Z73+1</f>
        <v>201507</v>
      </c>
      <c r="AB73" s="484">
        <f t="shared" ref="AB73" si="128">AA73+1</f>
        <v>201508</v>
      </c>
      <c r="AC73" s="484">
        <f t="shared" ref="AC73" si="129">AB73+1</f>
        <v>201509</v>
      </c>
      <c r="AD73" s="484">
        <f t="shared" ref="AD73" si="130">AC73+1</f>
        <v>201510</v>
      </c>
      <c r="AE73" s="484">
        <f t="shared" ref="AE73" si="131">AD73+1</f>
        <v>201511</v>
      </c>
      <c r="AF73" s="484">
        <f t="shared" ref="AF73" si="132">AE73+1</f>
        <v>201512</v>
      </c>
      <c r="AG73" s="484">
        <v>201601</v>
      </c>
      <c r="AH73" s="484">
        <f>AG73+1</f>
        <v>201602</v>
      </c>
      <c r="AI73" s="484">
        <f t="shared" ref="AI73:AR73" si="133">AH73+1</f>
        <v>201603</v>
      </c>
      <c r="AJ73" s="484">
        <f t="shared" si="133"/>
        <v>201604</v>
      </c>
      <c r="AK73" s="484">
        <f t="shared" si="133"/>
        <v>201605</v>
      </c>
      <c r="AL73" s="484">
        <f t="shared" si="133"/>
        <v>201606</v>
      </c>
      <c r="AM73" s="484">
        <f t="shared" si="133"/>
        <v>201607</v>
      </c>
      <c r="AN73" s="484">
        <f t="shared" si="133"/>
        <v>201608</v>
      </c>
      <c r="AO73" s="484">
        <f t="shared" si="133"/>
        <v>201609</v>
      </c>
      <c r="AP73" s="484">
        <f t="shared" si="133"/>
        <v>201610</v>
      </c>
      <c r="AQ73" s="484">
        <f t="shared" si="133"/>
        <v>201611</v>
      </c>
      <c r="AR73" s="484">
        <f t="shared" si="133"/>
        <v>201612</v>
      </c>
      <c r="AS73" s="599"/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S74" s="599"/>
      <c r="AT74" s="513">
        <f>AT4</f>
        <v>201607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134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" si="135">AA79</f>
        <v>-11951.205399782522</v>
      </c>
      <c r="AC75" s="482">
        <f t="shared" ref="AC75" si="136">AB79</f>
        <v>-11961.164737615674</v>
      </c>
      <c r="AD75" s="482">
        <f t="shared" ref="AD75" si="137">AC79</f>
        <v>-11971.132374897021</v>
      </c>
      <c r="AE75" s="482">
        <f t="shared" ref="AE75" si="138">AD79</f>
        <v>-11981.108318542769</v>
      </c>
      <c r="AF75" s="482">
        <f t="shared" ref="AF75" si="139">AE79</f>
        <v>-11991.092575474888</v>
      </c>
      <c r="AG75" s="482">
        <f t="shared" ref="AG75" si="140">AF79</f>
        <v>-12001.085152621117</v>
      </c>
      <c r="AH75" s="482">
        <f t="shared" ref="AH75" si="141">AG79</f>
        <v>-12011.086056914968</v>
      </c>
      <c r="AI75" s="482">
        <f t="shared" ref="AI75" si="142">AH79</f>
        <v>-12021.09529529573</v>
      </c>
      <c r="AJ75" s="482">
        <f t="shared" ref="AJ75" si="143">AI79</f>
        <v>-12031.112874708477</v>
      </c>
      <c r="AK75" s="482">
        <f t="shared" ref="AK75" si="144">AJ79</f>
        <v>-12041.138802104068</v>
      </c>
      <c r="AL75" s="482">
        <f t="shared" ref="AL75" si="145">AK79</f>
        <v>-12051.173084439155</v>
      </c>
      <c r="AM75" s="482">
        <f>AL79</f>
        <v>-12061.215728676189</v>
      </c>
      <c r="AN75" s="482">
        <f t="shared" ref="AN75" si="146">AM79</f>
        <v>-12071.266741783418</v>
      </c>
      <c r="AO75" s="482">
        <f t="shared" ref="AO75" si="147">AN79</f>
        <v>-12081.326130734904</v>
      </c>
      <c r="AP75" s="482">
        <f t="shared" ref="AP75" si="148">AO79</f>
        <v>-12091.393902510516</v>
      </c>
      <c r="AQ75" s="482">
        <f t="shared" ref="AQ75" si="149">AP79</f>
        <v>-12101.470064095942</v>
      </c>
      <c r="AR75" s="482">
        <f t="shared" ref="AR75" si="150">AQ79</f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51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151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10.051013107230158</v>
      </c>
      <c r="AY76" s="500">
        <v>0</v>
      </c>
    </row>
    <row r="77" spans="1:51" ht="16.2">
      <c r="B77" s="481" t="s">
        <v>4</v>
      </c>
      <c r="C77" s="482">
        <f t="shared" ref="C77:C78" si="152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153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153"/>
        <v>-9.9593378331521034</v>
      </c>
      <c r="AC77" s="489">
        <f t="shared" si="153"/>
        <v>-9.9676372813463967</v>
      </c>
      <c r="AD77" s="489">
        <f t="shared" si="153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154">((AG75*(AG74/12))+((AG76/2)*(AG74/12)))</f>
        <v>-10.000904293850931</v>
      </c>
      <c r="AH77" s="489">
        <f t="shared" si="154"/>
        <v>-10.009238380762474</v>
      </c>
      <c r="AI77" s="489">
        <f t="shared" si="154"/>
        <v>-10.017579412746443</v>
      </c>
      <c r="AJ77" s="489">
        <f t="shared" si="154"/>
        <v>-10.025927395590397</v>
      </c>
      <c r="AK77" s="489">
        <f t="shared" si="154"/>
        <v>-10.034282335086724</v>
      </c>
      <c r="AL77" s="489">
        <f t="shared" si="154"/>
        <v>-10.042644237032629</v>
      </c>
      <c r="AM77" s="489">
        <f t="shared" si="154"/>
        <v>-10.051013107230158</v>
      </c>
      <c r="AN77" s="489">
        <f t="shared" si="154"/>
        <v>-10.059388951486183</v>
      </c>
      <c r="AO77" s="489">
        <f t="shared" si="154"/>
        <v>-10.067771775612421</v>
      </c>
      <c r="AP77" s="489">
        <f t="shared" si="154"/>
        <v>-10.07616158542543</v>
      </c>
      <c r="AQ77" s="489">
        <f t="shared" si="154"/>
        <v>-10.084558386746618</v>
      </c>
      <c r="AR77" s="489">
        <f t="shared" si="154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10.051013107230158</v>
      </c>
    </row>
    <row r="78" spans="1:51" ht="16.2">
      <c r="B78" s="481" t="s">
        <v>148</v>
      </c>
      <c r="C78" s="482">
        <f t="shared" si="152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155">SUM(V75:V78)</f>
        <v>-11901.532960675278</v>
      </c>
      <c r="W79" s="541">
        <f t="shared" si="155"/>
        <v>-11911.450904809175</v>
      </c>
      <c r="X79" s="541">
        <f t="shared" si="155"/>
        <v>-11921.377113896517</v>
      </c>
      <c r="Y79" s="541">
        <f t="shared" si="155"/>
        <v>-11931.311594824763</v>
      </c>
      <c r="Z79" s="541">
        <f t="shared" si="155"/>
        <v>-11941.254354487117</v>
      </c>
      <c r="AA79" s="541">
        <f t="shared" si="155"/>
        <v>-11951.205399782522</v>
      </c>
      <c r="AB79" s="541">
        <f t="shared" si="155"/>
        <v>-11961.164737615674</v>
      </c>
      <c r="AC79" s="541">
        <f t="shared" si="155"/>
        <v>-11971.132374897021</v>
      </c>
      <c r="AD79" s="541">
        <f t="shared" si="155"/>
        <v>-11981.108318542769</v>
      </c>
      <c r="AE79" s="541">
        <f t="shared" si="155"/>
        <v>-11991.092575474888</v>
      </c>
      <c r="AF79" s="541">
        <f t="shared" si="155"/>
        <v>-12001.085152621117</v>
      </c>
      <c r="AG79" s="541">
        <f t="shared" si="155"/>
        <v>-12011.086056914968</v>
      </c>
      <c r="AH79" s="541">
        <f t="shared" si="155"/>
        <v>-12021.09529529573</v>
      </c>
      <c r="AI79" s="541">
        <f t="shared" si="155"/>
        <v>-12031.112874708477</v>
      </c>
      <c r="AJ79" s="541">
        <f t="shared" si="155"/>
        <v>-12041.138802104068</v>
      </c>
      <c r="AK79" s="541">
        <f t="shared" si="155"/>
        <v>-12051.173084439155</v>
      </c>
      <c r="AL79" s="541">
        <f t="shared" si="155"/>
        <v>-12061.215728676189</v>
      </c>
      <c r="AM79" s="541">
        <f t="shared" si="155"/>
        <v>-12071.266741783418</v>
      </c>
      <c r="AN79" s="541">
        <f t="shared" si="155"/>
        <v>-12081.326130734904</v>
      </c>
      <c r="AO79" s="541">
        <f t="shared" si="155"/>
        <v>-12091.393902510516</v>
      </c>
      <c r="AP79" s="541">
        <f t="shared" si="155"/>
        <v>-12101.470064095942</v>
      </c>
      <c r="AQ79" s="541">
        <f t="shared" si="155"/>
        <v>-12111.554622482689</v>
      </c>
      <c r="AR79" s="541">
        <f t="shared" si="155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C81" si="156">V79-V80</f>
        <v>1.7039324720826698E-2</v>
      </c>
      <c r="W81" s="482">
        <f t="shared" si="156"/>
        <v>1.9095190824373276E-2</v>
      </c>
      <c r="X81" s="482">
        <f t="shared" si="156"/>
        <v>2.2886103482960607E-2</v>
      </c>
      <c r="Y81" s="482">
        <f t="shared" si="156"/>
        <v>1.8405175236694049E-2</v>
      </c>
      <c r="Z81" s="482">
        <f t="shared" si="156"/>
        <v>1.5645512883565971E-2</v>
      </c>
      <c r="AA81" s="482">
        <f t="shared" si="156"/>
        <v>1.4600217476981925E-2</v>
      </c>
      <c r="AB81" s="482">
        <f t="shared" si="156"/>
        <v>1.5262384325978928E-2</v>
      </c>
      <c r="AC81" s="482">
        <f t="shared" si="156"/>
        <v>1.7625102978854557E-2</v>
      </c>
      <c r="AD81" s="482">
        <f t="shared" ref="AD81:AR81" si="157">AD79-AD80</f>
        <v>2.1681457230442902E-2</v>
      </c>
      <c r="AE81" s="482">
        <f t="shared" si="157"/>
        <v>1.7424525112801348E-2</v>
      </c>
      <c r="AF81" s="482">
        <f t="shared" si="157"/>
        <v>1.4847378883132478E-2</v>
      </c>
      <c r="AG81" s="482">
        <f t="shared" si="157"/>
        <v>1.3943085032224189E-2</v>
      </c>
      <c r="AH81" s="482">
        <f t="shared" si="157"/>
        <v>1.4704704270116054E-2</v>
      </c>
      <c r="AI81" s="482">
        <f t="shared" si="157"/>
        <v>1.7125291522461339E-2</v>
      </c>
      <c r="AJ81" s="482">
        <f t="shared" si="157"/>
        <v>2.1197895932346E-2</v>
      </c>
      <c r="AK81" s="482">
        <f t="shared" si="157"/>
        <v>1.6915560845518485E-2</v>
      </c>
      <c r="AL81" s="482">
        <f t="shared" si="157"/>
        <v>1.4271323811044567E-2</v>
      </c>
      <c r="AM81" s="482">
        <f t="shared" si="157"/>
        <v>-10.03674178341862</v>
      </c>
      <c r="AN81" s="482">
        <f t="shared" si="157"/>
        <v>-20.096130734904364</v>
      </c>
      <c r="AO81" s="482">
        <f t="shared" si="157"/>
        <v>-12091.393902510516</v>
      </c>
      <c r="AP81" s="482">
        <f t="shared" si="157"/>
        <v>-12101.470064095942</v>
      </c>
      <c r="AQ81" s="482">
        <f t="shared" si="157"/>
        <v>-12111.554622482689</v>
      </c>
      <c r="AR81" s="482">
        <f t="shared" si="157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67:AY72"/>
    <mergeCell ref="AT84:AY89"/>
    <mergeCell ref="AT31:AX36"/>
  </mergeCells>
  <conditionalFormatting sqref="E28">
    <cfRule type="cellIs" dxfId="546" priority="33" operator="notEqual">
      <formula>E27</formula>
    </cfRule>
  </conditionalFormatting>
  <conditionalFormatting sqref="F28">
    <cfRule type="cellIs" dxfId="545" priority="32" operator="notEqual">
      <formula>F27</formula>
    </cfRule>
  </conditionalFormatting>
  <conditionalFormatting sqref="G28">
    <cfRule type="cellIs" dxfId="544" priority="31" operator="notEqual">
      <formula>G27</formula>
    </cfRule>
  </conditionalFormatting>
  <conditionalFormatting sqref="H28">
    <cfRule type="cellIs" dxfId="543" priority="30" operator="notEqual">
      <formula>H27</formula>
    </cfRule>
  </conditionalFormatting>
  <conditionalFormatting sqref="C28">
    <cfRule type="cellIs" dxfId="542" priority="29" operator="notEqual">
      <formula>C27</formula>
    </cfRule>
  </conditionalFormatting>
  <conditionalFormatting sqref="F61">
    <cfRule type="cellIs" dxfId="541" priority="26" operator="notEqual">
      <formula>F60</formula>
    </cfRule>
  </conditionalFormatting>
  <conditionalFormatting sqref="G61">
    <cfRule type="cellIs" dxfId="540" priority="25" operator="notEqual">
      <formula>G60</formula>
    </cfRule>
  </conditionalFormatting>
  <conditionalFormatting sqref="H61">
    <cfRule type="cellIs" dxfId="539" priority="24" operator="notEqual">
      <formula>H60</formula>
    </cfRule>
  </conditionalFormatting>
  <conditionalFormatting sqref="C61">
    <cfRule type="cellIs" dxfId="538" priority="23" operator="notEqual">
      <formula>C60</formula>
    </cfRule>
  </conditionalFormatting>
  <conditionalFormatting sqref="I61">
    <cfRule type="cellIs" dxfId="537" priority="21" operator="notEqual">
      <formula>I60</formula>
    </cfRule>
  </conditionalFormatting>
  <conditionalFormatting sqref="AY81 AY48 AY11">
    <cfRule type="cellIs" dxfId="536" priority="20" operator="notEqual">
      <formula>0</formula>
    </cfRule>
  </conditionalFormatting>
  <conditionalFormatting sqref="I28">
    <cfRule type="cellIs" dxfId="535" priority="16" operator="notEqual">
      <formula>I27</formula>
    </cfRule>
  </conditionalFormatting>
  <conditionalFormatting sqref="J28">
    <cfRule type="cellIs" dxfId="534" priority="15" operator="notEqual">
      <formula>J27</formula>
    </cfRule>
  </conditionalFormatting>
  <conditionalFormatting sqref="J61">
    <cfRule type="cellIs" dxfId="533" priority="14" operator="notEqual">
      <formula>J60</formula>
    </cfRule>
  </conditionalFormatting>
  <conditionalFormatting sqref="K28">
    <cfRule type="cellIs" dxfId="532" priority="13" operator="notEqual">
      <formula>K27</formula>
    </cfRule>
  </conditionalFormatting>
  <conditionalFormatting sqref="K61">
    <cfRule type="cellIs" dxfId="531" priority="12" operator="notEqual">
      <formula>K60</formula>
    </cfRule>
  </conditionalFormatting>
  <conditionalFormatting sqref="L28:M28">
    <cfRule type="cellIs" dxfId="530" priority="11" operator="notEqual">
      <formula>L27</formula>
    </cfRule>
  </conditionalFormatting>
  <conditionalFormatting sqref="N28">
    <cfRule type="cellIs" dxfId="529" priority="10" operator="notEqual">
      <formula>N27</formula>
    </cfRule>
  </conditionalFormatting>
  <conditionalFormatting sqref="U61">
    <cfRule type="cellIs" dxfId="528" priority="9" operator="notEqual">
      <formula>U60</formula>
    </cfRule>
  </conditionalFormatting>
  <conditionalFormatting sqref="U28:V28">
    <cfRule type="cellIs" dxfId="527" priority="8" operator="notEqual">
      <formula>U27</formula>
    </cfRule>
  </conditionalFormatting>
  <conditionalFormatting sqref="V28">
    <cfRule type="cellIs" dxfId="526" priority="7" operator="notEqual">
      <formula>V27</formula>
    </cfRule>
  </conditionalFormatting>
  <conditionalFormatting sqref="V61">
    <cfRule type="cellIs" dxfId="525" priority="6" operator="notEqual">
      <formula>V60</formula>
    </cfRule>
  </conditionalFormatting>
  <conditionalFormatting sqref="W28">
    <cfRule type="cellIs" dxfId="524" priority="5" operator="notEqual">
      <formula>W27</formula>
    </cfRule>
  </conditionalFormatting>
  <conditionalFormatting sqref="W61">
    <cfRule type="cellIs" dxfId="523" priority="4" operator="notEqual">
      <formula>W60</formula>
    </cfRule>
  </conditionalFormatting>
  <conditionalFormatting sqref="X28:Y28">
    <cfRule type="cellIs" dxfId="522" priority="3" operator="notEqual">
      <formula>X27</formula>
    </cfRule>
  </conditionalFormatting>
  <conditionalFormatting sqref="Z28">
    <cfRule type="cellIs" dxfId="521" priority="2" operator="notEqual">
      <formula>Z27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showGridLines="0" zoomScale="70" zoomScaleNormal="70" zoomScaleSheetLayoutView="85" workbookViewId="0">
      <pane xSplit="2" ySplit="3" topLeftCell="AD55" activePane="bottomRight" state="frozen"/>
      <selection pane="topRight" activeCell="C1" sqref="C1"/>
      <selection pane="bottomLeft" activeCell="A4" sqref="A4"/>
      <selection pane="bottomRight" activeCell="AT21" sqref="AT21"/>
    </sheetView>
  </sheetViews>
  <sheetFormatPr defaultColWidth="9.109375" defaultRowHeight="15.6" outlineLevelRow="1"/>
  <cols>
    <col min="1" max="1" width="17.33203125" style="482" customWidth="1"/>
    <col min="2" max="2" width="18.6640625" style="48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35" width="18.109375" style="482" customWidth="1"/>
    <col min="36" max="36" width="19" style="482" customWidth="1"/>
    <col min="37" max="38" width="16.33203125" style="482" customWidth="1"/>
    <col min="39" max="39" width="15.5546875" style="482" hidden="1" customWidth="1"/>
    <col min="40" max="44" width="16.33203125" style="482" hidden="1" customWidth="1"/>
    <col min="45" max="45" width="5.109375" style="482" customWidth="1"/>
    <col min="46" max="46" width="31.88671875" style="482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D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>AL3+1</f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>AQ3+1</f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>
        <v>3.4599999999999999E-2</v>
      </c>
      <c r="AK4" s="488">
        <v>3.4599999999999999E-2</v>
      </c>
      <c r="AL4" s="488">
        <v>3.4599999999999999E-2</v>
      </c>
      <c r="AM4" s="488"/>
      <c r="AN4" s="488"/>
      <c r="AO4" s="488"/>
      <c r="AP4" s="488"/>
      <c r="AQ4" s="488"/>
      <c r="AR4" s="488"/>
      <c r="AT4" s="544">
        <v>201606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2">AF13</f>
        <v>-6508323.8685397729</v>
      </c>
      <c r="AH5" s="482">
        <f t="shared" si="2"/>
        <v>-8439847.1132167727</v>
      </c>
      <c r="AI5" s="482">
        <f t="shared" si="2"/>
        <v>-9264796.9494047705</v>
      </c>
      <c r="AJ5" s="482">
        <f t="shared" si="2"/>
        <v>-10398819.535470769</v>
      </c>
      <c r="AK5" s="482">
        <f t="shared" si="2"/>
        <v>-12153304.785960769</v>
      </c>
      <c r="AL5" s="482">
        <f t="shared" si="2"/>
        <v>-12778894.072104771</v>
      </c>
      <c r="AM5" s="482">
        <f>AL13</f>
        <v>-14182183.944992768</v>
      </c>
      <c r="AN5" s="482">
        <f t="shared" si="2"/>
        <v>-15088075.607716769</v>
      </c>
      <c r="AO5" s="482">
        <f t="shared" si="2"/>
        <v>-14692696.779382769</v>
      </c>
      <c r="AP5" s="482">
        <f t="shared" si="2"/>
        <v>-15148781.482484771</v>
      </c>
      <c r="AQ5" s="482">
        <f t="shared" si="2"/>
        <v>-15224050.25103577</v>
      </c>
      <c r="AR5" s="482">
        <f t="shared" si="2"/>
        <v>-16834942.227225769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 t="shared" ref="C6:C12" si="3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</f>
        <v>38812.93</v>
      </c>
      <c r="AY6" s="500">
        <v>0</v>
      </c>
    </row>
    <row r="7" spans="1:51" ht="16.2">
      <c r="B7" s="481" t="s">
        <v>255</v>
      </c>
      <c r="C7" s="482">
        <f t="shared" si="3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1403289.8728879963</v>
      </c>
    </row>
    <row r="8" spans="1:51" ht="16.2">
      <c r="B8" s="481" t="s">
        <v>258</v>
      </c>
      <c r="C8" s="482">
        <f t="shared" si="3"/>
        <v>-177920.31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4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J8" si="5">ROUND(((AG5)*(AG4/12))+((SUM(AG6:AG7)/2)*(AG4/12)),2)</f>
        <v>-20214.939999999999</v>
      </c>
      <c r="AH8" s="489">
        <f t="shared" si="5"/>
        <v>-23942.62</v>
      </c>
      <c r="AI8" s="489">
        <f t="shared" si="5"/>
        <v>-26591.8</v>
      </c>
      <c r="AJ8" s="489">
        <f t="shared" si="5"/>
        <v>-32465.84</v>
      </c>
      <c r="AK8" s="489">
        <f>ROUND(((AK5)*(AK4/12))+((SUM(AK6:AK7)/2)*(AK4/12)),2)</f>
        <v>-35892.18</v>
      </c>
      <c r="AL8" s="489">
        <f>ROUND(((AL5)*(AL4/12))+((SUM(AL6:AL7)/2)*(AL4/12)),2)</f>
        <v>-38812.93</v>
      </c>
      <c r="AM8" s="489">
        <f>ROUND(((AM5)*(AM4/12))+((SUM(AM6:AM7)/2)*(AM4/12)),2)</f>
        <v>0</v>
      </c>
      <c r="AN8" s="489">
        <f t="shared" ref="AN8:AR8" si="6">ROUND(((AN5)*(AN4/12))+((SUM(AN6:AN7)/2)*(AN4/12)),2)</f>
        <v>0</v>
      </c>
      <c r="AO8" s="489">
        <f t="shared" si="6"/>
        <v>0</v>
      </c>
      <c r="AP8" s="489">
        <f t="shared" si="6"/>
        <v>0</v>
      </c>
      <c r="AQ8" s="489">
        <f t="shared" si="6"/>
        <v>0</v>
      </c>
      <c r="AR8" s="489">
        <f t="shared" si="6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</f>
        <v>1364476.9428879963</v>
      </c>
      <c r="AY8" s="500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f>SUM(C5:C12)</f>
        <v>-12411916.577626996</v>
      </c>
      <c r="D13" s="541"/>
      <c r="E13" s="541">
        <f>SUM(E5:E12)</f>
        <v>2712780.2600000002</v>
      </c>
      <c r="F13" s="541">
        <f t="shared" ref="F13:H13" si="7">SUM(F5:F12)</f>
        <v>2255013.9900000002</v>
      </c>
      <c r="G13" s="541">
        <f>SUM(G5:G12)</f>
        <v>-33498.738666789999</v>
      </c>
      <c r="H13" s="541">
        <f t="shared" si="7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8">SUM(V5:V12)</f>
        <v>-1694440.0214187815</v>
      </c>
      <c r="W13" s="541">
        <f t="shared" si="8"/>
        <v>-683405.33395377884</v>
      </c>
      <c r="X13" s="541">
        <f t="shared" si="8"/>
        <v>-2769396.4708657796</v>
      </c>
      <c r="Y13" s="541">
        <f>SUM(Y5:Y12)</f>
        <v>-2940906.6891037785</v>
      </c>
      <c r="Z13" s="541">
        <f t="shared" ref="Z13:AE13" si="9">SUM(Z5:Z12)</f>
        <v>-3112721.2246137792</v>
      </c>
      <c r="AA13" s="541">
        <f t="shared" si="9"/>
        <v>-3464489.8670317773</v>
      </c>
      <c r="AB13" s="541">
        <f t="shared" si="9"/>
        <v>-3555298.2266717753</v>
      </c>
      <c r="AC13" s="541">
        <f t="shared" si="9"/>
        <v>-4755858.0107337767</v>
      </c>
      <c r="AD13" s="541">
        <f t="shared" si="9"/>
        <v>-5900360.3440987766</v>
      </c>
      <c r="AE13" s="541">
        <f t="shared" si="9"/>
        <v>-4407824.1695987741</v>
      </c>
      <c r="AF13" s="541">
        <f>SUM(AF5:AF12)</f>
        <v>-6508323.8685397729</v>
      </c>
      <c r="AG13" s="541">
        <f t="shared" ref="AG13:AR13" si="10">SUM(AG5:AG12)</f>
        <v>-8439847.1132167727</v>
      </c>
      <c r="AH13" s="541">
        <f t="shared" si="10"/>
        <v>-9264796.9494047705</v>
      </c>
      <c r="AI13" s="541">
        <f t="shared" si="10"/>
        <v>-10398819.535470769</v>
      </c>
      <c r="AJ13" s="541">
        <f t="shared" si="10"/>
        <v>-12153304.785960769</v>
      </c>
      <c r="AK13" s="541">
        <f t="shared" si="10"/>
        <v>-12778894.072104771</v>
      </c>
      <c r="AL13" s="541">
        <f t="shared" si="10"/>
        <v>-14182183.944992768</v>
      </c>
      <c r="AM13" s="541">
        <f t="shared" si="10"/>
        <v>-15088075.607716769</v>
      </c>
      <c r="AN13" s="541">
        <f t="shared" si="10"/>
        <v>-14692696.779382769</v>
      </c>
      <c r="AO13" s="541">
        <f t="shared" si="10"/>
        <v>-15148781.482484771</v>
      </c>
      <c r="AP13" s="541">
        <f t="shared" si="10"/>
        <v>-15224050.25103577</v>
      </c>
      <c r="AQ13" s="541">
        <f t="shared" si="10"/>
        <v>-16834942.227225769</v>
      </c>
      <c r="AR13" s="541">
        <f t="shared" si="10"/>
        <v>-18920240.446166765</v>
      </c>
    </row>
    <row r="14" spans="1:51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51">
      <c r="B15" s="481" t="s">
        <v>245</v>
      </c>
      <c r="E15" s="482">
        <f t="shared" ref="E15:H15" si="11">E13-E14</f>
        <v>1.0000000242143869E-2</v>
      </c>
      <c r="F15" s="482">
        <f t="shared" si="11"/>
        <v>1.0000000242143869E-2</v>
      </c>
      <c r="G15" s="482">
        <f t="shared" si="11"/>
        <v>1.1333210000884719E-2</v>
      </c>
      <c r="H15" s="482">
        <f t="shared" si="11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K15" si="12">V13-V14</f>
        <v>-1.418781466782093E-3</v>
      </c>
      <c r="W15" s="482">
        <f t="shared" si="12"/>
        <v>-3.9537788834422827E-3</v>
      </c>
      <c r="X15" s="482">
        <f t="shared" si="12"/>
        <v>-8.6577935144305229E-4</v>
      </c>
      <c r="Y15" s="482">
        <f t="shared" si="12"/>
        <v>8.9622149243950844E-4</v>
      </c>
      <c r="Z15" s="482">
        <f t="shared" si="12"/>
        <v>5.3862207569181919E-3</v>
      </c>
      <c r="AA15" s="482">
        <f t="shared" si="12"/>
        <v>2.9682228341698647E-3</v>
      </c>
      <c r="AB15" s="482">
        <f t="shared" si="12"/>
        <v>3.3282246440649033E-3</v>
      </c>
      <c r="AC15" s="482">
        <f t="shared" si="12"/>
        <v>-7.3377694934606552E-4</v>
      </c>
      <c r="AD15" s="482">
        <f t="shared" si="12"/>
        <v>-4.0987767279148102E-3</v>
      </c>
      <c r="AE15" s="482">
        <f t="shared" si="12"/>
        <v>4.0122587233781815E-4</v>
      </c>
      <c r="AF15" s="482">
        <f t="shared" si="12"/>
        <v>1.4602271839976311E-3</v>
      </c>
      <c r="AG15" s="482">
        <f t="shared" si="12"/>
        <v>-7556.9932167734951</v>
      </c>
      <c r="AH15" s="482">
        <f t="shared" si="12"/>
        <v>5.9522874653339386E-4</v>
      </c>
      <c r="AI15" s="482">
        <f t="shared" si="12"/>
        <v>4.5292302966117859E-3</v>
      </c>
      <c r="AJ15" s="482">
        <f t="shared" si="12"/>
        <v>4.0392298251390457E-3</v>
      </c>
      <c r="AK15" s="482">
        <f t="shared" si="12"/>
        <v>7.895229384303093E-3</v>
      </c>
      <c r="AL15" s="482">
        <f>AL13-AL14</f>
        <v>5.0072316080331802E-3</v>
      </c>
      <c r="AM15" s="482">
        <f>AM13-AM14</f>
        <v>-905891.65771676973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D18" si="13">U18+1</f>
        <v>201502</v>
      </c>
      <c r="W18" s="484">
        <f t="shared" si="13"/>
        <v>201503</v>
      </c>
      <c r="X18" s="484">
        <f t="shared" si="13"/>
        <v>201504</v>
      </c>
      <c r="Y18" s="484">
        <f t="shared" si="13"/>
        <v>201505</v>
      </c>
      <c r="Z18" s="484">
        <f t="shared" si="13"/>
        <v>201506</v>
      </c>
      <c r="AA18" s="484">
        <f t="shared" si="13"/>
        <v>201507</v>
      </c>
      <c r="AB18" s="484">
        <f t="shared" si="13"/>
        <v>201508</v>
      </c>
      <c r="AC18" s="484">
        <f t="shared" si="13"/>
        <v>201509</v>
      </c>
      <c r="AD18" s="484">
        <f t="shared" si="13"/>
        <v>201510</v>
      </c>
      <c r="AE18" s="484">
        <f>AD18+1</f>
        <v>201511</v>
      </c>
      <c r="AF18" s="484">
        <f t="shared" ref="AF18" si="14">AE18+1</f>
        <v>201512</v>
      </c>
      <c r="AG18" s="484">
        <v>201601</v>
      </c>
      <c r="AH18" s="484">
        <f>AG18+1</f>
        <v>201602</v>
      </c>
      <c r="AI18" s="484">
        <f t="shared" ref="AI18:AR18" si="15">AH18+1</f>
        <v>201603</v>
      </c>
      <c r="AJ18" s="484">
        <f t="shared" si="15"/>
        <v>201604</v>
      </c>
      <c r="AK18" s="484">
        <f t="shared" si="15"/>
        <v>201605</v>
      </c>
      <c r="AL18" s="484">
        <f t="shared" si="15"/>
        <v>201606</v>
      </c>
      <c r="AM18" s="484">
        <f t="shared" si="15"/>
        <v>201607</v>
      </c>
      <c r="AN18" s="484">
        <f t="shared" si="15"/>
        <v>201608</v>
      </c>
      <c r="AO18" s="484">
        <f t="shared" si="15"/>
        <v>201609</v>
      </c>
      <c r="AP18" s="484">
        <f t="shared" si="15"/>
        <v>201610</v>
      </c>
      <c r="AQ18" s="484">
        <f t="shared" si="15"/>
        <v>201611</v>
      </c>
      <c r="AR18" s="484">
        <f t="shared" si="15"/>
        <v>201612</v>
      </c>
    </row>
    <row r="19" spans="1:45">
      <c r="A19" s="483"/>
      <c r="B19" s="481" t="s">
        <v>37</v>
      </c>
      <c r="C19" s="491">
        <f>SUM(AG19:AR19)</f>
        <v>58174785</v>
      </c>
      <c r="D19" s="491">
        <f>SUM(AE19:AP19)</f>
        <v>93009614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>
        <f>Mar!$G23</f>
        <v>12238194</v>
      </c>
      <c r="AJ19" s="543">
        <f>Apr!$G23</f>
        <v>5348802</v>
      </c>
      <c r="AK19" s="543">
        <f>May!$G23</f>
        <v>3384728</v>
      </c>
      <c r="AL19" s="543">
        <f>Jun!$G23</f>
        <v>2765049</v>
      </c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16">SUM(AG20:AR20)</f>
        <v>73476</v>
      </c>
      <c r="D20" s="491">
        <f>SUM(AE20:AP20)</f>
        <v>84920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>
        <f>Mar!$G24</f>
        <v>18603</v>
      </c>
      <c r="AJ20" s="543">
        <f>Apr!$G24</f>
        <v>12171</v>
      </c>
      <c r="AK20" s="543">
        <f>May!$G24</f>
        <v>5734</v>
      </c>
      <c r="AL20" s="543">
        <f>Jun!$G24</f>
        <v>4482</v>
      </c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16"/>
        <v>23129663</v>
      </c>
      <c r="D21" s="491">
        <f t="shared" ref="D21:D27" si="17">SUM(AE21:AP21)</f>
        <v>34799115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>
        <f>Mar!$G25</f>
        <v>4795258</v>
      </c>
      <c r="AJ21" s="543">
        <f>Apr!$G25</f>
        <v>2668983</v>
      </c>
      <c r="AK21" s="543">
        <f>May!$G25</f>
        <v>2221542</v>
      </c>
      <c r="AL21" s="543">
        <f>Jun!$G25</f>
        <v>1675034</v>
      </c>
      <c r="AM21" s="543"/>
      <c r="AN21" s="543"/>
      <c r="AO21" s="543"/>
      <c r="AP21" s="543"/>
      <c r="AQ21" s="543"/>
      <c r="AR21" s="543"/>
    </row>
    <row r="22" spans="1:45" hidden="1" outlineLevel="1">
      <c r="A22" s="483"/>
      <c r="B22" s="595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 collapsed="1">
      <c r="A23" s="483"/>
      <c r="B23" s="481" t="s">
        <v>40</v>
      </c>
      <c r="C23" s="491">
        <f t="shared" si="16"/>
        <v>1880436</v>
      </c>
      <c r="D23" s="491">
        <f t="shared" si="17"/>
        <v>2753614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>
        <f>Mar!$G27</f>
        <v>361566</v>
      </c>
      <c r="AJ23" s="543">
        <f>Apr!$G27</f>
        <v>227877</v>
      </c>
      <c r="AK23" s="543">
        <f>May!$G27</f>
        <v>311290</v>
      </c>
      <c r="AL23" s="543">
        <f>Jun!$G27</f>
        <v>225272</v>
      </c>
      <c r="AM23" s="543"/>
      <c r="AN23" s="543"/>
      <c r="AO23" s="543"/>
      <c r="AP23" s="543"/>
      <c r="AQ23" s="543"/>
      <c r="AR23" s="543"/>
    </row>
    <row r="24" spans="1:45" hidden="1" outlineLevel="1">
      <c r="A24" s="483"/>
      <c r="B24" s="595" t="s">
        <v>41</v>
      </c>
      <c r="C24" s="491">
        <f t="shared" si="16"/>
        <v>0</v>
      </c>
      <c r="D24" s="491">
        <f t="shared" si="17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 collapsed="1">
      <c r="A25" s="483"/>
      <c r="B25" s="579" t="s">
        <v>42</v>
      </c>
      <c r="C25" s="491">
        <f t="shared" si="16"/>
        <v>0</v>
      </c>
      <c r="D25" s="491">
        <f t="shared" si="17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>
        <f>Mar!$G29</f>
        <v>0</v>
      </c>
      <c r="AJ25" s="543">
        <f>Apr!$G29</f>
        <v>0</v>
      </c>
      <c r="AK25" s="543">
        <f>May!$G29</f>
        <v>0</v>
      </c>
      <c r="AL25" s="543">
        <f>Jun!$G29</f>
        <v>0</v>
      </c>
      <c r="AM25" s="543"/>
      <c r="AN25" s="543"/>
      <c r="AO25" s="543"/>
      <c r="AP25" s="543"/>
      <c r="AQ25" s="543"/>
      <c r="AR25" s="543"/>
    </row>
    <row r="26" spans="1:45" hidden="1" outlineLevel="1">
      <c r="A26" s="483"/>
      <c r="B26" s="595" t="s">
        <v>43</v>
      </c>
      <c r="C26" s="491">
        <f t="shared" si="16"/>
        <v>0</v>
      </c>
      <c r="D26" s="491">
        <f t="shared" si="17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 collapsed="1">
      <c r="A27" s="483"/>
      <c r="B27" s="481" t="s">
        <v>74</v>
      </c>
      <c r="C27" s="491">
        <f t="shared" si="16"/>
        <v>16014682</v>
      </c>
      <c r="D27" s="491">
        <f t="shared" si="17"/>
        <v>22355924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>
        <f>Mar!$G31</f>
        <v>2822744</v>
      </c>
      <c r="AJ27" s="543">
        <f>Apr!$G31</f>
        <v>2379815</v>
      </c>
      <c r="AK27" s="543">
        <f>May!$G31</f>
        <v>2359261</v>
      </c>
      <c r="AL27" s="543">
        <f>Jun!$G31</f>
        <v>2149880</v>
      </c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99273042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18">SUM(G19:G27)</f>
        <v>24054373</v>
      </c>
      <c r="H28" s="542">
        <f t="shared" si="18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19">SUM(V19:V27)</f>
        <v>21809394</v>
      </c>
      <c r="W28" s="542">
        <f t="shared" si="19"/>
        <v>17454090</v>
      </c>
      <c r="X28" s="542">
        <f t="shared" si="19"/>
        <v>14032685</v>
      </c>
      <c r="Y28" s="542">
        <f t="shared" si="19"/>
        <v>7651890</v>
      </c>
      <c r="Z28" s="542">
        <f t="shared" si="19"/>
        <v>5795038</v>
      </c>
      <c r="AA28" s="542">
        <f t="shared" si="19"/>
        <v>5628267</v>
      </c>
      <c r="AB28" s="542">
        <f t="shared" si="19"/>
        <v>5459507</v>
      </c>
      <c r="AC28" s="542">
        <f t="shared" si="19"/>
        <v>7409442</v>
      </c>
      <c r="AD28" s="542">
        <f t="shared" si="19"/>
        <v>10025335</v>
      </c>
      <c r="AE28" s="542">
        <f t="shared" si="19"/>
        <v>24443601</v>
      </c>
      <c r="AF28" s="542">
        <f t="shared" si="19"/>
        <v>29286544</v>
      </c>
      <c r="AG28" s="542">
        <f>SUM(AG19:AG27)</f>
        <v>30419523</v>
      </c>
      <c r="AH28" s="542">
        <f t="shared" si="19"/>
        <v>22877234</v>
      </c>
      <c r="AI28" s="542">
        <f t="shared" si="19"/>
        <v>20236365</v>
      </c>
      <c r="AJ28" s="542">
        <f t="shared" si="19"/>
        <v>10637648</v>
      </c>
      <c r="AK28" s="542">
        <f t="shared" si="19"/>
        <v>8282555</v>
      </c>
      <c r="AL28" s="542">
        <f>SUM(AL19:AL27)</f>
        <v>6819717</v>
      </c>
      <c r="AM28" s="542">
        <f>SUM(AM19:AM27)</f>
        <v>0</v>
      </c>
      <c r="AN28" s="542">
        <f t="shared" si="19"/>
        <v>0</v>
      </c>
      <c r="AO28" s="542">
        <f t="shared" si="19"/>
        <v>0</v>
      </c>
      <c r="AP28" s="542">
        <f t="shared" si="19"/>
        <v>0</v>
      </c>
      <c r="AQ28" s="542">
        <f t="shared" si="19"/>
        <v>0</v>
      </c>
      <c r="AR28" s="542">
        <f t="shared" si="19"/>
        <v>0</v>
      </c>
    </row>
    <row r="29" spans="1:45" ht="16.2" thickTop="1">
      <c r="A29" s="483"/>
      <c r="B29" s="481" t="s">
        <v>269</v>
      </c>
      <c r="C29" s="491">
        <f>SUM(AG29:AR29)</f>
        <v>105302443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>
        <v>10637648</v>
      </c>
      <c r="AK29" s="491">
        <v>8282555</v>
      </c>
      <c r="AL29" s="491">
        <v>6819717</v>
      </c>
      <c r="AM29" s="491">
        <v>6029401</v>
      </c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:AD31" si="20">U31+1</f>
        <v>201502</v>
      </c>
      <c r="W31" s="484">
        <f t="shared" si="20"/>
        <v>201503</v>
      </c>
      <c r="X31" s="484">
        <f t="shared" si="20"/>
        <v>201504</v>
      </c>
      <c r="Y31" s="484">
        <f t="shared" si="20"/>
        <v>201505</v>
      </c>
      <c r="Z31" s="484">
        <f t="shared" si="20"/>
        <v>201506</v>
      </c>
      <c r="AA31" s="484">
        <f t="shared" si="20"/>
        <v>201507</v>
      </c>
      <c r="AB31" s="484">
        <f t="shared" si="20"/>
        <v>201508</v>
      </c>
      <c r="AC31" s="484">
        <f t="shared" si="20"/>
        <v>201509</v>
      </c>
      <c r="AD31" s="484">
        <f t="shared" si="20"/>
        <v>201510</v>
      </c>
      <c r="AE31" s="484">
        <f>AD31+1</f>
        <v>201511</v>
      </c>
      <c r="AF31" s="484">
        <f t="shared" ref="AF31" si="21">AE31+1</f>
        <v>201512</v>
      </c>
      <c r="AG31" s="484">
        <v>201601</v>
      </c>
      <c r="AH31" s="484">
        <f>AG31+1</f>
        <v>201602</v>
      </c>
      <c r="AI31" s="484">
        <f t="shared" ref="AI31:AR31" si="22">AH31+1</f>
        <v>201603</v>
      </c>
      <c r="AJ31" s="484">
        <f t="shared" si="22"/>
        <v>201604</v>
      </c>
      <c r="AK31" s="484">
        <f t="shared" si="22"/>
        <v>201605</v>
      </c>
      <c r="AL31" s="484">
        <f t="shared" si="22"/>
        <v>201606</v>
      </c>
      <c r="AM31" s="484">
        <f t="shared" si="22"/>
        <v>201607</v>
      </c>
      <c r="AN31" s="484">
        <f t="shared" si="22"/>
        <v>201608</v>
      </c>
      <c r="AO31" s="484">
        <f t="shared" si="22"/>
        <v>201609</v>
      </c>
      <c r="AP31" s="484">
        <f t="shared" si="22"/>
        <v>201610</v>
      </c>
      <c r="AQ31" s="484">
        <f t="shared" si="22"/>
        <v>201611</v>
      </c>
      <c r="AR31" s="484">
        <f t="shared" si="22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 outlineLevel="1">
      <c r="A35" s="483"/>
      <c r="B35" s="595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 collapsed="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 outlineLevel="1">
      <c r="A37" s="483"/>
      <c r="B37" s="595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collapsed="1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outlineLevel="1" thickBot="1">
      <c r="A39" s="483"/>
      <c r="B39" s="595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collapsed="1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201606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:AD42" si="23">U42+1</f>
        <v>201502</v>
      </c>
      <c r="W42" s="484">
        <f t="shared" si="23"/>
        <v>201503</v>
      </c>
      <c r="X42" s="484">
        <f t="shared" si="23"/>
        <v>201504</v>
      </c>
      <c r="Y42" s="484">
        <f t="shared" si="23"/>
        <v>201505</v>
      </c>
      <c r="Z42" s="484">
        <f t="shared" si="23"/>
        <v>201506</v>
      </c>
      <c r="AA42" s="484">
        <f t="shared" si="23"/>
        <v>201507</v>
      </c>
      <c r="AB42" s="484">
        <f t="shared" si="23"/>
        <v>201508</v>
      </c>
      <c r="AC42" s="484">
        <f t="shared" si="23"/>
        <v>201509</v>
      </c>
      <c r="AD42" s="484">
        <f t="shared" si="23"/>
        <v>201510</v>
      </c>
      <c r="AE42" s="484">
        <f>AD42+1</f>
        <v>201511</v>
      </c>
      <c r="AF42" s="484">
        <f t="shared" ref="AF42" si="24">AE42+1</f>
        <v>201512</v>
      </c>
      <c r="AG42" s="484">
        <v>201601</v>
      </c>
      <c r="AH42" s="484">
        <f>AG42+1</f>
        <v>201602</v>
      </c>
      <c r="AI42" s="484">
        <f t="shared" ref="AI42:AR42" si="25">AH42+1</f>
        <v>201603</v>
      </c>
      <c r="AJ42" s="484">
        <f t="shared" si="25"/>
        <v>201604</v>
      </c>
      <c r="AK42" s="484">
        <f t="shared" si="25"/>
        <v>201605</v>
      </c>
      <c r="AL42" s="484">
        <f t="shared" si="25"/>
        <v>201606</v>
      </c>
      <c r="AM42" s="484">
        <f t="shared" si="25"/>
        <v>201607</v>
      </c>
      <c r="AN42" s="484">
        <f t="shared" si="25"/>
        <v>201608</v>
      </c>
      <c r="AO42" s="484">
        <f t="shared" si="25"/>
        <v>201609</v>
      </c>
      <c r="AP42" s="484">
        <f t="shared" si="25"/>
        <v>201610</v>
      </c>
      <c r="AQ42" s="484">
        <f t="shared" si="25"/>
        <v>201611</v>
      </c>
      <c r="AR42" s="484">
        <f t="shared" si="25"/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1903.9632456599886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>
        <v>3.4599999999999999E-2</v>
      </c>
      <c r="AK43" s="488">
        <v>3.4599999999999999E-2</v>
      </c>
      <c r="AL43" s="488">
        <v>3.4599999999999999E-2</v>
      </c>
      <c r="AM43" s="488">
        <v>3.5000000000000003E-2</v>
      </c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91090.456364340018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:AK44" si="26">AE49</f>
        <v>-2966848.8846008489</v>
      </c>
      <c r="AG44" s="482">
        <f t="shared" si="26"/>
        <v>-2400830.7877258095</v>
      </c>
      <c r="AH44" s="482">
        <f t="shared" si="26"/>
        <v>-1799942.4443073752</v>
      </c>
      <c r="AI44" s="482">
        <f t="shared" si="26"/>
        <v>-1367080.388300563</v>
      </c>
      <c r="AJ44" s="482">
        <f t="shared" si="26"/>
        <v>-991269.16134300514</v>
      </c>
      <c r="AK44" s="482">
        <f t="shared" si="26"/>
        <v>-820633.96798459429</v>
      </c>
      <c r="AL44" s="482">
        <f>AK49</f>
        <v>-706831.28344430251</v>
      </c>
      <c r="AM44" s="482">
        <f t="shared" ref="AM44:AR44" si="27">AL49</f>
        <v>-615740.82707996247</v>
      </c>
      <c r="AN44" s="482">
        <f t="shared" si="27"/>
        <v>-617536.73782561242</v>
      </c>
      <c r="AO44" s="482">
        <f t="shared" si="27"/>
        <v>-617536.73782561242</v>
      </c>
      <c r="AP44" s="482">
        <f t="shared" si="27"/>
        <v>-617536.73782561242</v>
      </c>
      <c r="AQ44" s="482">
        <f t="shared" si="27"/>
        <v>-617536.73782561242</v>
      </c>
      <c r="AR44" s="482">
        <f t="shared" si="27"/>
        <v>-617536.73782561242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92994.419610000012</v>
      </c>
    </row>
    <row r="45" spans="1:51" ht="16.2">
      <c r="B45" s="481" t="s">
        <v>23</v>
      </c>
      <c r="C45" s="482">
        <f>SUM(AG45:AR45)</f>
        <v>1804954.2602299997</v>
      </c>
      <c r="D45" s="494">
        <f>SUM(AE45:AP45)</f>
        <v>2835327.2602300001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28">SUMPRODUCT(AH19:AH27,AH32:AH40)</f>
        <v>437144.93303000001</v>
      </c>
      <c r="AI45" s="482">
        <f t="shared" si="28"/>
        <v>379000.50648999994</v>
      </c>
      <c r="AJ45" s="482">
        <f t="shared" si="28"/>
        <v>173243.59325999999</v>
      </c>
      <c r="AK45" s="482">
        <f t="shared" si="28"/>
        <v>116001.61016</v>
      </c>
      <c r="AL45" s="482">
        <f>SUMPRODUCT(AL19:AL27,AL32:AL40)</f>
        <v>92994.419610000012</v>
      </c>
      <c r="AM45" s="482">
        <f t="shared" si="28"/>
        <v>0</v>
      </c>
      <c r="AN45" s="482">
        <f t="shared" si="28"/>
        <v>0</v>
      </c>
      <c r="AO45" s="482">
        <f t="shared" si="28"/>
        <v>0</v>
      </c>
      <c r="AP45" s="482">
        <f t="shared" si="28"/>
        <v>0</v>
      </c>
      <c r="AQ45" s="482">
        <f t="shared" si="28"/>
        <v>0</v>
      </c>
      <c r="AR45" s="482">
        <f t="shared" si="28"/>
        <v>0</v>
      </c>
      <c r="AT45" s="153" t="s">
        <v>156</v>
      </c>
      <c r="AU45" s="209">
        <f>AU43</f>
        <v>191000</v>
      </c>
      <c r="AV45" s="209" t="str">
        <f t="shared" ref="AV45:AW46" si="29">AV43</f>
        <v>GD</v>
      </c>
      <c r="AW45" s="209" t="str">
        <f t="shared" si="29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30">SUM(AG46:AR46)</f>
        <v>-21660.210329802856</v>
      </c>
      <c r="D46" s="494">
        <f t="shared" ref="D46" si="31">SUM(AE46:AP46)</f>
        <v>-37628.001525574007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32">((AG44+AG47)*(AG43/12))+(((AG45+AG48)/2)*(AG43/12))</f>
        <v>-5680.8542615657343</v>
      </c>
      <c r="AH46" s="489">
        <f t="shared" si="32"/>
        <v>-4282.8770231876824</v>
      </c>
      <c r="AI46" s="489">
        <f t="shared" si="32"/>
        <v>-3189.27953244215</v>
      </c>
      <c r="AJ46" s="489">
        <f t="shared" si="32"/>
        <v>-2608.3999015891645</v>
      </c>
      <c r="AK46" s="489">
        <f t="shared" si="32"/>
        <v>-2198.9256197082468</v>
      </c>
      <c r="AL46" s="489">
        <f t="shared" si="32"/>
        <v>-1903.9632456599886</v>
      </c>
      <c r="AM46" s="489">
        <f t="shared" si="32"/>
        <v>-1795.9107456498907</v>
      </c>
      <c r="AN46" s="489">
        <f t="shared" si="32"/>
        <v>0</v>
      </c>
      <c r="AO46" s="489">
        <f t="shared" si="32"/>
        <v>0</v>
      </c>
      <c r="AP46" s="489">
        <f t="shared" si="32"/>
        <v>0</v>
      </c>
      <c r="AQ46" s="489">
        <f t="shared" si="32"/>
        <v>0</v>
      </c>
      <c r="AR46" s="489">
        <f t="shared" si="32"/>
        <v>0</v>
      </c>
      <c r="AT46" s="154" t="str">
        <f>AT45</f>
        <v>Large Customer Refund</v>
      </c>
      <c r="AU46" s="561">
        <f>AU44</f>
        <v>805110</v>
      </c>
      <c r="AV46" s="561" t="str">
        <f t="shared" si="29"/>
        <v>GD</v>
      </c>
      <c r="AW46" s="561" t="str">
        <f t="shared" si="29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30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30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1783294.0499001967</v>
      </c>
      <c r="D49" s="541"/>
      <c r="E49" s="541">
        <f>SUM(E44:E48)</f>
        <v>-46035.360287444513</v>
      </c>
      <c r="F49" s="541">
        <f t="shared" ref="F49:H49" si="33">SUM(F44:F48)</f>
        <v>404885.58467682183</v>
      </c>
      <c r="G49" s="541">
        <f t="shared" si="33"/>
        <v>1486369.5928734979</v>
      </c>
      <c r="H49" s="541">
        <f t="shared" si="33"/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R49" si="34">SUM(V44:V48)</f>
        <v>-978605.01769356499</v>
      </c>
      <c r="W49" s="541">
        <f t="shared" si="34"/>
        <v>-801445.32791263924</v>
      </c>
      <c r="X49" s="541">
        <f t="shared" si="34"/>
        <v>-669275.24177190254</v>
      </c>
      <c r="Y49" s="541">
        <f t="shared" si="34"/>
        <v>-610882.24266902648</v>
      </c>
      <c r="Z49" s="541">
        <f t="shared" si="34"/>
        <v>-574943.04011245095</v>
      </c>
      <c r="AA49" s="541">
        <f t="shared" si="34"/>
        <v>-537511.27700320142</v>
      </c>
      <c r="AB49" s="541">
        <f t="shared" si="34"/>
        <v>-503286.03358886426</v>
      </c>
      <c r="AC49" s="541">
        <f t="shared" si="34"/>
        <v>-446057.56644618412</v>
      </c>
      <c r="AD49" s="541">
        <f t="shared" si="34"/>
        <v>-360318.05653003836</v>
      </c>
      <c r="AE49" s="541">
        <f t="shared" si="34"/>
        <v>-2966848.8846008489</v>
      </c>
      <c r="AF49" s="541">
        <f t="shared" si="34"/>
        <v>-2400830.7877258095</v>
      </c>
      <c r="AG49" s="541">
        <f t="shared" si="34"/>
        <v>-1799942.4443073752</v>
      </c>
      <c r="AH49" s="541">
        <f t="shared" si="34"/>
        <v>-1367080.388300563</v>
      </c>
      <c r="AI49" s="541">
        <f t="shared" si="34"/>
        <v>-991269.16134300514</v>
      </c>
      <c r="AJ49" s="541">
        <f t="shared" si="34"/>
        <v>-820633.96798459429</v>
      </c>
      <c r="AK49" s="541">
        <f t="shared" si="34"/>
        <v>-706831.28344430251</v>
      </c>
      <c r="AL49" s="541">
        <f t="shared" si="34"/>
        <v>-615740.82707996247</v>
      </c>
      <c r="AM49" s="541">
        <f>SUM(AM44:AM48)</f>
        <v>-617536.73782561242</v>
      </c>
      <c r="AN49" s="541">
        <f t="shared" si="34"/>
        <v>-617536.73782561242</v>
      </c>
      <c r="AO49" s="541">
        <f t="shared" si="34"/>
        <v>-617536.73782561242</v>
      </c>
      <c r="AP49" s="541">
        <f t="shared" si="34"/>
        <v>-617536.73782561242</v>
      </c>
      <c r="AQ49" s="541">
        <f t="shared" si="34"/>
        <v>-617536.73782561242</v>
      </c>
      <c r="AR49" s="541">
        <f t="shared" si="34"/>
        <v>-617536.73782561242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35">E49-E50</f>
        <v>-0.22028744451381499</v>
      </c>
      <c r="F51" s="482">
        <f t="shared" si="35"/>
        <v>-0.22532317816512659</v>
      </c>
      <c r="G51" s="482">
        <f t="shared" si="35"/>
        <v>-0.22712650219909847</v>
      </c>
      <c r="H51" s="482">
        <f t="shared" si="35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R51" si="36">V49-V50</f>
        <v>-0.21769356494769454</v>
      </c>
      <c r="W51" s="482">
        <f t="shared" si="36"/>
        <v>-0.21791263925842941</v>
      </c>
      <c r="X51" s="482">
        <f t="shared" si="36"/>
        <v>-0.22177190252114087</v>
      </c>
      <c r="Y51" s="482">
        <f t="shared" si="36"/>
        <v>-0.22266902646515518</v>
      </c>
      <c r="Z51" s="482">
        <f t="shared" si="36"/>
        <v>-0.22011245100293308</v>
      </c>
      <c r="AA51" s="482">
        <f t="shared" si="36"/>
        <v>-0.21700320136733353</v>
      </c>
      <c r="AB51" s="482">
        <f t="shared" si="36"/>
        <v>-0.21358886425150558</v>
      </c>
      <c r="AC51" s="482">
        <f t="shared" si="36"/>
        <v>-0.21644618414575234</v>
      </c>
      <c r="AD51" s="482">
        <f t="shared" si="36"/>
        <v>-0.21653003833489493</v>
      </c>
      <c r="AE51" s="482">
        <f t="shared" si="36"/>
        <v>-0.21460084896534681</v>
      </c>
      <c r="AF51" s="482">
        <f t="shared" si="36"/>
        <v>-0.21772580966353416</v>
      </c>
      <c r="AG51" s="482">
        <f t="shared" si="36"/>
        <v>-0.22430737526156008</v>
      </c>
      <c r="AH51" s="482">
        <f t="shared" si="36"/>
        <v>-0.21830056305043399</v>
      </c>
      <c r="AI51" s="482">
        <f t="shared" si="36"/>
        <v>-0.22134300519246608</v>
      </c>
      <c r="AJ51" s="482">
        <f t="shared" si="36"/>
        <v>-0.2179845942882821</v>
      </c>
      <c r="AK51" s="482">
        <f>AK49-AK50</f>
        <v>-0.21344430255703628</v>
      </c>
      <c r="AL51" s="482">
        <f t="shared" si="36"/>
        <v>-0.21707996248733252</v>
      </c>
      <c r="AM51" s="482">
        <f>AM49-AM50</f>
        <v>-1796.1278256124351</v>
      </c>
      <c r="AN51" s="482">
        <f t="shared" si="36"/>
        <v>-1796.1278256124351</v>
      </c>
      <c r="AO51" s="482">
        <f t="shared" si="36"/>
        <v>-617536.73782561242</v>
      </c>
      <c r="AP51" s="482">
        <f t="shared" si="36"/>
        <v>-617536.73782561242</v>
      </c>
      <c r="AQ51" s="482">
        <f t="shared" si="36"/>
        <v>-617536.73782561242</v>
      </c>
      <c r="AR51" s="482">
        <f t="shared" si="36"/>
        <v>-617536.73782561242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:AD54" si="37">U54+1</f>
        <v>201502</v>
      </c>
      <c r="W54" s="484">
        <f t="shared" si="37"/>
        <v>201503</v>
      </c>
      <c r="X54" s="484">
        <f t="shared" si="37"/>
        <v>201504</v>
      </c>
      <c r="Y54" s="484">
        <f t="shared" si="37"/>
        <v>201505</v>
      </c>
      <c r="Z54" s="484">
        <f t="shared" si="37"/>
        <v>201506</v>
      </c>
      <c r="AA54" s="484">
        <f t="shared" si="37"/>
        <v>201507</v>
      </c>
      <c r="AB54" s="484">
        <f t="shared" si="37"/>
        <v>201508</v>
      </c>
      <c r="AC54" s="484">
        <f t="shared" si="37"/>
        <v>201509</v>
      </c>
      <c r="AD54" s="484">
        <f t="shared" si="37"/>
        <v>201510</v>
      </c>
      <c r="AE54" s="484">
        <f>AD54+1</f>
        <v>201511</v>
      </c>
      <c r="AF54" s="484">
        <f t="shared" ref="AF54" si="38">AE54+1</f>
        <v>201512</v>
      </c>
      <c r="AG54" s="484">
        <v>201601</v>
      </c>
      <c r="AH54" s="484">
        <f>AG54+1</f>
        <v>201602</v>
      </c>
      <c r="AI54" s="484">
        <f t="shared" ref="AI54:AR54" si="39">AH54+1</f>
        <v>201603</v>
      </c>
      <c r="AJ54" s="484">
        <f t="shared" si="39"/>
        <v>201604</v>
      </c>
      <c r="AK54" s="484">
        <f t="shared" si="39"/>
        <v>201605</v>
      </c>
      <c r="AL54" s="484">
        <f t="shared" si="39"/>
        <v>201606</v>
      </c>
      <c r="AM54" s="484">
        <f t="shared" si="39"/>
        <v>201607</v>
      </c>
      <c r="AN54" s="484">
        <f t="shared" si="39"/>
        <v>201608</v>
      </c>
      <c r="AO54" s="484">
        <f t="shared" si="39"/>
        <v>201609</v>
      </c>
      <c r="AP54" s="484">
        <f t="shared" si="39"/>
        <v>201610</v>
      </c>
      <c r="AQ54" s="484">
        <f t="shared" si="39"/>
        <v>201611</v>
      </c>
      <c r="AR54" s="484">
        <f t="shared" si="39"/>
        <v>201612</v>
      </c>
      <c r="AX54" s="563"/>
    </row>
    <row r="55" spans="1:50">
      <c r="A55" s="483"/>
      <c r="B55" s="481" t="s">
        <v>37</v>
      </c>
      <c r="C55" s="491">
        <f>SUM(AG55:AR55)</f>
        <v>60467368</v>
      </c>
      <c r="D55" s="491">
        <f>SUM(AE55:AP55)</f>
        <v>95302197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>
        <f>Mar!$G23</f>
        <v>12238194</v>
      </c>
      <c r="AJ55" s="543">
        <f>Apr!$G23</f>
        <v>5348802</v>
      </c>
      <c r="AK55" s="543">
        <f>May!$G23</f>
        <v>3384728</v>
      </c>
      <c r="AL55" s="543">
        <f>Jun!G23</f>
        <v>2765049</v>
      </c>
      <c r="AM55" s="543">
        <f>Jul!G23</f>
        <v>2292583</v>
      </c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40">SUM(AG56:AR56)</f>
        <v>77086</v>
      </c>
      <c r="D56" s="491">
        <f t="shared" ref="D56:D63" si="41">SUM(AE56:AP56)</f>
        <v>88530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>
        <f>Mar!$G24</f>
        <v>18603</v>
      </c>
      <c r="AJ56" s="543">
        <f>Apr!$G24</f>
        <v>12171</v>
      </c>
      <c r="AK56" s="543">
        <f>May!$G24</f>
        <v>5734</v>
      </c>
      <c r="AL56" s="543">
        <f>Jun!G24</f>
        <v>4482</v>
      </c>
      <c r="AM56" s="543">
        <f>Jul!G24</f>
        <v>3610</v>
      </c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40"/>
        <v>24639677</v>
      </c>
      <c r="D57" s="491">
        <f t="shared" si="41"/>
        <v>36309129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>
        <f>Mar!$G25</f>
        <v>4795258</v>
      </c>
      <c r="AJ57" s="543">
        <f>Apr!$G25</f>
        <v>2668983</v>
      </c>
      <c r="AK57" s="543">
        <f>May!$G25</f>
        <v>2221542</v>
      </c>
      <c r="AL57" s="543">
        <f>Jun!G25</f>
        <v>1675034</v>
      </c>
      <c r="AM57" s="543">
        <f>Jul!G25</f>
        <v>1510014</v>
      </c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40"/>
        <v>0</v>
      </c>
      <c r="D58" s="491">
        <f t="shared" si="41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>
        <f>Mar!$G26</f>
        <v>0</v>
      </c>
      <c r="AJ58" s="543">
        <f>Apr!$G26</f>
        <v>0</v>
      </c>
      <c r="AK58" s="543">
        <f>May!$G26</f>
        <v>0</v>
      </c>
      <c r="AL58" s="543">
        <f>Jun!G26</f>
        <v>0</v>
      </c>
      <c r="AM58" s="543">
        <f>Jul!G26</f>
        <v>0</v>
      </c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40"/>
        <v>2147252</v>
      </c>
      <c r="D59" s="491">
        <f t="shared" si="41"/>
        <v>3020430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>
        <f>Mar!$G27</f>
        <v>361566</v>
      </c>
      <c r="AJ59" s="543">
        <f>Apr!$G27</f>
        <v>227877</v>
      </c>
      <c r="AK59" s="543">
        <f>May!$G27</f>
        <v>311290</v>
      </c>
      <c r="AL59" s="543">
        <f>Jun!G27</f>
        <v>225272</v>
      </c>
      <c r="AM59" s="543">
        <f>Jul!G27</f>
        <v>266816</v>
      </c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40"/>
        <v>370480</v>
      </c>
      <c r="D60" s="491">
        <f t="shared" si="41"/>
        <v>492841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>
        <f>Mar!$G28</f>
        <v>59583</v>
      </c>
      <c r="AJ60" s="543">
        <f>Apr!$G28</f>
        <v>54523</v>
      </c>
      <c r="AK60" s="543">
        <f>May!$G28</f>
        <v>42598</v>
      </c>
      <c r="AL60" s="543">
        <f>Jun!G28</f>
        <v>35139</v>
      </c>
      <c r="AM60" s="543">
        <f>Jul!G28</f>
        <v>27605</v>
      </c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40"/>
        <v>0</v>
      </c>
      <c r="D61" s="491">
        <f t="shared" si="41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>
        <f>Mar!$G29</f>
        <v>0</v>
      </c>
      <c r="AJ61" s="543">
        <f>Apr!$G29</f>
        <v>0</v>
      </c>
      <c r="AK61" s="543">
        <f>May!$G29</f>
        <v>0</v>
      </c>
      <c r="AL61" s="543">
        <f>Jun!G29</f>
        <v>0</v>
      </c>
      <c r="AM61" s="543">
        <f>Jul!G29</f>
        <v>0</v>
      </c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40"/>
        <v>633033</v>
      </c>
      <c r="D62" s="491">
        <f t="shared" si="41"/>
        <v>758981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>
        <f>Mar!$G30</f>
        <v>89942</v>
      </c>
      <c r="AJ62" s="543">
        <f>Apr!$G30</f>
        <v>82073</v>
      </c>
      <c r="AK62" s="543">
        <f>May!$G30</f>
        <v>57685</v>
      </c>
      <c r="AL62" s="543">
        <f>Jun!G30</f>
        <v>51713</v>
      </c>
      <c r="AM62" s="543">
        <f>Jul!G30</f>
        <v>45567</v>
      </c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40"/>
        <v>17971060</v>
      </c>
      <c r="D63" s="491">
        <f t="shared" si="41"/>
        <v>24312302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>
        <f>Mar!$G31</f>
        <v>2822744</v>
      </c>
      <c r="AJ63" s="543">
        <f>Apr!$G31</f>
        <v>2379815</v>
      </c>
      <c r="AK63" s="543">
        <f>May!$G31</f>
        <v>2359261</v>
      </c>
      <c r="AL63" s="543">
        <f>Jun!G31</f>
        <v>2149880</v>
      </c>
      <c r="AM63" s="543">
        <f>Jul!G31</f>
        <v>1956378</v>
      </c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106305956</v>
      </c>
      <c r="D64" s="542">
        <f t="shared" ref="D64:D65" si="42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:H64" si="43">SUM(G55:G63)</f>
        <v>24248041</v>
      </c>
      <c r="H64" s="542">
        <f t="shared" si="43"/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:AR64" si="44">SUM(V55:V63)</f>
        <v>22001617</v>
      </c>
      <c r="W64" s="542">
        <f t="shared" si="44"/>
        <v>17611817</v>
      </c>
      <c r="X64" s="542">
        <f t="shared" si="44"/>
        <v>14163392</v>
      </c>
      <c r="Y64" s="542">
        <f t="shared" si="44"/>
        <v>7782410</v>
      </c>
      <c r="Z64" s="542">
        <f t="shared" si="44"/>
        <v>5881684</v>
      </c>
      <c r="AA64" s="542">
        <f t="shared" si="44"/>
        <v>5669948</v>
      </c>
      <c r="AB64" s="542">
        <f t="shared" si="44"/>
        <v>5554978</v>
      </c>
      <c r="AC64" s="542">
        <f t="shared" si="44"/>
        <v>7484702</v>
      </c>
      <c r="AD64" s="542">
        <f t="shared" si="44"/>
        <v>10158046</v>
      </c>
      <c r="AE64" s="542">
        <f t="shared" si="44"/>
        <v>24566038</v>
      </c>
      <c r="AF64" s="542">
        <f t="shared" si="44"/>
        <v>29412416</v>
      </c>
      <c r="AG64" s="542">
        <f t="shared" si="44"/>
        <v>30707107</v>
      </c>
      <c r="AH64" s="542">
        <f t="shared" si="44"/>
        <v>23046735</v>
      </c>
      <c r="AI64" s="542">
        <f t="shared" si="44"/>
        <v>20385890</v>
      </c>
      <c r="AJ64" s="542">
        <f t="shared" si="44"/>
        <v>10774244</v>
      </c>
      <c r="AK64" s="542">
        <f t="shared" si="44"/>
        <v>8382838</v>
      </c>
      <c r="AL64" s="542">
        <f t="shared" si="44"/>
        <v>6906569</v>
      </c>
      <c r="AM64" s="542">
        <f>SUM(AM55:AM63)</f>
        <v>6102573</v>
      </c>
      <c r="AN64" s="542">
        <f t="shared" si="44"/>
        <v>0</v>
      </c>
      <c r="AO64" s="542">
        <f t="shared" si="44"/>
        <v>0</v>
      </c>
      <c r="AP64" s="542">
        <f t="shared" si="44"/>
        <v>0</v>
      </c>
      <c r="AQ64" s="542">
        <f t="shared" si="44"/>
        <v>0</v>
      </c>
      <c r="AR64" s="542">
        <f t="shared" si="44"/>
        <v>0</v>
      </c>
    </row>
    <row r="65" spans="1:51" ht="16.2" thickTop="1">
      <c r="A65" s="483"/>
      <c r="B65" s="481" t="s">
        <v>269</v>
      </c>
      <c r="C65" s="491">
        <f>SUM(AG65:AR65)</f>
        <v>106305956</v>
      </c>
      <c r="D65" s="491">
        <f t="shared" si="42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>
        <v>10774244</v>
      </c>
      <c r="AK65" s="491">
        <v>8382838</v>
      </c>
      <c r="AL65" s="491">
        <v>6906569</v>
      </c>
      <c r="AM65" s="491">
        <v>6102573</v>
      </c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:AD67" si="45">U67+1</f>
        <v>201502</v>
      </c>
      <c r="W67" s="484">
        <f t="shared" si="45"/>
        <v>201503</v>
      </c>
      <c r="X67" s="484">
        <f t="shared" si="45"/>
        <v>201504</v>
      </c>
      <c r="Y67" s="484">
        <f t="shared" si="45"/>
        <v>201505</v>
      </c>
      <c r="Z67" s="484">
        <f t="shared" si="45"/>
        <v>201506</v>
      </c>
      <c r="AA67" s="484">
        <f t="shared" si="45"/>
        <v>201507</v>
      </c>
      <c r="AB67" s="484">
        <f t="shared" si="45"/>
        <v>201508</v>
      </c>
      <c r="AC67" s="484">
        <f t="shared" si="45"/>
        <v>201509</v>
      </c>
      <c r="AD67" s="484">
        <f t="shared" si="45"/>
        <v>201510</v>
      </c>
      <c r="AE67" s="484">
        <f>AD67+1</f>
        <v>201511</v>
      </c>
      <c r="AF67" s="484">
        <f t="shared" ref="AF67" si="46">AE67+1</f>
        <v>201512</v>
      </c>
      <c r="AG67" s="484">
        <v>201601</v>
      </c>
      <c r="AH67" s="484">
        <f>AG67+1</f>
        <v>201602</v>
      </c>
      <c r="AI67" s="484">
        <f t="shared" ref="AI67:AR67" si="47">AH67+1</f>
        <v>201603</v>
      </c>
      <c r="AJ67" s="484">
        <f t="shared" si="47"/>
        <v>201604</v>
      </c>
      <c r="AK67" s="484">
        <f t="shared" si="47"/>
        <v>201605</v>
      </c>
      <c r="AL67" s="484">
        <f t="shared" si="47"/>
        <v>201606</v>
      </c>
      <c r="AM67" s="484">
        <f t="shared" si="47"/>
        <v>201607</v>
      </c>
      <c r="AN67" s="484">
        <f t="shared" si="47"/>
        <v>201608</v>
      </c>
      <c r="AO67" s="484">
        <f t="shared" si="47"/>
        <v>201609</v>
      </c>
      <c r="AP67" s="484">
        <f t="shared" si="47"/>
        <v>201610</v>
      </c>
      <c r="AQ67" s="484">
        <f t="shared" si="47"/>
        <v>201611</v>
      </c>
      <c r="AR67" s="484">
        <f t="shared" si="47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201606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661.36716999999987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661.36716999999987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:AD78" si="48">U78+1</f>
        <v>201502</v>
      </c>
      <c r="W78" s="484">
        <f t="shared" si="48"/>
        <v>201503</v>
      </c>
      <c r="X78" s="484">
        <f t="shared" si="48"/>
        <v>201504</v>
      </c>
      <c r="Y78" s="484">
        <f t="shared" si="48"/>
        <v>201505</v>
      </c>
      <c r="Z78" s="484">
        <f t="shared" si="48"/>
        <v>201506</v>
      </c>
      <c r="AA78" s="484">
        <f t="shared" si="48"/>
        <v>201507</v>
      </c>
      <c r="AB78" s="484">
        <f t="shared" si="48"/>
        <v>201508</v>
      </c>
      <c r="AC78" s="484">
        <f t="shared" si="48"/>
        <v>201509</v>
      </c>
      <c r="AD78" s="484">
        <f t="shared" si="48"/>
        <v>201510</v>
      </c>
      <c r="AE78" s="484">
        <f>AD78+1</f>
        <v>201511</v>
      </c>
      <c r="AF78" s="484">
        <f t="shared" ref="AF78" si="49">AE78+1</f>
        <v>201512</v>
      </c>
      <c r="AG78" s="484">
        <v>201601</v>
      </c>
      <c r="AH78" s="484">
        <f>AG78+1</f>
        <v>201602</v>
      </c>
      <c r="AI78" s="484">
        <f t="shared" ref="AI78:AR78" si="50">AH78+1</f>
        <v>201603</v>
      </c>
      <c r="AJ78" s="484">
        <f t="shared" si="50"/>
        <v>201604</v>
      </c>
      <c r="AK78" s="484">
        <f t="shared" si="50"/>
        <v>201605</v>
      </c>
      <c r="AL78" s="484">
        <f t="shared" si="50"/>
        <v>201606</v>
      </c>
      <c r="AM78" s="484">
        <f t="shared" si="50"/>
        <v>201607</v>
      </c>
      <c r="AN78" s="484">
        <f t="shared" si="50"/>
        <v>201608</v>
      </c>
      <c r="AO78" s="484">
        <f t="shared" si="50"/>
        <v>201609</v>
      </c>
      <c r="AP78" s="484">
        <f t="shared" si="50"/>
        <v>201610</v>
      </c>
      <c r="AQ78" s="484">
        <f t="shared" si="50"/>
        <v>201611</v>
      </c>
      <c r="AR78" s="484">
        <f t="shared" si="50"/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51">AF82</f>
        <v>-18146.93566000001</v>
      </c>
      <c r="AH79" s="482">
        <f t="shared" si="51"/>
        <v>-14523.147320000011</v>
      </c>
      <c r="AI79" s="482">
        <f t="shared" si="51"/>
        <v>-11852.264220000012</v>
      </c>
      <c r="AJ79" s="482">
        <f t="shared" si="51"/>
        <v>-9512.6003600000113</v>
      </c>
      <c r="AK79" s="482">
        <f t="shared" si="51"/>
        <v>-8373.7282900000118</v>
      </c>
      <c r="AL79" s="482">
        <f t="shared" si="51"/>
        <v>-7543.4780600000122</v>
      </c>
      <c r="AM79" s="482">
        <f t="shared" si="51"/>
        <v>-6882.1108900000127</v>
      </c>
      <c r="AN79" s="482">
        <f t="shared" si="51"/>
        <v>-6303.9779800000124</v>
      </c>
      <c r="AO79" s="482">
        <f t="shared" si="51"/>
        <v>-6303.9779800000124</v>
      </c>
      <c r="AP79" s="482">
        <f t="shared" si="51"/>
        <v>-6303.9779800000124</v>
      </c>
      <c r="AQ79" s="482">
        <f t="shared" si="51"/>
        <v>-6303.9779800000124</v>
      </c>
      <c r="AR79" s="482">
        <f t="shared" si="51"/>
        <v>-6303.9779800000124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11842.957679999998</v>
      </c>
      <c r="D80" s="494">
        <f>SUM(AE80:AP80)</f>
        <v>16893.957679999996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52">SUMPRODUCT(AH55:AH63,AH68:AH76)</f>
        <v>2670.8831</v>
      </c>
      <c r="AI80" s="563">
        <f t="shared" si="52"/>
        <v>2339.6638599999997</v>
      </c>
      <c r="AJ80" s="563">
        <f t="shared" si="52"/>
        <v>1138.8720699999999</v>
      </c>
      <c r="AK80" s="563">
        <f t="shared" si="52"/>
        <v>830.25022999999999</v>
      </c>
      <c r="AL80" s="563">
        <f>SUMPRODUCT(AL55:AL63,AL68:AL76)</f>
        <v>661.36716999999987</v>
      </c>
      <c r="AM80" s="563">
        <f t="shared" si="52"/>
        <v>578.13290999999992</v>
      </c>
      <c r="AN80" s="563">
        <f t="shared" si="52"/>
        <v>0</v>
      </c>
      <c r="AO80" s="563">
        <f t="shared" si="52"/>
        <v>0</v>
      </c>
      <c r="AP80" s="563">
        <f t="shared" si="52"/>
        <v>0</v>
      </c>
      <c r="AQ80" s="563">
        <f t="shared" si="52"/>
        <v>0</v>
      </c>
      <c r="AR80" s="563">
        <f t="shared" si="52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11842.957679999998</v>
      </c>
      <c r="D82" s="541"/>
      <c r="E82" s="541">
        <f t="shared" ref="E82:H82" si="53">SUM(E79:E81)</f>
        <v>38932.729789999998</v>
      </c>
      <c r="F82" s="541">
        <f t="shared" si="53"/>
        <v>8140.2385399999985</v>
      </c>
      <c r="G82" s="541">
        <f t="shared" si="53"/>
        <v>-693.68146000000161</v>
      </c>
      <c r="H82" s="541">
        <f t="shared" si="53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54">SUM(V79:V81)</f>
        <v>-38138.117780000015</v>
      </c>
      <c r="W82" s="541">
        <f t="shared" si="54"/>
        <v>-34282.961340000016</v>
      </c>
      <c r="X82" s="541">
        <f t="shared" si="54"/>
        <v>-31253.873050000017</v>
      </c>
      <c r="Y82" s="541">
        <f t="shared" si="54"/>
        <v>-29770.929110000015</v>
      </c>
      <c r="Z82" s="541">
        <f t="shared" si="54"/>
        <v>-28708.282540000015</v>
      </c>
      <c r="AA82" s="541">
        <f t="shared" si="54"/>
        <v>-27692.487530000013</v>
      </c>
      <c r="AB82" s="541">
        <f t="shared" si="54"/>
        <v>-26711.886850000014</v>
      </c>
      <c r="AC82" s="541">
        <f t="shared" si="54"/>
        <v>-25249.174790000012</v>
      </c>
      <c r="AD82" s="541">
        <f t="shared" si="54"/>
        <v>-23171.93566000001</v>
      </c>
      <c r="AE82" s="541">
        <f t="shared" si="54"/>
        <v>-21380.93566000001</v>
      </c>
      <c r="AF82" s="541">
        <f t="shared" si="54"/>
        <v>-18146.93566000001</v>
      </c>
      <c r="AG82" s="541">
        <f t="shared" si="54"/>
        <v>-14523.147320000011</v>
      </c>
      <c r="AH82" s="541">
        <f t="shared" si="54"/>
        <v>-11852.264220000012</v>
      </c>
      <c r="AI82" s="541">
        <f t="shared" si="54"/>
        <v>-9512.6003600000113</v>
      </c>
      <c r="AJ82" s="541">
        <f t="shared" si="54"/>
        <v>-8373.7282900000118</v>
      </c>
      <c r="AK82" s="541">
        <f t="shared" si="54"/>
        <v>-7543.4780600000122</v>
      </c>
      <c r="AL82" s="541">
        <f t="shared" si="54"/>
        <v>-6882.1108900000127</v>
      </c>
      <c r="AM82" s="541">
        <f t="shared" si="54"/>
        <v>-6303.9779800000124</v>
      </c>
      <c r="AN82" s="541">
        <f t="shared" si="54"/>
        <v>-6303.9779800000124</v>
      </c>
      <c r="AO82" s="541">
        <f t="shared" si="54"/>
        <v>-6303.9779800000124</v>
      </c>
      <c r="AP82" s="541">
        <f t="shared" si="54"/>
        <v>-6303.9779800000124</v>
      </c>
      <c r="AQ82" s="541">
        <f t="shared" si="54"/>
        <v>-6303.9779800000124</v>
      </c>
      <c r="AR82" s="541">
        <f t="shared" si="54"/>
        <v>-6303.9779800000124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55">E82-E83</f>
        <v>-2.1000000560889021E-4</v>
      </c>
      <c r="F84" s="482">
        <f t="shared" si="55"/>
        <v>-1.4600000013160752E-3</v>
      </c>
      <c r="G84" s="482">
        <f t="shared" si="55"/>
        <v>-1.4600000016571357E-3</v>
      </c>
      <c r="H84" s="482">
        <f t="shared" si="55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:AR84" si="56">V82-V83</f>
        <v>1.2219999982335139E-2</v>
      </c>
      <c r="W84" s="482">
        <f t="shared" si="56"/>
        <v>8.6599999849568121E-3</v>
      </c>
      <c r="X84" s="482">
        <f t="shared" si="56"/>
        <v>6.9499999844992999E-3</v>
      </c>
      <c r="Y84" s="482">
        <f t="shared" si="56"/>
        <v>1.0889999983191956E-2</v>
      </c>
      <c r="Z84" s="482">
        <f t="shared" si="56"/>
        <v>7.4599999861675315E-3</v>
      </c>
      <c r="AA84" s="482">
        <f t="shared" si="56"/>
        <v>2.469999988534255E-3</v>
      </c>
      <c r="AB84" s="482">
        <f t="shared" si="56"/>
        <v>3.1499999859079253E-3</v>
      </c>
      <c r="AC84" s="482">
        <f t="shared" si="56"/>
        <v>5.2099999884376302E-3</v>
      </c>
      <c r="AD84" s="482">
        <f t="shared" si="56"/>
        <v>4.339999988587806E-3</v>
      </c>
      <c r="AE84" s="482">
        <f t="shared" si="56"/>
        <v>4.339999988587806E-3</v>
      </c>
      <c r="AF84" s="482">
        <f t="shared" si="56"/>
        <v>4.339999988587806E-3</v>
      </c>
      <c r="AG84" s="482">
        <f t="shared" si="56"/>
        <v>2.6799999886861769E-3</v>
      </c>
      <c r="AH84" s="482">
        <f t="shared" si="56"/>
        <v>5.7799999885901343E-3</v>
      </c>
      <c r="AI84" s="482">
        <f t="shared" si="56"/>
        <v>9.6399999893037602E-3</v>
      </c>
      <c r="AJ84" s="482">
        <f t="shared" si="56"/>
        <v>1.1709999987942865E-2</v>
      </c>
      <c r="AK84" s="482">
        <f t="shared" si="56"/>
        <v>1.1939999987589545E-2</v>
      </c>
      <c r="AL84" s="482">
        <f t="shared" si="56"/>
        <v>9.1099999872312765E-3</v>
      </c>
      <c r="AM84" s="482">
        <f t="shared" si="56"/>
        <v>578.1420199999875</v>
      </c>
      <c r="AN84" s="482">
        <f t="shared" si="56"/>
        <v>578.1420199999875</v>
      </c>
      <c r="AO84" s="482">
        <f t="shared" si="56"/>
        <v>-6303.9779800000124</v>
      </c>
      <c r="AP84" s="482">
        <f t="shared" si="56"/>
        <v>-6303.9779800000124</v>
      </c>
      <c r="AQ84" s="482">
        <f t="shared" si="56"/>
        <v>-6303.9779800000124</v>
      </c>
      <c r="AR84" s="482">
        <f t="shared" si="56"/>
        <v>-6303.9779800000124</v>
      </c>
    </row>
  </sheetData>
  <conditionalFormatting sqref="E29 L65:AS65 K29:AK29 AN29:AS29">
    <cfRule type="cellIs" dxfId="520" priority="25" operator="notEqual">
      <formula>E28</formula>
    </cfRule>
  </conditionalFormatting>
  <conditionalFormatting sqref="F29">
    <cfRule type="cellIs" dxfId="519" priority="24" operator="notEqual">
      <formula>F28</formula>
    </cfRule>
  </conditionalFormatting>
  <conditionalFormatting sqref="G29">
    <cfRule type="cellIs" dxfId="518" priority="23" operator="notEqual">
      <formula>G28</formula>
    </cfRule>
  </conditionalFormatting>
  <conditionalFormatting sqref="H29">
    <cfRule type="cellIs" dxfId="517" priority="22" operator="notEqual">
      <formula>H28</formula>
    </cfRule>
  </conditionalFormatting>
  <conditionalFormatting sqref="G65">
    <cfRule type="cellIs" dxfId="516" priority="19" operator="notEqual">
      <formula>G64</formula>
    </cfRule>
  </conditionalFormatting>
  <conditionalFormatting sqref="H65">
    <cfRule type="cellIs" dxfId="515" priority="18" operator="notEqual">
      <formula>H64</formula>
    </cfRule>
  </conditionalFormatting>
  <conditionalFormatting sqref="E65">
    <cfRule type="cellIs" dxfId="514" priority="21" operator="notEqual">
      <formula>E64</formula>
    </cfRule>
  </conditionalFormatting>
  <conditionalFormatting sqref="F65">
    <cfRule type="cellIs" dxfId="513" priority="20" operator="notEqual">
      <formula>F64</formula>
    </cfRule>
  </conditionalFormatting>
  <conditionalFormatting sqref="AY80 AY47 AY11">
    <cfRule type="cellIs" dxfId="512" priority="17" operator="notEqual">
      <formula>0</formula>
    </cfRule>
  </conditionalFormatting>
  <conditionalFormatting sqref="D65">
    <cfRule type="cellIs" dxfId="511" priority="16" operator="notEqual">
      <formula>D64</formula>
    </cfRule>
  </conditionalFormatting>
  <conditionalFormatting sqref="C65">
    <cfRule type="cellIs" dxfId="510" priority="15" operator="notEqual">
      <formula>C64</formula>
    </cfRule>
  </conditionalFormatting>
  <conditionalFormatting sqref="D29">
    <cfRule type="cellIs" dxfId="509" priority="14" operator="notEqual">
      <formula>D28</formula>
    </cfRule>
  </conditionalFormatting>
  <conditionalFormatting sqref="C29">
    <cfRule type="cellIs" dxfId="508" priority="13" operator="notEqual">
      <formula>C28</formula>
    </cfRule>
  </conditionalFormatting>
  <conditionalFormatting sqref="I29">
    <cfRule type="cellIs" dxfId="507" priority="12" operator="notEqual">
      <formula>I28</formula>
    </cfRule>
  </conditionalFormatting>
  <conditionalFormatting sqref="I65">
    <cfRule type="cellIs" dxfId="506" priority="11" operator="notEqual">
      <formula>I64</formula>
    </cfRule>
  </conditionalFormatting>
  <conditionalFormatting sqref="J29">
    <cfRule type="cellIs" dxfId="505" priority="10" operator="notEqual">
      <formula>J28</formula>
    </cfRule>
  </conditionalFormatting>
  <conditionalFormatting sqref="J65">
    <cfRule type="cellIs" dxfId="504" priority="9" operator="notEqual">
      <formula>J64</formula>
    </cfRule>
  </conditionalFormatting>
  <conditionalFormatting sqref="K65">
    <cfRule type="cellIs" dxfId="503" priority="8" operator="notEqual">
      <formula>K64</formula>
    </cfRule>
  </conditionalFormatting>
  <conditionalFormatting sqref="U29">
    <cfRule type="cellIs" dxfId="502" priority="7" operator="notEqual">
      <formula>U28</formula>
    </cfRule>
  </conditionalFormatting>
  <conditionalFormatting sqref="U65">
    <cfRule type="cellIs" dxfId="501" priority="6" operator="notEqual">
      <formula>U64</formula>
    </cfRule>
  </conditionalFormatting>
  <conditionalFormatting sqref="V29">
    <cfRule type="cellIs" dxfId="500" priority="5" operator="notEqual">
      <formula>V28</formula>
    </cfRule>
  </conditionalFormatting>
  <conditionalFormatting sqref="V65">
    <cfRule type="cellIs" dxfId="499" priority="4" operator="notEqual">
      <formula>V64</formula>
    </cfRule>
  </conditionalFormatting>
  <conditionalFormatting sqref="W65">
    <cfRule type="cellIs" dxfId="498" priority="3" operator="notEqual">
      <formula>W64</formula>
    </cfRule>
  </conditionalFormatting>
  <conditionalFormatting sqref="AL29">
    <cfRule type="cellIs" dxfId="497" priority="2" operator="notEqual">
      <formula>AL28</formula>
    </cfRule>
  </conditionalFormatting>
  <conditionalFormatting sqref="AM29">
    <cfRule type="cellIs" dxfId="496" priority="1" operator="notEqual">
      <formula>AM28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showGridLines="0" topLeftCell="B1" zoomScale="70" zoomScaleNormal="70" zoomScaleSheetLayoutView="85" workbookViewId="0">
      <pane xSplit="1" ySplit="3" topLeftCell="AD58" activePane="bottomRight" state="frozen"/>
      <selection activeCell="B1" sqref="B1"/>
      <selection pane="topRight" activeCell="C1" sqref="C1"/>
      <selection pane="bottomLeft" activeCell="B4" sqref="B4"/>
      <selection pane="bottomRight" activeCell="AK87" sqref="AK87"/>
    </sheetView>
  </sheetViews>
  <sheetFormatPr defaultColWidth="9.109375" defaultRowHeight="15.6" outlineLevelRow="2"/>
  <cols>
    <col min="1" max="1" width="16.6640625" style="482" customWidth="1"/>
    <col min="2" max="2" width="29" style="48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8" width="16.33203125" style="482" customWidth="1"/>
    <col min="39" max="44" width="16.33203125" style="482" hidden="1" customWidth="1"/>
    <col min="45" max="45" width="1.66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B2" s="596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F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 t="shared" si="0"/>
        <v>201511</v>
      </c>
      <c r="AF3" s="484">
        <f t="shared" si="0"/>
        <v>201512</v>
      </c>
      <c r="AG3" s="484">
        <v>201601</v>
      </c>
      <c r="AH3" s="484">
        <f>AG3+1</f>
        <v>201602</v>
      </c>
      <c r="AI3" s="484">
        <f t="shared" ref="AI3:AR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 t="shared" si="1"/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 t="shared" si="1"/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201606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:AK5" si="2">AE13</f>
        <v>-2684344.9824949973</v>
      </c>
      <c r="AG5" s="482">
        <f t="shared" si="2"/>
        <v>-3634681.6735539967</v>
      </c>
      <c r="AH5" s="482">
        <f t="shared" si="2"/>
        <v>-4349728.1832369966</v>
      </c>
      <c r="AI5" s="482">
        <f t="shared" si="2"/>
        <v>-4647235.483478996</v>
      </c>
      <c r="AJ5" s="482">
        <f t="shared" si="2"/>
        <v>-5147221.2688729959</v>
      </c>
      <c r="AK5" s="482">
        <f t="shared" si="2"/>
        <v>-6002096.6110229967</v>
      </c>
      <c r="AL5" s="482">
        <f>AK13</f>
        <v>-6406273.944958997</v>
      </c>
      <c r="AM5" s="482">
        <f>AL13</f>
        <v>-7224717.6167209959</v>
      </c>
      <c r="AN5" s="482">
        <f t="shared" ref="AN5:AR5" si="3">AM13</f>
        <v>-7883900.3474069955</v>
      </c>
      <c r="AO5" s="482">
        <f t="shared" si="3"/>
        <v>-7979481.4255209956</v>
      </c>
      <c r="AP5" s="482">
        <f t="shared" si="3"/>
        <v>-8279679.969798997</v>
      </c>
      <c r="AQ5" s="482">
        <f t="shared" si="3"/>
        <v>-8418811.6904279981</v>
      </c>
      <c r="AR5" s="482">
        <f t="shared" si="3"/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5677.21</v>
      </c>
      <c r="AY6" s="500">
        <v>0</v>
      </c>
    </row>
    <row r="7" spans="1:51" ht="16.2">
      <c r="B7" s="481" t="s">
        <v>255</v>
      </c>
      <c r="C7" s="482">
        <f t="shared" ref="C7:C12" si="4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818443.67176199867</v>
      </c>
    </row>
    <row r="8" spans="1:51" ht="16.2">
      <c r="B8" s="481" t="s">
        <v>258</v>
      </c>
      <c r="C8" s="482">
        <f t="shared" si="4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5">ROUND(((AG5+AG9+AG10+AG11)*(AG4/12))+((SUM(AG6:AG7)/2)*(AG4/12)),2)</f>
        <v>-3325.45</v>
      </c>
      <c r="AH8" s="489">
        <f t="shared" si="5"/>
        <v>-3747.17</v>
      </c>
      <c r="AI8" s="489">
        <f t="shared" si="5"/>
        <v>-4079.32</v>
      </c>
      <c r="AJ8" s="489">
        <f t="shared" si="5"/>
        <v>-4643.6099999999997</v>
      </c>
      <c r="AK8" s="489">
        <f t="shared" si="5"/>
        <v>-5168</v>
      </c>
      <c r="AL8" s="489">
        <f t="shared" si="5"/>
        <v>-5677.21</v>
      </c>
      <c r="AM8" s="489">
        <f>ROUND(((AM5+AM9+AM10+AM11)*(AM4/12))+((SUM(AM6:AM7)/2)*(AM4/12)),2)</f>
        <v>-6292.64</v>
      </c>
      <c r="AN8" s="489">
        <f t="shared" si="5"/>
        <v>-6606.99</v>
      </c>
      <c r="AO8" s="489">
        <f t="shared" si="5"/>
        <v>-6771.83</v>
      </c>
      <c r="AP8" s="489">
        <f t="shared" si="5"/>
        <v>-6954.81</v>
      </c>
      <c r="AQ8" s="489">
        <f t="shared" si="5"/>
        <v>-7281.77</v>
      </c>
      <c r="AR8" s="489">
        <f t="shared" si="5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812766.46176199871</v>
      </c>
      <c r="AY8" s="462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4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f t="shared" si="4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</row>
    <row r="11" spans="1:51" ht="16.2" thickBot="1">
      <c r="B11" s="481" t="s">
        <v>264</v>
      </c>
      <c r="C11" s="482">
        <f t="shared" si="4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4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6">SUM(F5:F12)</f>
        <v>-179650.44284699953</v>
      </c>
      <c r="G13" s="541">
        <f t="shared" si="6"/>
        <v>-770749.33284699952</v>
      </c>
      <c r="H13" s="541">
        <f t="shared" si="6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7">SUM(U5:U12)</f>
        <v>-645308.82581999747</v>
      </c>
      <c r="V13" s="541">
        <f t="shared" si="7"/>
        <v>-754837.52375499834</v>
      </c>
      <c r="W13" s="541">
        <f t="shared" si="7"/>
        <v>-287477.8915199968</v>
      </c>
      <c r="X13" s="541">
        <f t="shared" si="7"/>
        <v>-1224292.1730279976</v>
      </c>
      <c r="Y13" s="541">
        <f t="shared" si="7"/>
        <v>-1390232.6525299973</v>
      </c>
      <c r="Z13" s="541">
        <f t="shared" si="7"/>
        <v>-1678662.999059998</v>
      </c>
      <c r="AA13" s="541">
        <f t="shared" si="7"/>
        <v>-2022423.1820719973</v>
      </c>
      <c r="AB13" s="541">
        <f t="shared" si="7"/>
        <v>-2418884.2503219969</v>
      </c>
      <c r="AC13" s="541">
        <f t="shared" si="7"/>
        <v>-3067053.2533299979</v>
      </c>
      <c r="AD13" s="541">
        <f t="shared" si="7"/>
        <v>-3722405.068684998</v>
      </c>
      <c r="AE13" s="541">
        <f t="shared" si="7"/>
        <v>-2684344.9824949973</v>
      </c>
      <c r="AF13" s="541">
        <f t="shared" si="7"/>
        <v>-3634681.6735539967</v>
      </c>
      <c r="AG13" s="541">
        <f t="shared" si="7"/>
        <v>-4349728.1832369966</v>
      </c>
      <c r="AH13" s="541">
        <f t="shared" si="7"/>
        <v>-4647235.483478996</v>
      </c>
      <c r="AI13" s="541">
        <f t="shared" si="7"/>
        <v>-5147221.2688729959</v>
      </c>
      <c r="AJ13" s="541">
        <f t="shared" si="7"/>
        <v>-6002096.6110229967</v>
      </c>
      <c r="AK13" s="541">
        <f>SUM(AK5:AK12)</f>
        <v>-6406273.944958997</v>
      </c>
      <c r="AL13" s="541">
        <f t="shared" si="7"/>
        <v>-7224717.6167209959</v>
      </c>
      <c r="AM13" s="541">
        <f t="shared" si="7"/>
        <v>-7883900.3474069955</v>
      </c>
      <c r="AN13" s="541">
        <f t="shared" si="7"/>
        <v>-7979481.4255209956</v>
      </c>
      <c r="AO13" s="541">
        <f t="shared" si="7"/>
        <v>-8279679.969798997</v>
      </c>
      <c r="AP13" s="541">
        <f t="shared" si="7"/>
        <v>-8418811.6904279981</v>
      </c>
      <c r="AQ13" s="541">
        <f t="shared" si="7"/>
        <v>-9064727.144237997</v>
      </c>
      <c r="AR13" s="541">
        <f t="shared" si="7"/>
        <v>-10020380.825296996</v>
      </c>
    </row>
    <row r="14" spans="1:51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51">
      <c r="B15" s="481" t="s">
        <v>245</v>
      </c>
      <c r="E15" s="482">
        <f t="shared" ref="E15:H15" si="8">E13-E14</f>
        <v>-1.5300058177672327E-2</v>
      </c>
      <c r="F15" s="482">
        <f t="shared" si="8"/>
        <v>-2.2846999519970268E-2</v>
      </c>
      <c r="G15" s="482">
        <f t="shared" si="8"/>
        <v>-2.2846999461762607E-2</v>
      </c>
      <c r="H15" s="482">
        <f t="shared" si="8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9">S13-S14</f>
        <v>8.8100053835660219E-4</v>
      </c>
      <c r="T15" s="482">
        <f t="shared" si="9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R15" si="10">W13-W14</f>
        <v>-1.5199967892840505E-3</v>
      </c>
      <c r="X15" s="482">
        <f t="shared" si="10"/>
        <v>-3.0279976781457663E-3</v>
      </c>
      <c r="Y15" s="482">
        <f t="shared" si="10"/>
        <v>-2.5299973785877228E-3</v>
      </c>
      <c r="Z15" s="482">
        <f t="shared" si="10"/>
        <v>9.4000203534960747E-4</v>
      </c>
      <c r="AA15" s="482">
        <f t="shared" si="10"/>
        <v>-2.0719973836094141E-3</v>
      </c>
      <c r="AB15" s="482">
        <f t="shared" si="10"/>
        <v>-3.2199686393141747E-4</v>
      </c>
      <c r="AC15" s="482">
        <f t="shared" si="10"/>
        <v>-3.3299978822469711E-3</v>
      </c>
      <c r="AD15" s="482">
        <f t="shared" si="10"/>
        <v>1.3150018639862537E-3</v>
      </c>
      <c r="AE15" s="482">
        <f t="shared" si="10"/>
        <v>-2.4949973449110985E-3</v>
      </c>
      <c r="AF15" s="482">
        <f t="shared" si="10"/>
        <v>-3.5539967939257622E-3</v>
      </c>
      <c r="AG15" s="482">
        <f t="shared" si="10"/>
        <v>-3.2369969412684441E-3</v>
      </c>
      <c r="AH15" s="482">
        <f t="shared" si="10"/>
        <v>-3.4789955243468285E-3</v>
      </c>
      <c r="AI15" s="482">
        <f t="shared" si="10"/>
        <v>1.1270036920905113E-3</v>
      </c>
      <c r="AJ15" s="482">
        <f t="shared" si="10"/>
        <v>-1.0229963809251785E-3</v>
      </c>
      <c r="AK15" s="482">
        <f t="shared" si="10"/>
        <v>-4.9589965492486954E-3</v>
      </c>
      <c r="AL15" s="482">
        <f t="shared" si="10"/>
        <v>-6.7209955304861069E-3</v>
      </c>
      <c r="AM15" s="482">
        <f>AM13-AM14</f>
        <v>-659182.73740699515</v>
      </c>
      <c r="AN15" s="482">
        <f t="shared" si="10"/>
        <v>-754763.8155209953</v>
      </c>
      <c r="AO15" s="482">
        <f t="shared" si="10"/>
        <v>-8279679.969798997</v>
      </c>
      <c r="AP15" s="482">
        <f t="shared" si="10"/>
        <v>-8418811.6904279981</v>
      </c>
      <c r="AQ15" s="482">
        <f t="shared" si="10"/>
        <v>-9064727.144237997</v>
      </c>
      <c r="AR15" s="482">
        <f t="shared" si="10"/>
        <v>-10020380.825296996</v>
      </c>
    </row>
    <row r="16" spans="1:51">
      <c r="B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F18" si="11">U18+1</f>
        <v>201502</v>
      </c>
      <c r="W18" s="484">
        <f t="shared" si="11"/>
        <v>201503</v>
      </c>
      <c r="X18" s="484">
        <f t="shared" si="11"/>
        <v>201504</v>
      </c>
      <c r="Y18" s="484">
        <f t="shared" si="11"/>
        <v>201505</v>
      </c>
      <c r="Z18" s="484">
        <f t="shared" si="11"/>
        <v>201506</v>
      </c>
      <c r="AA18" s="484">
        <f t="shared" si="11"/>
        <v>201507</v>
      </c>
      <c r="AB18" s="484">
        <f t="shared" si="11"/>
        <v>201508</v>
      </c>
      <c r="AC18" s="484">
        <f t="shared" si="11"/>
        <v>201509</v>
      </c>
      <c r="AD18" s="484">
        <f t="shared" si="11"/>
        <v>201510</v>
      </c>
      <c r="AE18" s="484">
        <f t="shared" si="11"/>
        <v>201511</v>
      </c>
      <c r="AF18" s="484">
        <f t="shared" si="11"/>
        <v>201512</v>
      </c>
      <c r="AG18" s="484">
        <v>201601</v>
      </c>
      <c r="AH18" s="484">
        <f>AG18+1</f>
        <v>201602</v>
      </c>
      <c r="AI18" s="484">
        <f t="shared" ref="AI18:AS18" si="12">AH18+1</f>
        <v>201603</v>
      </c>
      <c r="AJ18" s="484">
        <f t="shared" si="12"/>
        <v>201604</v>
      </c>
      <c r="AK18" s="484">
        <f t="shared" si="12"/>
        <v>201605</v>
      </c>
      <c r="AL18" s="484">
        <f t="shared" si="12"/>
        <v>201606</v>
      </c>
      <c r="AM18" s="484">
        <f t="shared" si="12"/>
        <v>201607</v>
      </c>
      <c r="AN18" s="484">
        <f t="shared" si="12"/>
        <v>201608</v>
      </c>
      <c r="AO18" s="484">
        <f t="shared" si="12"/>
        <v>201609</v>
      </c>
      <c r="AP18" s="484">
        <f t="shared" si="12"/>
        <v>201610</v>
      </c>
      <c r="AQ18" s="484">
        <f t="shared" si="12"/>
        <v>201611</v>
      </c>
      <c r="AR18" s="484">
        <f t="shared" si="12"/>
        <v>201612</v>
      </c>
      <c r="AS18" s="484">
        <f t="shared" si="12"/>
        <v>201613</v>
      </c>
      <c r="AU18" s="558"/>
    </row>
    <row r="19" spans="1:51">
      <c r="A19" s="483"/>
      <c r="B19" s="481" t="s">
        <v>37</v>
      </c>
      <c r="C19" s="491">
        <f>SUM(AG19:AR19)</f>
        <v>27077920</v>
      </c>
      <c r="D19" s="491">
        <f>SUM(AE19:AP19)</f>
        <v>43544980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>
        <f>Mar!$K36</f>
        <v>5909720</v>
      </c>
      <c r="AJ19" s="491">
        <f>Apr!$K36</f>
        <v>2663108</v>
      </c>
      <c r="AK19" s="491">
        <f>May!$K36</f>
        <v>1813665</v>
      </c>
      <c r="AL19" s="491">
        <f>Jun!K36</f>
        <v>1388507</v>
      </c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f t="shared" ref="C20:C24" si="13">SUM(AG20:AR20)</f>
        <v>10777258</v>
      </c>
      <c r="D20" s="491">
        <f t="shared" ref="D20:D24" si="14">SUM(AE20:AP20)</f>
        <v>15858049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>
        <f>Mar!$K37</f>
        <v>2149496</v>
      </c>
      <c r="AJ20" s="491">
        <f>Apr!$K37</f>
        <v>1257156</v>
      </c>
      <c r="AK20" s="491">
        <f>May!$K37</f>
        <v>1182789</v>
      </c>
      <c r="AL20" s="491">
        <f>Jun!K37</f>
        <v>1004638</v>
      </c>
      <c r="AM20" s="491"/>
      <c r="AN20" s="491"/>
      <c r="AO20" s="491"/>
      <c r="AP20" s="491"/>
      <c r="AQ20" s="491"/>
      <c r="AR20" s="491"/>
      <c r="AS20" s="491"/>
    </row>
    <row r="21" spans="1:51" hidden="1" outlineLevel="1">
      <c r="A21" s="483"/>
      <c r="B21" s="595" t="s">
        <v>39</v>
      </c>
      <c r="C21" s="491">
        <f t="shared" si="13"/>
        <v>0</v>
      </c>
      <c r="D21" s="491">
        <f t="shared" si="14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 outlineLevel="1">
      <c r="A22" s="483"/>
      <c r="B22" s="595" t="s">
        <v>40</v>
      </c>
      <c r="C22" s="491">
        <f t="shared" si="13"/>
        <v>0</v>
      </c>
      <c r="D22" s="491">
        <f t="shared" si="14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 outlineLevel="1">
      <c r="A23" s="483"/>
      <c r="B23" s="595" t="s">
        <v>41</v>
      </c>
      <c r="C23" s="491">
        <f t="shared" si="13"/>
        <v>0</v>
      </c>
      <c r="D23" s="491">
        <f t="shared" si="14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 hidden="1" outlineLevel="1">
      <c r="A24" s="483"/>
      <c r="B24" s="595" t="s">
        <v>42</v>
      </c>
      <c r="C24" s="491">
        <f t="shared" si="13"/>
        <v>0</v>
      </c>
      <c r="D24" s="491">
        <f t="shared" si="14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>
        <f>Mar!$K41</f>
        <v>0</v>
      </c>
      <c r="AJ24" s="491">
        <f>Apr!$K41</f>
        <v>0</v>
      </c>
      <c r="AK24" s="491">
        <f>May!$K41</f>
        <v>0</v>
      </c>
      <c r="AL24" s="491">
        <f>Jun!$K41</f>
        <v>0</v>
      </c>
      <c r="AM24" s="491"/>
      <c r="AN24" s="491"/>
      <c r="AO24" s="491"/>
      <c r="AP24" s="491"/>
      <c r="AQ24" s="491"/>
      <c r="AR24" s="491"/>
      <c r="AS24" s="491"/>
    </row>
    <row r="25" spans="1:51" hidden="1" outlineLevel="1">
      <c r="A25" s="483"/>
      <c r="B25" s="595" t="s">
        <v>43</v>
      </c>
      <c r="C25" s="491">
        <f t="shared" ref="C25:C26" si="15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 outlineLevel="1">
      <c r="A26" s="483"/>
      <c r="B26" s="595" t="s">
        <v>74</v>
      </c>
      <c r="C26" s="491">
        <f t="shared" si="15"/>
        <v>0</v>
      </c>
      <c r="D26" s="491">
        <f>SUM(G26:R26)</f>
        <v>0</v>
      </c>
      <c r="E26" s="491"/>
      <c r="F26" s="491"/>
      <c r="G26" s="491"/>
      <c r="H26" s="491"/>
    </row>
    <row r="27" spans="1:51" ht="16.8" collapsed="1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16">SUM(G19:G26)</f>
        <v>9508099</v>
      </c>
      <c r="H27" s="542">
        <f t="shared" si="16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R27" si="17">SUM(U19:U26)</f>
        <v>11809937</v>
      </c>
      <c r="V27" s="542">
        <f t="shared" si="17"/>
        <v>7940694</v>
      </c>
      <c r="W27" s="542">
        <f t="shared" si="17"/>
        <v>7017973</v>
      </c>
      <c r="X27" s="542">
        <f t="shared" si="17"/>
        <v>5254736</v>
      </c>
      <c r="Y27" s="542">
        <f t="shared" si="17"/>
        <v>2699945</v>
      </c>
      <c r="Z27" s="542">
        <f t="shared" si="17"/>
        <v>2074520</v>
      </c>
      <c r="AA27" s="542">
        <f t="shared" si="17"/>
        <v>2156482</v>
      </c>
      <c r="AB27" s="542">
        <f t="shared" si="17"/>
        <v>2252954</v>
      </c>
      <c r="AC27" s="542">
        <f t="shared" si="17"/>
        <v>2632656</v>
      </c>
      <c r="AD27" s="542">
        <f t="shared" si="17"/>
        <v>3869259</v>
      </c>
      <c r="AE27" s="542">
        <f t="shared" si="17"/>
        <v>9627846</v>
      </c>
      <c r="AF27" s="542">
        <f t="shared" si="17"/>
        <v>11920005</v>
      </c>
      <c r="AG27" s="542">
        <f t="shared" si="17"/>
        <v>11685014</v>
      </c>
      <c r="AH27" s="542">
        <f t="shared" si="17"/>
        <v>8801085</v>
      </c>
      <c r="AI27" s="542">
        <f t="shared" si="17"/>
        <v>8059216</v>
      </c>
      <c r="AJ27" s="542">
        <f t="shared" si="17"/>
        <v>3920264</v>
      </c>
      <c r="AK27" s="542">
        <f t="shared" si="17"/>
        <v>2996454</v>
      </c>
      <c r="AL27" s="542">
        <f t="shared" si="17"/>
        <v>2393145</v>
      </c>
      <c r="AM27" s="542">
        <f t="shared" si="17"/>
        <v>0</v>
      </c>
      <c r="AN27" s="542">
        <f t="shared" si="17"/>
        <v>0</v>
      </c>
      <c r="AO27" s="542">
        <f t="shared" si="17"/>
        <v>0</v>
      </c>
      <c r="AP27" s="542">
        <f t="shared" si="17"/>
        <v>0</v>
      </c>
      <c r="AQ27" s="542">
        <f t="shared" si="17"/>
        <v>0</v>
      </c>
      <c r="AR27" s="542">
        <f t="shared" si="17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73">
        <v>3920264</v>
      </c>
      <c r="AK28" s="573">
        <v>2996454</v>
      </c>
      <c r="AL28" s="573">
        <v>2393145</v>
      </c>
      <c r="AM28" s="573">
        <v>2156482</v>
      </c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:AF30" si="18">U30+1</f>
        <v>201502</v>
      </c>
      <c r="W30" s="484">
        <f t="shared" si="18"/>
        <v>201503</v>
      </c>
      <c r="X30" s="484">
        <f t="shared" si="18"/>
        <v>201504</v>
      </c>
      <c r="Y30" s="484">
        <f t="shared" si="18"/>
        <v>201505</v>
      </c>
      <c r="Z30" s="484">
        <f t="shared" si="18"/>
        <v>201506</v>
      </c>
      <c r="AA30" s="484">
        <f t="shared" si="18"/>
        <v>201507</v>
      </c>
      <c r="AB30" s="484">
        <f t="shared" si="18"/>
        <v>201508</v>
      </c>
      <c r="AC30" s="484">
        <f t="shared" si="18"/>
        <v>201509</v>
      </c>
      <c r="AD30" s="484">
        <f t="shared" si="18"/>
        <v>201510</v>
      </c>
      <c r="AE30" s="484">
        <f t="shared" si="18"/>
        <v>201511</v>
      </c>
      <c r="AF30" s="484">
        <f t="shared" si="18"/>
        <v>201512</v>
      </c>
      <c r="AG30" s="484">
        <v>201601</v>
      </c>
      <c r="AH30" s="484">
        <f>AG30+1</f>
        <v>201602</v>
      </c>
      <c r="AI30" s="484">
        <f t="shared" ref="AI30:AR30" si="19">AH30+1</f>
        <v>201603</v>
      </c>
      <c r="AJ30" s="484">
        <f t="shared" si="19"/>
        <v>201604</v>
      </c>
      <c r="AK30" s="484">
        <f t="shared" si="19"/>
        <v>201605</v>
      </c>
      <c r="AL30" s="484">
        <f t="shared" si="19"/>
        <v>201606</v>
      </c>
      <c r="AM30" s="484">
        <f t="shared" si="19"/>
        <v>201607</v>
      </c>
      <c r="AN30" s="484">
        <f t="shared" si="19"/>
        <v>201608</v>
      </c>
      <c r="AO30" s="484">
        <f t="shared" si="19"/>
        <v>201609</v>
      </c>
      <c r="AP30" s="484">
        <f t="shared" si="19"/>
        <v>201610</v>
      </c>
      <c r="AQ30" s="484">
        <f t="shared" si="19"/>
        <v>201611</v>
      </c>
      <c r="AR30" s="484">
        <f t="shared" si="19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 outlineLevel="1">
      <c r="A33" s="483"/>
      <c r="B33" s="595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 outlineLevel="1">
      <c r="A34" s="483"/>
      <c r="B34" s="595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 outlineLevel="1">
      <c r="A35" s="483"/>
      <c r="B35" s="595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 collapsed="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 outlineLevel="1">
      <c r="A37" s="483"/>
      <c r="B37" s="595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 outlineLevel="1">
      <c r="A38" s="483"/>
      <c r="B38" s="595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 collapsed="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:AF40" si="20">U40+1</f>
        <v>201502</v>
      </c>
      <c r="W40" s="484">
        <f t="shared" si="20"/>
        <v>201503</v>
      </c>
      <c r="X40" s="484">
        <f t="shared" si="20"/>
        <v>201504</v>
      </c>
      <c r="Y40" s="484">
        <f t="shared" si="20"/>
        <v>201505</v>
      </c>
      <c r="Z40" s="484">
        <f t="shared" si="20"/>
        <v>201506</v>
      </c>
      <c r="AA40" s="484">
        <f t="shared" si="20"/>
        <v>201507</v>
      </c>
      <c r="AB40" s="484">
        <f t="shared" si="20"/>
        <v>201508</v>
      </c>
      <c r="AC40" s="484">
        <f t="shared" si="20"/>
        <v>201509</v>
      </c>
      <c r="AD40" s="484">
        <f t="shared" si="20"/>
        <v>201510</v>
      </c>
      <c r="AE40" s="484">
        <f t="shared" si="20"/>
        <v>201511</v>
      </c>
      <c r="AF40" s="484">
        <f t="shared" si="20"/>
        <v>201512</v>
      </c>
      <c r="AG40" s="484">
        <v>201601</v>
      </c>
      <c r="AH40" s="484">
        <f>AG40+1</f>
        <v>201602</v>
      </c>
      <c r="AI40" s="484">
        <f t="shared" ref="AI40:AR40" si="21">AH40+1</f>
        <v>201603</v>
      </c>
      <c r="AJ40" s="484">
        <f t="shared" si="21"/>
        <v>201604</v>
      </c>
      <c r="AK40" s="484">
        <f t="shared" si="21"/>
        <v>201605</v>
      </c>
      <c r="AL40" s="484">
        <f t="shared" si="21"/>
        <v>201606</v>
      </c>
      <c r="AM40" s="484">
        <f t="shared" si="21"/>
        <v>201607</v>
      </c>
      <c r="AN40" s="484">
        <f t="shared" si="21"/>
        <v>201608</v>
      </c>
      <c r="AO40" s="484">
        <f t="shared" si="21"/>
        <v>201609</v>
      </c>
      <c r="AP40" s="484">
        <f t="shared" si="21"/>
        <v>201610</v>
      </c>
      <c r="AQ40" s="484">
        <f t="shared" si="21"/>
        <v>201611</v>
      </c>
      <c r="AR40" s="484">
        <f t="shared" si="21"/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f>AT4</f>
        <v>201606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:Y42" si="22">V47</f>
        <v>-1139196.8415066958</v>
      </c>
      <c r="X42" s="482">
        <f t="shared" si="22"/>
        <v>-927936.74257669575</v>
      </c>
      <c r="Y42" s="482">
        <f t="shared" si="22"/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:AE42" si="23">AB47</f>
        <v>-496357.29729955469</v>
      </c>
      <c r="AD42" s="482">
        <f t="shared" si="23"/>
        <v>-416678.50147523766</v>
      </c>
      <c r="AE42" s="482">
        <f t="shared" si="23"/>
        <v>-299312.54063388787</v>
      </c>
      <c r="AF42" s="482">
        <f>AE47</f>
        <v>-1658528.5495927494</v>
      </c>
      <c r="AG42" s="482">
        <f t="shared" ref="AG42:AR42" si="24">AF47</f>
        <v>-1317584.0800507434</v>
      </c>
      <c r="AH42" s="482">
        <f t="shared" si="24"/>
        <v>-983065.53286414407</v>
      </c>
      <c r="AI42" s="482">
        <f t="shared" si="24"/>
        <v>-731100.32081221836</v>
      </c>
      <c r="AJ42" s="482">
        <f t="shared" si="24"/>
        <v>-500233.0713481619</v>
      </c>
      <c r="AK42" s="482">
        <f t="shared" si="24"/>
        <v>-388052.25664285204</v>
      </c>
      <c r="AL42" s="482">
        <f t="shared" si="24"/>
        <v>-302311.59410241275</v>
      </c>
      <c r="AM42" s="482">
        <f t="shared" si="24"/>
        <v>-233827.69948376893</v>
      </c>
      <c r="AN42" s="482">
        <f t="shared" si="24"/>
        <v>-234022.55590000539</v>
      </c>
      <c r="AO42" s="482">
        <f t="shared" si="24"/>
        <v>-234217.57469658874</v>
      </c>
      <c r="AP42" s="482">
        <f t="shared" si="24"/>
        <v>-234412.75600883589</v>
      </c>
      <c r="AQ42" s="482">
        <f t="shared" si="24"/>
        <v>-234608.0999721766</v>
      </c>
      <c r="AR42" s="482">
        <f t="shared" si="24"/>
        <v>-234803.6067221534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</row>
    <row r="43" spans="1:51" ht="16.2">
      <c r="B43" s="481" t="s">
        <v>23</v>
      </c>
      <c r="C43" s="482">
        <f>SUM(AG43:AR43)</f>
        <v>1086822.16038</v>
      </c>
      <c r="D43" s="491">
        <f>SUM(AE43:AP43)</f>
        <v>1705706.16038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25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26">SUMPRODUCT(V19:V26,V31:V38)</f>
        <v>241476.50453999999</v>
      </c>
      <c r="W43" s="482">
        <f t="shared" si="26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27">SUMPRODUCT(AC19:AC26,AC31:AC38)</f>
        <v>80059.068960000004</v>
      </c>
      <c r="AD43" s="482">
        <f t="shared" si="27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28">SUMPRODUCT(AH19:AH24,AH31:AH36)</f>
        <v>252679.15035000001</v>
      </c>
      <c r="AI43" s="563">
        <f t="shared" si="28"/>
        <v>231380.09135999999</v>
      </c>
      <c r="AJ43" s="563">
        <f t="shared" si="28"/>
        <v>112550.77944</v>
      </c>
      <c r="AK43" s="563">
        <f t="shared" si="28"/>
        <v>86028.194340000002</v>
      </c>
      <c r="AL43" s="563">
        <f t="shared" si="28"/>
        <v>68707.192949999997</v>
      </c>
      <c r="AM43" s="563">
        <f t="shared" si="28"/>
        <v>0</v>
      </c>
      <c r="AN43" s="563">
        <f t="shared" si="28"/>
        <v>0</v>
      </c>
      <c r="AO43" s="563">
        <f t="shared" si="28"/>
        <v>0</v>
      </c>
      <c r="AP43" s="563">
        <f t="shared" si="28"/>
        <v>0</v>
      </c>
      <c r="AQ43" s="563">
        <f t="shared" si="28"/>
        <v>0</v>
      </c>
      <c r="AR43" s="563">
        <f t="shared" si="28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223.2983313561773</v>
      </c>
      <c r="AY43" s="500">
        <v>0</v>
      </c>
    </row>
    <row r="44" spans="1:51" ht="16.2">
      <c r="B44" s="481" t="s">
        <v>4</v>
      </c>
      <c r="C44" s="482">
        <f t="shared" ref="C44:C46" si="29">SUM(AG44:AR44)</f>
        <v>-4237.3567236783847</v>
      </c>
      <c r="D44" s="491">
        <f>SUM(AE44:AP44)</f>
        <v>-6600.2897182886409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30">((AC42*(AC41/12))+((AC43/2)*(AC41/12)))</f>
        <v>-380.27313568296228</v>
      </c>
      <c r="AD44" s="489">
        <f t="shared" si="30"/>
        <v>-298.20534865019806</v>
      </c>
      <c r="AE44" s="489">
        <f>((AE42+AE45)*(AE41/12))+(((AE43+AE46)/2)*(AE41/12))</f>
        <v>-1514.5789588615733</v>
      </c>
      <c r="AF44" s="489">
        <f t="shared" ref="AF44:AR44" si="31">((AF42*(AF41/12))+((AF43/2)*(AF41/12)))</f>
        <v>-1239.530457993958</v>
      </c>
      <c r="AG44" s="489">
        <f t="shared" si="31"/>
        <v>-958.20475340061967</v>
      </c>
      <c r="AH44" s="489">
        <f t="shared" si="31"/>
        <v>-713.93829807428676</v>
      </c>
      <c r="AI44" s="489">
        <f t="shared" si="31"/>
        <v>-512.8418959435154</v>
      </c>
      <c r="AJ44" s="489">
        <f t="shared" si="31"/>
        <v>-369.96473469013495</v>
      </c>
      <c r="AK44" s="489">
        <f t="shared" si="31"/>
        <v>-287.53179956071006</v>
      </c>
      <c r="AL44" s="489">
        <f t="shared" si="31"/>
        <v>-223.2983313561773</v>
      </c>
      <c r="AM44" s="489">
        <f t="shared" si="31"/>
        <v>-194.85641623647413</v>
      </c>
      <c r="AN44" s="489">
        <f t="shared" si="31"/>
        <v>-195.01879658333783</v>
      </c>
      <c r="AO44" s="489">
        <f t="shared" si="31"/>
        <v>-195.18131224715728</v>
      </c>
      <c r="AP44" s="489">
        <f t="shared" si="31"/>
        <v>-195.34396334069658</v>
      </c>
      <c r="AQ44" s="489">
        <f t="shared" si="31"/>
        <v>-195.50674997681384</v>
      </c>
      <c r="AR44" s="489">
        <f t="shared" si="31"/>
        <v>-195.66967226846117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68483.894618643826</v>
      </c>
      <c r="AY44" s="500">
        <f>IF((SUMIF(U40:AR40,AT41,U43:AR43)+SUMIF(U40:AR40,AT41,U44:AR44))&lt;0,-(SUMIF(U40:AR40,AT41,U43:AR43)+SUMIF(U40:AR40,AT41,U44:AR44)),0)</f>
        <v>0</v>
      </c>
    </row>
    <row r="45" spans="1:51" ht="16.2">
      <c r="B45" s="481" t="s">
        <v>259</v>
      </c>
      <c r="C45" s="482">
        <f t="shared" si="29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68707.192949999997</v>
      </c>
    </row>
    <row r="46" spans="1:51" ht="16.2">
      <c r="B46" s="481" t="s">
        <v>148</v>
      </c>
      <c r="C46" s="482">
        <f t="shared" si="29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32">AU44</f>
        <v>191000</v>
      </c>
      <c r="AV46" s="528" t="str">
        <f t="shared" si="32"/>
        <v>GD</v>
      </c>
      <c r="AW46" s="528" t="str">
        <f t="shared" si="32"/>
        <v>ID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33">SUM(F42:F46)</f>
        <v>122203.74560073584</v>
      </c>
      <c r="G47" s="541">
        <f t="shared" si="33"/>
        <v>121907.05607206978</v>
      </c>
      <c r="H47" s="541">
        <f t="shared" si="33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34">SUM(V42:V46)</f>
        <v>-1139196.8415066958</v>
      </c>
      <c r="W47" s="541">
        <f t="shared" si="34"/>
        <v>-927936.74257669575</v>
      </c>
      <c r="X47" s="541">
        <f t="shared" si="34"/>
        <v>-767403.9580847763</v>
      </c>
      <c r="Y47" s="541">
        <f t="shared" si="34"/>
        <v>-685903.92338007619</v>
      </c>
      <c r="Z47" s="541">
        <f t="shared" si="34"/>
        <v>-623363.07088572613</v>
      </c>
      <c r="AA47" s="541">
        <f t="shared" si="34"/>
        <v>-564427.81872858922</v>
      </c>
      <c r="AB47" s="541">
        <f t="shared" si="34"/>
        <v>-496357.29729955469</v>
      </c>
      <c r="AC47" s="541">
        <f t="shared" si="34"/>
        <v>-416678.50147523766</v>
      </c>
      <c r="AD47" s="541">
        <f t="shared" si="34"/>
        <v>-299312.54063388787</v>
      </c>
      <c r="AE47" s="541">
        <f t="shared" si="34"/>
        <v>-1658528.5495927494</v>
      </c>
      <c r="AF47" s="541">
        <f t="shared" si="34"/>
        <v>-1317584.0800507434</v>
      </c>
      <c r="AG47" s="541">
        <f t="shared" si="34"/>
        <v>-983065.53286414407</v>
      </c>
      <c r="AH47" s="541">
        <f t="shared" si="34"/>
        <v>-731100.32081221836</v>
      </c>
      <c r="AI47" s="541">
        <f t="shared" si="34"/>
        <v>-500233.0713481619</v>
      </c>
      <c r="AJ47" s="541">
        <f t="shared" si="34"/>
        <v>-388052.25664285204</v>
      </c>
      <c r="AK47" s="541">
        <f t="shared" si="34"/>
        <v>-302311.59410241275</v>
      </c>
      <c r="AL47" s="541">
        <f t="shared" si="34"/>
        <v>-233827.69948376893</v>
      </c>
      <c r="AM47" s="541">
        <f t="shared" si="34"/>
        <v>-234022.55590000539</v>
      </c>
      <c r="AN47" s="541">
        <f t="shared" si="34"/>
        <v>-234217.57469658874</v>
      </c>
      <c r="AO47" s="541">
        <f t="shared" si="34"/>
        <v>-234412.75600883589</v>
      </c>
      <c r="AP47" s="541">
        <f t="shared" si="34"/>
        <v>-234608.0999721766</v>
      </c>
      <c r="AQ47" s="541">
        <f t="shared" si="34"/>
        <v>-234803.6067221534</v>
      </c>
      <c r="AR47" s="541">
        <f t="shared" si="34"/>
        <v>-234999.27639442188</v>
      </c>
      <c r="AT47" s="501" t="str">
        <f>AT46</f>
        <v>Large Customer Refund</v>
      </c>
      <c r="AU47" s="529">
        <f t="shared" si="32"/>
        <v>805110</v>
      </c>
      <c r="AV47" s="529" t="str">
        <f t="shared" si="32"/>
        <v>GD</v>
      </c>
      <c r="AW47" s="529" t="str">
        <f t="shared" si="32"/>
        <v>ID</v>
      </c>
      <c r="AX47" s="503">
        <v>0</v>
      </c>
      <c r="AY47" s="521">
        <f>AX46</f>
        <v>0</v>
      </c>
    </row>
    <row r="48" spans="1:51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35">E47-E48</f>
        <v>2.2137390881653118E-2</v>
      </c>
      <c r="F49" s="482">
        <f t="shared" si="35"/>
        <v>90.56560073584842</v>
      </c>
      <c r="G49" s="482">
        <f t="shared" si="35"/>
        <v>90.646072069779621</v>
      </c>
      <c r="H49" s="482">
        <f t="shared" si="35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AS49" si="36">V47-V48</f>
        <v>-1.506695756688714E-3</v>
      </c>
      <c r="W49" s="482">
        <f t="shared" si="36"/>
        <v>-2.5766957551240921E-3</v>
      </c>
      <c r="X49" s="482">
        <f t="shared" si="36"/>
        <v>1.9152236636728048E-3</v>
      </c>
      <c r="Y49" s="482">
        <f t="shared" si="36"/>
        <v>-3.3800761448219419E-3</v>
      </c>
      <c r="Z49" s="482">
        <f t="shared" si="36"/>
        <v>-8.8572618551552296E-4</v>
      </c>
      <c r="AA49" s="482">
        <f t="shared" si="36"/>
        <v>1.2714107288047671E-3</v>
      </c>
      <c r="AB49" s="482">
        <f t="shared" si="36"/>
        <v>2.7004453004337847E-3</v>
      </c>
      <c r="AC49" s="482">
        <f t="shared" si="36"/>
        <v>-1.4752376591786742E-3</v>
      </c>
      <c r="AD49" s="482">
        <f t="shared" si="36"/>
        <v>-6.3388788839802146E-4</v>
      </c>
      <c r="AE49" s="482">
        <f t="shared" si="36"/>
        <v>4.0725059807300568E-4</v>
      </c>
      <c r="AF49" s="482">
        <f t="shared" si="36"/>
        <v>-5.0743343308568001E-5</v>
      </c>
      <c r="AG49" s="482">
        <f t="shared" si="36"/>
        <v>-2.8641440439969301E-3</v>
      </c>
      <c r="AH49" s="482">
        <f t="shared" si="36"/>
        <v>-8.1221840810030699E-4</v>
      </c>
      <c r="AI49" s="482">
        <f t="shared" si="36"/>
        <v>-1.3481618952937424E-3</v>
      </c>
      <c r="AJ49" s="482">
        <f t="shared" si="36"/>
        <v>-6.6428520367480814E-3</v>
      </c>
      <c r="AK49" s="482">
        <f t="shared" si="36"/>
        <v>-4.1024127276614308E-3</v>
      </c>
      <c r="AL49" s="482">
        <f t="shared" si="36"/>
        <v>5.1623108447529376E-4</v>
      </c>
      <c r="AM49" s="482">
        <f t="shared" si="36"/>
        <v>-194.85590000537923</v>
      </c>
      <c r="AN49" s="482">
        <f t="shared" si="36"/>
        <v>-389.87469658872578</v>
      </c>
      <c r="AO49" s="482">
        <f t="shared" si="36"/>
        <v>-234412.75600883589</v>
      </c>
      <c r="AP49" s="482">
        <f t="shared" si="36"/>
        <v>-234608.0999721766</v>
      </c>
      <c r="AQ49" s="482">
        <f t="shared" si="36"/>
        <v>-234803.6067221534</v>
      </c>
      <c r="AR49" s="482">
        <f t="shared" si="36"/>
        <v>-234999.27639442188</v>
      </c>
      <c r="AS49" s="482">
        <f t="shared" si="36"/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:AF51" si="37">U51+1</f>
        <v>201502</v>
      </c>
      <c r="W51" s="484">
        <f t="shared" si="37"/>
        <v>201503</v>
      </c>
      <c r="X51" s="484">
        <f t="shared" si="37"/>
        <v>201504</v>
      </c>
      <c r="Y51" s="484">
        <f t="shared" si="37"/>
        <v>201505</v>
      </c>
      <c r="Z51" s="484">
        <f t="shared" si="37"/>
        <v>201506</v>
      </c>
      <c r="AA51" s="484">
        <f t="shared" si="37"/>
        <v>201507</v>
      </c>
      <c r="AB51" s="484">
        <f t="shared" si="37"/>
        <v>201508</v>
      </c>
      <c r="AC51" s="484">
        <f t="shared" si="37"/>
        <v>201509</v>
      </c>
      <c r="AD51" s="484">
        <f t="shared" si="37"/>
        <v>201510</v>
      </c>
      <c r="AE51" s="484">
        <f t="shared" si="37"/>
        <v>201511</v>
      </c>
      <c r="AF51" s="484">
        <f t="shared" si="37"/>
        <v>201512</v>
      </c>
      <c r="AG51" s="484">
        <v>201601</v>
      </c>
      <c r="AH51" s="484">
        <f>AG51+1</f>
        <v>201602</v>
      </c>
      <c r="AI51" s="484">
        <f t="shared" ref="AI51:AR51" si="38">AH51+1</f>
        <v>201603</v>
      </c>
      <c r="AJ51" s="484">
        <f t="shared" si="38"/>
        <v>201604</v>
      </c>
      <c r="AK51" s="484">
        <f t="shared" si="38"/>
        <v>201605</v>
      </c>
      <c r="AL51" s="484">
        <f t="shared" si="38"/>
        <v>201606</v>
      </c>
      <c r="AM51" s="484">
        <f t="shared" si="38"/>
        <v>201607</v>
      </c>
      <c r="AN51" s="484">
        <f t="shared" si="38"/>
        <v>201608</v>
      </c>
      <c r="AO51" s="484">
        <f t="shared" si="38"/>
        <v>201609</v>
      </c>
      <c r="AP51" s="484">
        <f t="shared" si="38"/>
        <v>201610</v>
      </c>
      <c r="AQ51" s="484">
        <f t="shared" si="38"/>
        <v>201611</v>
      </c>
      <c r="AR51" s="484">
        <f t="shared" si="38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>
        <f>Mar!$K36</f>
        <v>5909720</v>
      </c>
      <c r="AJ52" s="491">
        <f>Apr!$K36</f>
        <v>2663108</v>
      </c>
      <c r="AK52" s="491">
        <f>May!$K36</f>
        <v>1813665</v>
      </c>
      <c r="AL52" s="491">
        <f>Jun!$K36</f>
        <v>1388507</v>
      </c>
      <c r="AM52" s="491"/>
      <c r="AN52" s="491"/>
      <c r="AO52" s="491"/>
      <c r="AP52" s="491"/>
      <c r="AQ52" s="491"/>
      <c r="AR52" s="491"/>
      <c r="AS52" s="491">
        <f>Jan!$K36</f>
        <v>8841051</v>
      </c>
    </row>
    <row r="53" spans="1:45">
      <c r="A53" s="483"/>
      <c r="B53" s="481" t="s">
        <v>38</v>
      </c>
      <c r="C53" s="491">
        <f t="shared" ref="C53:C60" si="39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>
        <f>Mar!$K37</f>
        <v>2149496</v>
      </c>
      <c r="AJ53" s="491">
        <f>Apr!$K37</f>
        <v>1257156</v>
      </c>
      <c r="AK53" s="491">
        <f>May!$K37</f>
        <v>1182789</v>
      </c>
      <c r="AL53" s="491">
        <f>Jun!$K37</f>
        <v>1004638</v>
      </c>
      <c r="AM53" s="491">
        <f>Jul!$K37</f>
        <v>1000390</v>
      </c>
      <c r="AN53" s="491">
        <f>Feb!$K37</f>
        <v>2339216</v>
      </c>
      <c r="AO53" s="491">
        <f>Feb!$K37</f>
        <v>2339216</v>
      </c>
      <c r="AP53" s="491">
        <f>Feb!$K37</f>
        <v>2339216</v>
      </c>
      <c r="AQ53" s="491">
        <f>Feb!$K37</f>
        <v>2339216</v>
      </c>
      <c r="AR53" s="491">
        <f>Feb!$K37</f>
        <v>2339216</v>
      </c>
      <c r="AS53" s="491">
        <f>Jan!$K37</f>
        <v>2843963</v>
      </c>
    </row>
    <row r="54" spans="1:45">
      <c r="A54" s="483"/>
      <c r="B54" s="481" t="s">
        <v>39</v>
      </c>
      <c r="C54" s="491">
        <f t="shared" si="39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>
        <f>Mar!$K38</f>
        <v>232</v>
      </c>
      <c r="AJ54" s="491">
        <f>Apr!$K38</f>
        <v>11807</v>
      </c>
      <c r="AK54" s="491">
        <f>May!$K38</f>
        <v>27568</v>
      </c>
      <c r="AL54" s="491">
        <f>Jun!$K38</f>
        <v>27174</v>
      </c>
      <c r="AM54" s="491"/>
      <c r="AN54" s="491"/>
      <c r="AO54" s="491"/>
      <c r="AP54" s="491"/>
      <c r="AQ54" s="491"/>
      <c r="AR54" s="491"/>
      <c r="AS54" s="491">
        <f>Jan!$K38</f>
        <v>2754</v>
      </c>
    </row>
    <row r="55" spans="1:45">
      <c r="A55" s="483"/>
      <c r="B55" s="481" t="s">
        <v>40</v>
      </c>
      <c r="C55" s="491">
        <f t="shared" si="39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>
        <f>Mar!$K39</f>
        <v>0</v>
      </c>
      <c r="AJ55" s="491">
        <f>Apr!$K39</f>
        <v>0</v>
      </c>
      <c r="AK55" s="491">
        <f>May!$K39</f>
        <v>0</v>
      </c>
      <c r="AL55" s="491">
        <f>Jun!$K39</f>
        <v>0</v>
      </c>
      <c r="AM55" s="491"/>
      <c r="AN55" s="491"/>
      <c r="AO55" s="491"/>
      <c r="AP55" s="491"/>
      <c r="AQ55" s="491"/>
      <c r="AR55" s="491"/>
      <c r="AS55" s="491">
        <f>Jan!$K39</f>
        <v>0</v>
      </c>
    </row>
    <row r="56" spans="1:45" hidden="1" outlineLevel="2">
      <c r="A56" s="483"/>
      <c r="B56" s="595" t="s">
        <v>41</v>
      </c>
      <c r="C56" s="491">
        <f t="shared" si="39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 outlineLevel="2">
      <c r="A57" s="483"/>
      <c r="B57" s="595" t="s">
        <v>42</v>
      </c>
      <c r="C57" s="491">
        <f t="shared" si="39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 collapsed="1">
      <c r="A58" s="483"/>
      <c r="B58" s="481" t="s">
        <v>43</v>
      </c>
      <c r="C58" s="491">
        <f t="shared" si="39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>
        <f>Mar!$K42</f>
        <v>0</v>
      </c>
      <c r="AJ58" s="491">
        <f>Apr!$K42</f>
        <v>0</v>
      </c>
      <c r="AK58" s="491">
        <f>May!$K42</f>
        <v>0</v>
      </c>
      <c r="AL58" s="491">
        <f>Jun!$K42</f>
        <v>0</v>
      </c>
      <c r="AM58" s="491"/>
      <c r="AN58" s="491"/>
      <c r="AO58" s="491"/>
      <c r="AP58" s="491"/>
      <c r="AQ58" s="491"/>
      <c r="AR58" s="491"/>
      <c r="AS58" s="491">
        <f>Jan!$K42</f>
        <v>0</v>
      </c>
    </row>
    <row r="59" spans="1:45" hidden="1" outlineLevel="1">
      <c r="A59" s="483"/>
      <c r="B59" s="595" t="s">
        <v>74</v>
      </c>
      <c r="C59" s="491">
        <f t="shared" ref="C59" si="40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collapsed="1" thickBot="1">
      <c r="A60" s="483"/>
      <c r="B60" s="481" t="s">
        <v>21</v>
      </c>
      <c r="C60" s="542">
        <f t="shared" si="39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41">SUM(G52:G59)</f>
        <v>9560411</v>
      </c>
      <c r="H60" s="542">
        <f t="shared" si="41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S60" si="42">SUM(U52:U59)</f>
        <v>11853389</v>
      </c>
      <c r="V60" s="542">
        <f t="shared" si="42"/>
        <v>7975879</v>
      </c>
      <c r="W60" s="542">
        <f t="shared" si="42"/>
        <v>7051984</v>
      </c>
      <c r="X60" s="542">
        <f t="shared" si="42"/>
        <v>5286030</v>
      </c>
      <c r="Y60" s="542">
        <f t="shared" si="42"/>
        <v>2733897</v>
      </c>
      <c r="Z60" s="542">
        <f t="shared" si="42"/>
        <v>2096440</v>
      </c>
      <c r="AA60" s="542">
        <f t="shared" si="42"/>
        <v>1982316</v>
      </c>
      <c r="AB60" s="542">
        <f t="shared" si="42"/>
        <v>2300576</v>
      </c>
      <c r="AC60" s="542">
        <f t="shared" si="42"/>
        <v>2659390</v>
      </c>
      <c r="AD60" s="542">
        <f t="shared" si="42"/>
        <v>3938193</v>
      </c>
      <c r="AE60" s="542">
        <f t="shared" si="42"/>
        <v>9651342</v>
      </c>
      <c r="AF60" s="542">
        <f t="shared" si="42"/>
        <v>11926102</v>
      </c>
      <c r="AG60" s="542">
        <f t="shared" si="42"/>
        <v>11687768</v>
      </c>
      <c r="AH60" s="542">
        <f t="shared" si="42"/>
        <v>8803437</v>
      </c>
      <c r="AI60" s="542">
        <f t="shared" si="42"/>
        <v>8059448</v>
      </c>
      <c r="AJ60" s="542">
        <f t="shared" si="42"/>
        <v>3932071</v>
      </c>
      <c r="AK60" s="542">
        <f t="shared" si="42"/>
        <v>3024022</v>
      </c>
      <c r="AL60" s="542">
        <f t="shared" si="42"/>
        <v>2420319</v>
      </c>
      <c r="AM60" s="542">
        <f t="shared" si="42"/>
        <v>1000390</v>
      </c>
      <c r="AN60" s="542">
        <f t="shared" si="42"/>
        <v>2339216</v>
      </c>
      <c r="AO60" s="542">
        <f t="shared" si="42"/>
        <v>2339216</v>
      </c>
      <c r="AP60" s="542">
        <f t="shared" si="42"/>
        <v>6277409</v>
      </c>
      <c r="AQ60" s="542">
        <f t="shared" si="42"/>
        <v>2339216</v>
      </c>
      <c r="AR60" s="542">
        <f t="shared" si="42"/>
        <v>2339216</v>
      </c>
      <c r="AS60" s="542">
        <f t="shared" si="42"/>
        <v>11687768</v>
      </c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73">
        <v>3932071</v>
      </c>
      <c r="AK61" s="573">
        <v>3024022</v>
      </c>
      <c r="AL61" s="573">
        <v>2420319</v>
      </c>
      <c r="AM61" s="573">
        <v>2230031</v>
      </c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:AF63" si="43">U63+1</f>
        <v>201502</v>
      </c>
      <c r="W63" s="484">
        <f t="shared" si="43"/>
        <v>201503</v>
      </c>
      <c r="X63" s="484">
        <f t="shared" si="43"/>
        <v>201504</v>
      </c>
      <c r="Y63" s="484">
        <f t="shared" si="43"/>
        <v>201505</v>
      </c>
      <c r="Z63" s="484">
        <f t="shared" si="43"/>
        <v>201506</v>
      </c>
      <c r="AA63" s="484">
        <f t="shared" si="43"/>
        <v>201507</v>
      </c>
      <c r="AB63" s="484">
        <f t="shared" si="43"/>
        <v>201508</v>
      </c>
      <c r="AC63" s="484">
        <f t="shared" si="43"/>
        <v>201509</v>
      </c>
      <c r="AD63" s="484">
        <f t="shared" si="43"/>
        <v>201510</v>
      </c>
      <c r="AE63" s="484">
        <f t="shared" si="43"/>
        <v>201511</v>
      </c>
      <c r="AF63" s="484">
        <f t="shared" si="43"/>
        <v>201512</v>
      </c>
      <c r="AG63" s="484">
        <v>201601</v>
      </c>
      <c r="AH63" s="484">
        <f>AG63+1</f>
        <v>201602</v>
      </c>
      <c r="AI63" s="484">
        <f t="shared" ref="AI63:AR63" si="44">AH63+1</f>
        <v>201603</v>
      </c>
      <c r="AJ63" s="484">
        <f t="shared" si="44"/>
        <v>201604</v>
      </c>
      <c r="AK63" s="484">
        <f t="shared" si="44"/>
        <v>201605</v>
      </c>
      <c r="AL63" s="484">
        <f t="shared" si="44"/>
        <v>201606</v>
      </c>
      <c r="AM63" s="484">
        <f t="shared" si="44"/>
        <v>201607</v>
      </c>
      <c r="AN63" s="484">
        <f t="shared" si="44"/>
        <v>201608</v>
      </c>
      <c r="AO63" s="484">
        <f t="shared" si="44"/>
        <v>201609</v>
      </c>
      <c r="AP63" s="484">
        <f t="shared" si="44"/>
        <v>201610</v>
      </c>
      <c r="AQ63" s="484">
        <f t="shared" si="44"/>
        <v>201611</v>
      </c>
      <c r="AR63" s="484">
        <f t="shared" si="44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 outlineLevel="1">
      <c r="A68" s="483"/>
      <c r="B68" s="595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 outlineLevel="1">
      <c r="A69" s="483"/>
      <c r="B69" s="595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 collapsed="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 outlineLevel="1">
      <c r="A71" s="483"/>
      <c r="B71" s="595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 collapsed="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:AF73" si="45">U73+1</f>
        <v>201502</v>
      </c>
      <c r="W73" s="484">
        <f t="shared" si="45"/>
        <v>201503</v>
      </c>
      <c r="X73" s="484">
        <f t="shared" si="45"/>
        <v>201504</v>
      </c>
      <c r="Y73" s="484">
        <f t="shared" si="45"/>
        <v>201505</v>
      </c>
      <c r="Z73" s="484">
        <f t="shared" si="45"/>
        <v>201506</v>
      </c>
      <c r="AA73" s="484">
        <f t="shared" si="45"/>
        <v>201507</v>
      </c>
      <c r="AB73" s="484">
        <f t="shared" si="45"/>
        <v>201508</v>
      </c>
      <c r="AC73" s="484">
        <f t="shared" si="45"/>
        <v>201509</v>
      </c>
      <c r="AD73" s="484">
        <f t="shared" si="45"/>
        <v>201510</v>
      </c>
      <c r="AE73" s="484">
        <f t="shared" si="45"/>
        <v>201511</v>
      </c>
      <c r="AF73" s="484">
        <f t="shared" si="45"/>
        <v>201512</v>
      </c>
      <c r="AG73" s="484">
        <v>201601</v>
      </c>
      <c r="AH73" s="484">
        <f>AG73+1</f>
        <v>201602</v>
      </c>
      <c r="AI73" s="484">
        <f t="shared" ref="AI73:AR73" si="46">AH73+1</f>
        <v>201603</v>
      </c>
      <c r="AJ73" s="484">
        <f t="shared" si="46"/>
        <v>201604</v>
      </c>
      <c r="AK73" s="484">
        <f t="shared" si="46"/>
        <v>201605</v>
      </c>
      <c r="AL73" s="484">
        <f t="shared" si="46"/>
        <v>201606</v>
      </c>
      <c r="AM73" s="484">
        <f t="shared" si="46"/>
        <v>201607</v>
      </c>
      <c r="AN73" s="484">
        <f t="shared" si="46"/>
        <v>201608</v>
      </c>
      <c r="AO73" s="484">
        <f t="shared" si="46"/>
        <v>201609</v>
      </c>
      <c r="AP73" s="484">
        <f t="shared" si="46"/>
        <v>201610</v>
      </c>
      <c r="AQ73" s="484">
        <f t="shared" si="46"/>
        <v>201611</v>
      </c>
      <c r="AR73" s="484">
        <f t="shared" si="46"/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f>AT4</f>
        <v>201606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47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:AL75" si="48">AA79</f>
        <v>-11951.205399782522</v>
      </c>
      <c r="AC75" s="482">
        <f t="shared" si="48"/>
        <v>-11961.164737615674</v>
      </c>
      <c r="AD75" s="482">
        <f t="shared" si="48"/>
        <v>-11971.132374897021</v>
      </c>
      <c r="AE75" s="482">
        <f t="shared" si="48"/>
        <v>-11981.108318542769</v>
      </c>
      <c r="AF75" s="482">
        <f t="shared" si="48"/>
        <v>-11991.092575474888</v>
      </c>
      <c r="AG75" s="482">
        <f t="shared" si="48"/>
        <v>-12001.085152621117</v>
      </c>
      <c r="AH75" s="482">
        <f t="shared" si="48"/>
        <v>-12011.086056914968</v>
      </c>
      <c r="AI75" s="482">
        <f t="shared" si="48"/>
        <v>-12021.09529529573</v>
      </c>
      <c r="AJ75" s="482">
        <f t="shared" si="48"/>
        <v>-12031.112874708477</v>
      </c>
      <c r="AK75" s="482">
        <f t="shared" si="48"/>
        <v>-12041.138802104068</v>
      </c>
      <c r="AL75" s="482">
        <f t="shared" si="48"/>
        <v>-12051.173084439155</v>
      </c>
      <c r="AM75" s="482">
        <f>AL79</f>
        <v>-12061.215728676189</v>
      </c>
      <c r="AN75" s="482">
        <f t="shared" ref="AN75:AR75" si="49">AM79</f>
        <v>-12071.266741783418</v>
      </c>
      <c r="AO75" s="482">
        <f t="shared" si="49"/>
        <v>-12081.326130734904</v>
      </c>
      <c r="AP75" s="482">
        <f t="shared" si="49"/>
        <v>-12091.393902510516</v>
      </c>
      <c r="AQ75" s="482">
        <f t="shared" si="49"/>
        <v>-12101.470064095942</v>
      </c>
      <c r="AR75" s="482">
        <f t="shared" si="49"/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51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50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10.042644237032629</v>
      </c>
      <c r="AY76" s="500">
        <v>0</v>
      </c>
    </row>
    <row r="77" spans="1:51" ht="16.2">
      <c r="B77" s="481" t="s">
        <v>4</v>
      </c>
      <c r="C77" s="482">
        <f t="shared" ref="C77:C78" si="51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52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52"/>
        <v>-9.9593378331521034</v>
      </c>
      <c r="AC77" s="489">
        <f t="shared" si="52"/>
        <v>-9.9676372813463967</v>
      </c>
      <c r="AD77" s="489">
        <f t="shared" si="52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53">((AG75*(AG74/12))+((AG76/2)*(AG74/12)))</f>
        <v>-10.000904293850931</v>
      </c>
      <c r="AH77" s="489">
        <f t="shared" si="53"/>
        <v>-10.009238380762474</v>
      </c>
      <c r="AI77" s="489">
        <f t="shared" si="53"/>
        <v>-10.017579412746443</v>
      </c>
      <c r="AJ77" s="489">
        <f t="shared" si="53"/>
        <v>-10.025927395590397</v>
      </c>
      <c r="AK77" s="489">
        <f t="shared" si="53"/>
        <v>-10.034282335086724</v>
      </c>
      <c r="AL77" s="489">
        <f t="shared" si="53"/>
        <v>-10.042644237032629</v>
      </c>
      <c r="AM77" s="489">
        <f t="shared" si="53"/>
        <v>-10.051013107230158</v>
      </c>
      <c r="AN77" s="489">
        <f t="shared" si="53"/>
        <v>-10.059388951486183</v>
      </c>
      <c r="AO77" s="489">
        <f t="shared" si="53"/>
        <v>-10.067771775612421</v>
      </c>
      <c r="AP77" s="489">
        <f t="shared" si="53"/>
        <v>-10.07616158542543</v>
      </c>
      <c r="AQ77" s="489">
        <f t="shared" si="53"/>
        <v>-10.084558386746618</v>
      </c>
      <c r="AR77" s="489">
        <f t="shared" si="53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10.042644237032629</v>
      </c>
    </row>
    <row r="78" spans="1:51" ht="16.2">
      <c r="B78" s="481" t="s">
        <v>148</v>
      </c>
      <c r="C78" s="482">
        <f t="shared" si="51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54">SUM(V75:V78)</f>
        <v>-11901.532960675278</v>
      </c>
      <c r="W79" s="541">
        <f t="shared" si="54"/>
        <v>-11911.450904809175</v>
      </c>
      <c r="X79" s="541">
        <f t="shared" si="54"/>
        <v>-11921.377113896517</v>
      </c>
      <c r="Y79" s="541">
        <f t="shared" si="54"/>
        <v>-11931.311594824763</v>
      </c>
      <c r="Z79" s="541">
        <f t="shared" si="54"/>
        <v>-11941.254354487117</v>
      </c>
      <c r="AA79" s="541">
        <f t="shared" si="54"/>
        <v>-11951.205399782522</v>
      </c>
      <c r="AB79" s="541">
        <f t="shared" si="54"/>
        <v>-11961.164737615674</v>
      </c>
      <c r="AC79" s="541">
        <f t="shared" si="54"/>
        <v>-11971.132374897021</v>
      </c>
      <c r="AD79" s="541">
        <f t="shared" si="54"/>
        <v>-11981.108318542769</v>
      </c>
      <c r="AE79" s="541">
        <f t="shared" si="54"/>
        <v>-11991.092575474888</v>
      </c>
      <c r="AF79" s="541">
        <f t="shared" si="54"/>
        <v>-12001.085152621117</v>
      </c>
      <c r="AG79" s="541">
        <f t="shared" si="54"/>
        <v>-12011.086056914968</v>
      </c>
      <c r="AH79" s="541">
        <f t="shared" si="54"/>
        <v>-12021.09529529573</v>
      </c>
      <c r="AI79" s="541">
        <f t="shared" si="54"/>
        <v>-12031.112874708477</v>
      </c>
      <c r="AJ79" s="541">
        <f t="shared" si="54"/>
        <v>-12041.138802104068</v>
      </c>
      <c r="AK79" s="541">
        <f t="shared" si="54"/>
        <v>-12051.173084439155</v>
      </c>
      <c r="AL79" s="541">
        <f t="shared" si="54"/>
        <v>-12061.215728676189</v>
      </c>
      <c r="AM79" s="541">
        <f t="shared" si="54"/>
        <v>-12071.266741783418</v>
      </c>
      <c r="AN79" s="541">
        <f t="shared" si="54"/>
        <v>-12081.326130734904</v>
      </c>
      <c r="AO79" s="541">
        <f t="shared" si="54"/>
        <v>-12091.393902510516</v>
      </c>
      <c r="AP79" s="541">
        <f t="shared" si="54"/>
        <v>-12101.470064095942</v>
      </c>
      <c r="AQ79" s="541">
        <f t="shared" si="54"/>
        <v>-12111.554622482689</v>
      </c>
      <c r="AR79" s="541">
        <f t="shared" si="54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R81" si="55">V79-V80</f>
        <v>1.7039324720826698E-2</v>
      </c>
      <c r="W81" s="482">
        <f t="shared" si="55"/>
        <v>1.9095190824373276E-2</v>
      </c>
      <c r="X81" s="482">
        <f t="shared" si="55"/>
        <v>2.2886103482960607E-2</v>
      </c>
      <c r="Y81" s="482">
        <f t="shared" si="55"/>
        <v>1.8405175236694049E-2</v>
      </c>
      <c r="Z81" s="482">
        <f t="shared" si="55"/>
        <v>1.5645512883565971E-2</v>
      </c>
      <c r="AA81" s="482">
        <f t="shared" si="55"/>
        <v>1.4600217476981925E-2</v>
      </c>
      <c r="AB81" s="482">
        <f t="shared" si="55"/>
        <v>1.5262384325978928E-2</v>
      </c>
      <c r="AC81" s="482">
        <f t="shared" si="55"/>
        <v>1.7625102978854557E-2</v>
      </c>
      <c r="AD81" s="482">
        <f t="shared" si="55"/>
        <v>2.1681457230442902E-2</v>
      </c>
      <c r="AE81" s="482">
        <f t="shared" si="55"/>
        <v>1.7424525112801348E-2</v>
      </c>
      <c r="AF81" s="482">
        <f t="shared" si="55"/>
        <v>1.4847378883132478E-2</v>
      </c>
      <c r="AG81" s="482">
        <f t="shared" si="55"/>
        <v>1.3943085032224189E-2</v>
      </c>
      <c r="AH81" s="482">
        <f t="shared" si="55"/>
        <v>1.4704704270116054E-2</v>
      </c>
      <c r="AI81" s="482">
        <f t="shared" si="55"/>
        <v>1.7125291522461339E-2</v>
      </c>
      <c r="AJ81" s="482">
        <f t="shared" si="55"/>
        <v>2.1197895932346E-2</v>
      </c>
      <c r="AK81" s="482">
        <f t="shared" si="55"/>
        <v>1.6915560845518485E-2</v>
      </c>
      <c r="AL81" s="482">
        <f t="shared" si="55"/>
        <v>1.4271323811044567E-2</v>
      </c>
      <c r="AM81" s="482">
        <f t="shared" si="55"/>
        <v>-10.03674178341862</v>
      </c>
      <c r="AN81" s="482">
        <f t="shared" si="55"/>
        <v>-20.096130734904364</v>
      </c>
      <c r="AO81" s="482">
        <f t="shared" si="55"/>
        <v>-12091.393902510516</v>
      </c>
      <c r="AP81" s="482">
        <f t="shared" si="55"/>
        <v>-12101.470064095942</v>
      </c>
      <c r="AQ81" s="482">
        <f t="shared" si="55"/>
        <v>-12111.554622482689</v>
      </c>
      <c r="AR81" s="482">
        <f t="shared" si="55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495" priority="26" operator="notEqual">
      <formula>E27</formula>
    </cfRule>
  </conditionalFormatting>
  <conditionalFormatting sqref="F28">
    <cfRule type="cellIs" dxfId="494" priority="25" operator="notEqual">
      <formula>F27</formula>
    </cfRule>
  </conditionalFormatting>
  <conditionalFormatting sqref="G28">
    <cfRule type="cellIs" dxfId="493" priority="24" operator="notEqual">
      <formula>G27</formula>
    </cfRule>
  </conditionalFormatting>
  <conditionalFormatting sqref="H28">
    <cfRule type="cellIs" dxfId="492" priority="23" operator="notEqual">
      <formula>H27</formula>
    </cfRule>
  </conditionalFormatting>
  <conditionalFormatting sqref="C28">
    <cfRule type="cellIs" dxfId="491" priority="22" operator="notEqual">
      <formula>C27</formula>
    </cfRule>
  </conditionalFormatting>
  <conditionalFormatting sqref="F61">
    <cfRule type="cellIs" dxfId="490" priority="21" operator="notEqual">
      <formula>F60</formula>
    </cfRule>
  </conditionalFormatting>
  <conditionalFormatting sqref="G61">
    <cfRule type="cellIs" dxfId="489" priority="20" operator="notEqual">
      <formula>G60</formula>
    </cfRule>
  </conditionalFormatting>
  <conditionalFormatting sqref="H61">
    <cfRule type="cellIs" dxfId="488" priority="19" operator="notEqual">
      <formula>H60</formula>
    </cfRule>
  </conditionalFormatting>
  <conditionalFormatting sqref="C61">
    <cfRule type="cellIs" dxfId="487" priority="18" operator="notEqual">
      <formula>C60</formula>
    </cfRule>
  </conditionalFormatting>
  <conditionalFormatting sqref="I61">
    <cfRule type="cellIs" dxfId="486" priority="17" operator="notEqual">
      <formula>I60</formula>
    </cfRule>
  </conditionalFormatting>
  <conditionalFormatting sqref="AY81 AY48 AY11">
    <cfRule type="cellIs" dxfId="485" priority="16" operator="notEqual">
      <formula>0</formula>
    </cfRule>
  </conditionalFormatting>
  <conditionalFormatting sqref="I28">
    <cfRule type="cellIs" dxfId="484" priority="15" operator="notEqual">
      <formula>I27</formula>
    </cfRule>
  </conditionalFormatting>
  <conditionalFormatting sqref="J28">
    <cfRule type="cellIs" dxfId="483" priority="14" operator="notEqual">
      <formula>J27</formula>
    </cfRule>
  </conditionalFormatting>
  <conditionalFormatting sqref="J61">
    <cfRule type="cellIs" dxfId="482" priority="13" operator="notEqual">
      <formula>J60</formula>
    </cfRule>
  </conditionalFormatting>
  <conditionalFormatting sqref="K28">
    <cfRule type="cellIs" dxfId="481" priority="12" operator="notEqual">
      <formula>K27</formula>
    </cfRule>
  </conditionalFormatting>
  <conditionalFormatting sqref="K61">
    <cfRule type="cellIs" dxfId="480" priority="11" operator="notEqual">
      <formula>K60</formula>
    </cfRule>
  </conditionalFormatting>
  <conditionalFormatting sqref="L28:M28">
    <cfRule type="cellIs" dxfId="479" priority="10" operator="notEqual">
      <formula>L27</formula>
    </cfRule>
  </conditionalFormatting>
  <conditionalFormatting sqref="N28">
    <cfRule type="cellIs" dxfId="478" priority="9" operator="notEqual">
      <formula>N27</formula>
    </cfRule>
  </conditionalFormatting>
  <conditionalFormatting sqref="U61">
    <cfRule type="cellIs" dxfId="477" priority="8" operator="notEqual">
      <formula>U60</formula>
    </cfRule>
  </conditionalFormatting>
  <conditionalFormatting sqref="U28:V28">
    <cfRule type="cellIs" dxfId="476" priority="7" operator="notEqual">
      <formula>U27</formula>
    </cfRule>
  </conditionalFormatting>
  <conditionalFormatting sqref="V28">
    <cfRule type="cellIs" dxfId="475" priority="6" operator="notEqual">
      <formula>V27</formula>
    </cfRule>
  </conditionalFormatting>
  <conditionalFormatting sqref="V61">
    <cfRule type="cellIs" dxfId="474" priority="5" operator="notEqual">
      <formula>V60</formula>
    </cfRule>
  </conditionalFormatting>
  <conditionalFormatting sqref="W28">
    <cfRule type="cellIs" dxfId="473" priority="4" operator="notEqual">
      <formula>W27</formula>
    </cfRule>
  </conditionalFormatting>
  <conditionalFormatting sqref="W61">
    <cfRule type="cellIs" dxfId="472" priority="3" operator="notEqual">
      <formula>W60</formula>
    </cfRule>
  </conditionalFormatting>
  <conditionalFormatting sqref="X28:Y28">
    <cfRule type="cellIs" dxfId="471" priority="2" operator="notEqual">
      <formula>X27</formula>
    </cfRule>
  </conditionalFormatting>
  <conditionalFormatting sqref="Z28">
    <cfRule type="cellIs" dxfId="470" priority="1" operator="notEqual">
      <formula>Z27</formula>
    </cfRule>
  </conditionalFormatting>
  <pageMargins left="0" right="0" top="0.75" bottom="0.75" header="0.3" footer="0.3"/>
  <pageSetup scale="43" orientation="landscape" r:id="rId1"/>
  <customProperties>
    <customPr name="xxe4aPID" r:id="rId2"/>
  </customProperties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P84"/>
  <sheetViews>
    <sheetView topLeftCell="AD1" zoomScale="85" zoomScaleNormal="85" zoomScaleSheetLayoutView="85" workbookViewId="0">
      <selection activeCell="AY7" sqref="AY7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35" width="18.109375" style="482" customWidth="1"/>
    <col min="36" max="36" width="19" style="482" customWidth="1"/>
    <col min="37" max="37" width="16.33203125" style="482" customWidth="1"/>
    <col min="38" max="44" width="16.33203125" style="482" hidden="1" customWidth="1"/>
    <col min="45" max="45" width="11.6640625" style="482" customWidth="1"/>
    <col min="46" max="46" width="31.88671875" style="482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53" width="9.109375" style="482"/>
    <col min="54" max="54" width="30.77734375" style="482" bestFit="1" customWidth="1"/>
    <col min="55" max="55" width="8.33203125" style="482" bestFit="1" customWidth="1"/>
    <col min="56" max="56" width="4.33203125" style="482" bestFit="1" customWidth="1"/>
    <col min="57" max="57" width="4.77734375" style="482" bestFit="1" customWidth="1"/>
    <col min="58" max="59" width="12.88671875" style="482" bestFit="1" customWidth="1"/>
    <col min="60" max="60" width="9.109375" style="482"/>
    <col min="61" max="61" width="30.77734375" style="482" hidden="1" customWidth="1"/>
    <col min="62" max="62" width="8.33203125" style="482" hidden="1" customWidth="1"/>
    <col min="63" max="63" width="4.33203125" style="482" hidden="1" customWidth="1"/>
    <col min="64" max="64" width="4.77734375" style="482" hidden="1" customWidth="1"/>
    <col min="65" max="66" width="14.21875" style="482" hidden="1" customWidth="1"/>
    <col min="67" max="67" width="14.109375" style="482" bestFit="1" customWidth="1"/>
    <col min="68" max="16384" width="9.109375" style="482"/>
  </cols>
  <sheetData>
    <row r="1" spans="1:68">
      <c r="A1" s="480" t="s">
        <v>265</v>
      </c>
      <c r="AT1" s="480" t="s">
        <v>315</v>
      </c>
    </row>
    <row r="2" spans="1:68">
      <c r="A2" s="483" t="s">
        <v>266</v>
      </c>
    </row>
    <row r="3" spans="1:68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D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>AL3+1</f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>AQ3+1</f>
        <v>201612</v>
      </c>
      <c r="AT3" s="483" t="s">
        <v>337</v>
      </c>
      <c r="AU3" s="484"/>
      <c r="BB3" s="483" t="s">
        <v>338</v>
      </c>
      <c r="BI3" s="483" t="s">
        <v>339</v>
      </c>
      <c r="BO3" s="483" t="s">
        <v>339</v>
      </c>
    </row>
    <row r="4" spans="1:68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>
        <v>3.4599999999999999E-2</v>
      </c>
      <c r="AK4" s="488">
        <v>3.4599999999999999E-2</v>
      </c>
      <c r="AL4" s="488"/>
      <c r="AM4" s="488"/>
      <c r="AN4" s="488"/>
      <c r="AO4" s="488"/>
      <c r="AP4" s="488"/>
      <c r="AQ4" s="488"/>
      <c r="AR4" s="488"/>
      <c r="AT4" s="544">
        <v>201605</v>
      </c>
      <c r="AU4" s="526"/>
      <c r="AV4" s="514"/>
      <c r="AW4" s="514"/>
      <c r="AX4" s="514"/>
      <c r="AY4" s="515"/>
      <c r="BB4" s="544">
        <v>201605</v>
      </c>
      <c r="BC4" s="526"/>
      <c r="BD4" s="514"/>
      <c r="BE4" s="514"/>
      <c r="BF4" s="514"/>
      <c r="BG4" s="515"/>
      <c r="BI4" s="544">
        <v>201605</v>
      </c>
      <c r="BJ4" s="526"/>
      <c r="BK4" s="514"/>
      <c r="BL4" s="514"/>
      <c r="BM4" s="514"/>
      <c r="BN4" s="515"/>
      <c r="BO4" s="586">
        <v>201605</v>
      </c>
      <c r="BP4" s="587"/>
    </row>
    <row r="5" spans="1:68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2">AF13</f>
        <v>-6508323.8685397729</v>
      </c>
      <c r="AH5" s="482">
        <f t="shared" si="2"/>
        <v>-8439847.1132167727</v>
      </c>
      <c r="AI5" s="482">
        <f t="shared" si="2"/>
        <v>-9264796.9494047705</v>
      </c>
      <c r="AJ5" s="482">
        <f t="shared" si="2"/>
        <v>-10398819.535470769</v>
      </c>
      <c r="AK5" s="482">
        <f t="shared" si="2"/>
        <v>-12153304.785960769</v>
      </c>
      <c r="AL5" s="482">
        <f t="shared" si="2"/>
        <v>-12778894.072104771</v>
      </c>
      <c r="AM5" s="482">
        <f t="shared" si="2"/>
        <v>-14143371.014992768</v>
      </c>
      <c r="AN5" s="482">
        <f t="shared" si="2"/>
        <v>-15049262.677716769</v>
      </c>
      <c r="AO5" s="482">
        <f t="shared" si="2"/>
        <v>-14653883.849382769</v>
      </c>
      <c r="AP5" s="482">
        <f t="shared" si="2"/>
        <v>-15109968.552484771</v>
      </c>
      <c r="AQ5" s="482">
        <f t="shared" si="2"/>
        <v>-15185237.321035771</v>
      </c>
      <c r="AR5" s="482">
        <f t="shared" si="2"/>
        <v>-16796129.29722577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  <c r="BB5" s="497" t="s">
        <v>294</v>
      </c>
      <c r="BC5" s="527">
        <v>419600</v>
      </c>
      <c r="BD5" s="498" t="s">
        <v>288</v>
      </c>
      <c r="BE5" s="498" t="s">
        <v>289</v>
      </c>
      <c r="BF5" s="519">
        <v>0</v>
      </c>
      <c r="BG5" s="520">
        <v>0</v>
      </c>
      <c r="BI5" s="497" t="s">
        <v>294</v>
      </c>
      <c r="BJ5" s="527">
        <v>419600</v>
      </c>
      <c r="BK5" s="498" t="s">
        <v>288</v>
      </c>
      <c r="BL5" s="498" t="s">
        <v>289</v>
      </c>
      <c r="BM5" s="519">
        <f>AX5-BF5</f>
        <v>0</v>
      </c>
      <c r="BN5" s="520">
        <f>AY5-BG5</f>
        <v>0</v>
      </c>
      <c r="BO5" s="588">
        <f>BM5+BN5</f>
        <v>0</v>
      </c>
      <c r="BP5" s="515"/>
    </row>
    <row r="6" spans="1:68" ht="16.2">
      <c r="B6" s="481" t="s">
        <v>254</v>
      </c>
      <c r="C6" s="482">
        <f t="shared" ref="C6:C12" si="3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</f>
        <v>35892.18</v>
      </c>
      <c r="AY6" s="500">
        <v>0</v>
      </c>
      <c r="BB6" s="499" t="s">
        <v>295</v>
      </c>
      <c r="BC6" s="528">
        <v>431600</v>
      </c>
      <c r="BD6" s="358" t="s">
        <v>288</v>
      </c>
      <c r="BE6" s="358" t="s">
        <v>289</v>
      </c>
      <c r="BF6" s="381">
        <v>34666.5</v>
      </c>
      <c r="BG6" s="500">
        <v>0</v>
      </c>
      <c r="BI6" s="499" t="s">
        <v>295</v>
      </c>
      <c r="BJ6" s="528">
        <v>431600</v>
      </c>
      <c r="BK6" s="358" t="s">
        <v>288</v>
      </c>
      <c r="BL6" s="358" t="s">
        <v>289</v>
      </c>
      <c r="BM6" s="381">
        <f t="shared" ref="BM6:BN10" si="4">AX6-BF6</f>
        <v>1225.6800000000003</v>
      </c>
      <c r="BN6" s="500">
        <f t="shared" si="4"/>
        <v>0</v>
      </c>
      <c r="BO6" s="589">
        <f t="shared" ref="BO6:BO10" si="5">BM6+BN6</f>
        <v>1225.6800000000003</v>
      </c>
      <c r="BP6" s="500" t="s">
        <v>340</v>
      </c>
    </row>
    <row r="7" spans="1:68" ht="16.2">
      <c r="B7" s="481" t="s">
        <v>255</v>
      </c>
      <c r="C7" s="482">
        <f t="shared" si="3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625589.28614400164</v>
      </c>
      <c r="BB7" s="499" t="s">
        <v>296</v>
      </c>
      <c r="BC7" s="528">
        <v>191010</v>
      </c>
      <c r="BD7" s="358" t="s">
        <v>288</v>
      </c>
      <c r="BE7" s="358" t="s">
        <v>289</v>
      </c>
      <c r="BF7" s="381">
        <v>225814.9830179984</v>
      </c>
      <c r="BG7" s="500">
        <v>0</v>
      </c>
      <c r="BI7" s="499" t="s">
        <v>296</v>
      </c>
      <c r="BJ7" s="528">
        <v>191010</v>
      </c>
      <c r="BK7" s="358" t="s">
        <v>288</v>
      </c>
      <c r="BL7" s="358" t="s">
        <v>289</v>
      </c>
      <c r="BM7" s="381">
        <f t="shared" si="4"/>
        <v>-225814.9830179984</v>
      </c>
      <c r="BN7" s="500">
        <f t="shared" si="4"/>
        <v>625589.28614400164</v>
      </c>
      <c r="BO7" s="589">
        <f>-BM7+BN7</f>
        <v>851404.26916200004</v>
      </c>
      <c r="BP7" s="500" t="s">
        <v>341</v>
      </c>
    </row>
    <row r="8" spans="1:68" ht="16.2">
      <c r="B8" s="481" t="s">
        <v>258</v>
      </c>
      <c r="C8" s="482">
        <f t="shared" si="3"/>
        <v>-139107.38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6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J8" si="7">ROUND(((AG5)*(AG4/12))+((SUM(AG6:AG7)/2)*(AG4/12)),2)</f>
        <v>-20214.939999999999</v>
      </c>
      <c r="AH8" s="489">
        <f t="shared" si="7"/>
        <v>-23942.62</v>
      </c>
      <c r="AI8" s="489">
        <f t="shared" si="7"/>
        <v>-26591.8</v>
      </c>
      <c r="AJ8" s="489">
        <f t="shared" si="7"/>
        <v>-32465.84</v>
      </c>
      <c r="AK8" s="489">
        <f>ROUND(((AK5)*(AK4/12))+((SUM(AK6:AK7)/2)*(AK4/12)),2)</f>
        <v>-35892.18</v>
      </c>
      <c r="AL8" s="489">
        <f t="shared" ref="AL8:AR8" si="8">ROUND(((AL5)*(AL4/12))+((SUM(AL6:AL7)/2)*(AL4/12)),2)</f>
        <v>0</v>
      </c>
      <c r="AM8" s="489">
        <f t="shared" si="8"/>
        <v>0</v>
      </c>
      <c r="AN8" s="489">
        <f t="shared" si="8"/>
        <v>0</v>
      </c>
      <c r="AO8" s="489">
        <f t="shared" si="8"/>
        <v>0</v>
      </c>
      <c r="AP8" s="489">
        <f t="shared" si="8"/>
        <v>0</v>
      </c>
      <c r="AQ8" s="489">
        <f t="shared" si="8"/>
        <v>0</v>
      </c>
      <c r="AR8" s="489">
        <f t="shared" si="8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</f>
        <v>589697.10614400159</v>
      </c>
      <c r="AY8" s="500">
        <f>IF((SUMIF(U3:AR3,AT4,U6:AR6)+SUMIF(U3:AR3,AT4,U7:AR7))&gt;0,(SUMIF(U3:AR3,AT4,U6:AR6)+SUMIF(U3:AR3,AT4,U7:AR7)),0)</f>
        <v>0</v>
      </c>
      <c r="BB8" s="499" t="s">
        <v>297</v>
      </c>
      <c r="BC8" s="528">
        <v>805120</v>
      </c>
      <c r="BD8" s="358" t="s">
        <v>288</v>
      </c>
      <c r="BE8" s="358" t="s">
        <v>289</v>
      </c>
      <c r="BF8" s="381">
        <v>0</v>
      </c>
      <c r="BG8" s="500">
        <v>260481.4830179984</v>
      </c>
      <c r="BI8" s="499" t="s">
        <v>297</v>
      </c>
      <c r="BJ8" s="528">
        <v>805120</v>
      </c>
      <c r="BK8" s="358" t="s">
        <v>288</v>
      </c>
      <c r="BL8" s="358" t="s">
        <v>289</v>
      </c>
      <c r="BM8" s="381">
        <f t="shared" si="4"/>
        <v>589697.10614400159</v>
      </c>
      <c r="BN8" s="500">
        <f t="shared" si="4"/>
        <v>-260481.4830179984</v>
      </c>
      <c r="BO8" s="589">
        <f>BM8-BN8</f>
        <v>850178.58916199999</v>
      </c>
      <c r="BP8" s="500" t="s">
        <v>340</v>
      </c>
    </row>
    <row r="9" spans="1:68" ht="16.2">
      <c r="B9" s="481" t="s">
        <v>262</v>
      </c>
      <c r="C9" s="482">
        <f t="shared" si="3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  <c r="BB9" s="499" t="s">
        <v>11</v>
      </c>
      <c r="BC9" s="528">
        <v>191010</v>
      </c>
      <c r="BD9" s="358" t="s">
        <v>288</v>
      </c>
      <c r="BE9" s="358" t="s">
        <v>289</v>
      </c>
      <c r="BF9" s="381">
        <v>0</v>
      </c>
      <c r="BG9" s="500">
        <v>0</v>
      </c>
      <c r="BI9" s="499" t="s">
        <v>11</v>
      </c>
      <c r="BJ9" s="528">
        <v>191010</v>
      </c>
      <c r="BK9" s="358" t="s">
        <v>288</v>
      </c>
      <c r="BL9" s="358" t="s">
        <v>289</v>
      </c>
      <c r="BM9" s="381">
        <f t="shared" si="4"/>
        <v>0</v>
      </c>
      <c r="BN9" s="500">
        <f t="shared" si="4"/>
        <v>0</v>
      </c>
      <c r="BO9" s="589">
        <f t="shared" si="5"/>
        <v>0</v>
      </c>
      <c r="BP9" s="585"/>
    </row>
    <row r="10" spans="1:68" ht="16.8" thickBot="1">
      <c r="B10" s="481" t="s">
        <v>263</v>
      </c>
      <c r="C10" s="482">
        <f t="shared" si="3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  <c r="BB10" s="501" t="s">
        <v>11</v>
      </c>
      <c r="BC10" s="529">
        <v>191000</v>
      </c>
      <c r="BD10" s="529" t="s">
        <v>288</v>
      </c>
      <c r="BE10" s="529" t="s">
        <v>289</v>
      </c>
      <c r="BF10" s="503">
        <v>0</v>
      </c>
      <c r="BG10" s="521">
        <v>0</v>
      </c>
      <c r="BI10" s="501" t="s">
        <v>11</v>
      </c>
      <c r="BJ10" s="529">
        <v>191000</v>
      </c>
      <c r="BK10" s="529" t="s">
        <v>288</v>
      </c>
      <c r="BL10" s="529" t="s">
        <v>289</v>
      </c>
      <c r="BM10" s="503">
        <f t="shared" si="4"/>
        <v>0</v>
      </c>
      <c r="BN10" s="521">
        <f t="shared" si="4"/>
        <v>0</v>
      </c>
      <c r="BO10" s="589">
        <f t="shared" si="5"/>
        <v>0</v>
      </c>
      <c r="BP10" s="585"/>
    </row>
    <row r="11" spans="1:68" ht="16.2" thickBot="1">
      <c r="B11" s="481" t="s">
        <v>264</v>
      </c>
      <c r="C11" s="482">
        <f t="shared" si="3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  <c r="BB11" s="516"/>
      <c r="BC11" s="530"/>
      <c r="BD11" s="517"/>
      <c r="BE11" s="517"/>
      <c r="BF11" s="517" t="s">
        <v>159</v>
      </c>
      <c r="BG11" s="518">
        <v>0</v>
      </c>
      <c r="BI11" s="516"/>
      <c r="BJ11" s="530"/>
      <c r="BK11" s="517"/>
      <c r="BL11" s="517"/>
      <c r="BM11" s="517" t="s">
        <v>159</v>
      </c>
      <c r="BN11" s="518">
        <v>0</v>
      </c>
      <c r="BO11" s="590">
        <f>BO6+BO8-BO7</f>
        <v>0</v>
      </c>
      <c r="BP11" s="524" t="s">
        <v>159</v>
      </c>
    </row>
    <row r="12" spans="1:68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68" ht="16.8" thickBot="1">
      <c r="B13" s="481" t="s">
        <v>56</v>
      </c>
      <c r="C13" s="541">
        <f>SUM(C5:C12)</f>
        <v>-12373103.647626996</v>
      </c>
      <c r="D13" s="541"/>
      <c r="E13" s="541">
        <f>SUM(E5:E12)</f>
        <v>2712780.2600000002</v>
      </c>
      <c r="F13" s="541">
        <f t="shared" ref="F13:H13" si="9">SUM(F5:F12)</f>
        <v>2255013.9900000002</v>
      </c>
      <c r="G13" s="541">
        <f>SUM(G5:G12)</f>
        <v>-33498.738666789999</v>
      </c>
      <c r="H13" s="541">
        <f t="shared" si="9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10">SUM(V5:V12)</f>
        <v>-1694440.0214187815</v>
      </c>
      <c r="W13" s="541">
        <f t="shared" si="10"/>
        <v>-683405.33395377884</v>
      </c>
      <c r="X13" s="541">
        <f t="shared" si="10"/>
        <v>-2769396.4708657796</v>
      </c>
      <c r="Y13" s="541">
        <f>SUM(Y5:Y12)</f>
        <v>-2940906.6891037785</v>
      </c>
      <c r="Z13" s="541">
        <f t="shared" ref="Z13:AE13" si="11">SUM(Z5:Z12)</f>
        <v>-3112721.2246137792</v>
      </c>
      <c r="AA13" s="541">
        <f t="shared" si="11"/>
        <v>-3464489.8670317773</v>
      </c>
      <c r="AB13" s="541">
        <f t="shared" si="11"/>
        <v>-3555298.2266717753</v>
      </c>
      <c r="AC13" s="541">
        <f t="shared" si="11"/>
        <v>-4755858.0107337767</v>
      </c>
      <c r="AD13" s="541">
        <f t="shared" si="11"/>
        <v>-5900360.3440987766</v>
      </c>
      <c r="AE13" s="541">
        <f t="shared" si="11"/>
        <v>-4407824.1695987741</v>
      </c>
      <c r="AF13" s="541">
        <f>SUM(AF5:AF12)</f>
        <v>-6508323.8685397729</v>
      </c>
      <c r="AG13" s="541">
        <f t="shared" ref="AG13:AR13" si="12">SUM(AG5:AG12)</f>
        <v>-8439847.1132167727</v>
      </c>
      <c r="AH13" s="541">
        <f t="shared" si="12"/>
        <v>-9264796.9494047705</v>
      </c>
      <c r="AI13" s="541">
        <f t="shared" si="12"/>
        <v>-10398819.535470769</v>
      </c>
      <c r="AJ13" s="541">
        <f t="shared" si="12"/>
        <v>-12153304.785960769</v>
      </c>
      <c r="AK13" s="541">
        <f t="shared" si="12"/>
        <v>-12778894.072104771</v>
      </c>
      <c r="AL13" s="541">
        <f t="shared" si="12"/>
        <v>-14143371.014992768</v>
      </c>
      <c r="AM13" s="541">
        <f t="shared" si="12"/>
        <v>-15049262.677716769</v>
      </c>
      <c r="AN13" s="541">
        <f t="shared" si="12"/>
        <v>-14653883.849382769</v>
      </c>
      <c r="AO13" s="541">
        <f t="shared" si="12"/>
        <v>-15109968.552484771</v>
      </c>
      <c r="AP13" s="541">
        <f t="shared" si="12"/>
        <v>-15185237.321035771</v>
      </c>
      <c r="AQ13" s="541">
        <f t="shared" si="12"/>
        <v>-16796129.29722577</v>
      </c>
      <c r="AR13" s="541">
        <f t="shared" si="12"/>
        <v>-18881427.516166765</v>
      </c>
    </row>
    <row r="14" spans="1:68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68">
      <c r="B15" s="481" t="s">
        <v>245</v>
      </c>
      <c r="E15" s="482">
        <f t="shared" ref="E15:H15" si="13">E13-E14</f>
        <v>1.0000000242143869E-2</v>
      </c>
      <c r="F15" s="482">
        <f t="shared" si="13"/>
        <v>1.0000000242143869E-2</v>
      </c>
      <c r="G15" s="482">
        <f t="shared" si="13"/>
        <v>1.1333210000884719E-2</v>
      </c>
      <c r="H15" s="482">
        <f t="shared" si="13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K15" si="14">V13-V14</f>
        <v>-1.418781466782093E-3</v>
      </c>
      <c r="W15" s="482">
        <f t="shared" si="14"/>
        <v>-3.9537788834422827E-3</v>
      </c>
      <c r="X15" s="482">
        <f t="shared" si="14"/>
        <v>-8.6577935144305229E-4</v>
      </c>
      <c r="Y15" s="482">
        <f t="shared" si="14"/>
        <v>8.9622149243950844E-4</v>
      </c>
      <c r="Z15" s="482">
        <f t="shared" si="14"/>
        <v>5.3862207569181919E-3</v>
      </c>
      <c r="AA15" s="482">
        <f t="shared" si="14"/>
        <v>2.9682228341698647E-3</v>
      </c>
      <c r="AB15" s="482">
        <f t="shared" si="14"/>
        <v>3.3282246440649033E-3</v>
      </c>
      <c r="AC15" s="482">
        <f t="shared" si="14"/>
        <v>-7.3377694934606552E-4</v>
      </c>
      <c r="AD15" s="482">
        <f t="shared" si="14"/>
        <v>-4.0987767279148102E-3</v>
      </c>
      <c r="AE15" s="482">
        <f t="shared" si="14"/>
        <v>4.0122587233781815E-4</v>
      </c>
      <c r="AF15" s="482">
        <f t="shared" si="14"/>
        <v>1.4602271839976311E-3</v>
      </c>
      <c r="AG15" s="482">
        <f t="shared" si="14"/>
        <v>-7556.9932167734951</v>
      </c>
      <c r="AH15" s="482">
        <f t="shared" si="14"/>
        <v>5.9522874653339386E-4</v>
      </c>
      <c r="AI15" s="482">
        <f t="shared" si="14"/>
        <v>4.5292302966117859E-3</v>
      </c>
      <c r="AJ15" s="482">
        <f t="shared" si="14"/>
        <v>4.0392298251390457E-3</v>
      </c>
      <c r="AK15" s="482">
        <f t="shared" si="14"/>
        <v>7.895229384303093E-3</v>
      </c>
    </row>
    <row r="16" spans="1:68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D18" si="15">U18+1</f>
        <v>201502</v>
      </c>
      <c r="W18" s="484">
        <f t="shared" si="15"/>
        <v>201503</v>
      </c>
      <c r="X18" s="484">
        <f t="shared" si="15"/>
        <v>201504</v>
      </c>
      <c r="Y18" s="484">
        <f t="shared" si="15"/>
        <v>201505</v>
      </c>
      <c r="Z18" s="484">
        <f t="shared" si="15"/>
        <v>201506</v>
      </c>
      <c r="AA18" s="484">
        <f t="shared" si="15"/>
        <v>201507</v>
      </c>
      <c r="AB18" s="484">
        <f t="shared" si="15"/>
        <v>201508</v>
      </c>
      <c r="AC18" s="484">
        <f t="shared" si="15"/>
        <v>201509</v>
      </c>
      <c r="AD18" s="484">
        <f t="shared" si="15"/>
        <v>201510</v>
      </c>
      <c r="AE18" s="484">
        <f>AD18+1</f>
        <v>201511</v>
      </c>
      <c r="AF18" s="484">
        <f t="shared" ref="AF18" si="16">AE18+1</f>
        <v>201512</v>
      </c>
      <c r="AG18" s="484">
        <v>201601</v>
      </c>
      <c r="AH18" s="484">
        <f>AG18+1</f>
        <v>201602</v>
      </c>
      <c r="AI18" s="484">
        <f t="shared" ref="AI18:AR18" si="17">AH18+1</f>
        <v>201603</v>
      </c>
      <c r="AJ18" s="484">
        <f t="shared" si="17"/>
        <v>201604</v>
      </c>
      <c r="AK18" s="484">
        <f t="shared" si="17"/>
        <v>201605</v>
      </c>
      <c r="AL18" s="484">
        <f t="shared" si="17"/>
        <v>201606</v>
      </c>
      <c r="AM18" s="484">
        <f t="shared" si="17"/>
        <v>201607</v>
      </c>
      <c r="AN18" s="484">
        <f t="shared" si="17"/>
        <v>201608</v>
      </c>
      <c r="AO18" s="484">
        <f t="shared" si="17"/>
        <v>201609</v>
      </c>
      <c r="AP18" s="484">
        <f t="shared" si="17"/>
        <v>201610</v>
      </c>
      <c r="AQ18" s="484">
        <f t="shared" si="17"/>
        <v>201611</v>
      </c>
      <c r="AR18" s="484">
        <f t="shared" si="17"/>
        <v>201612</v>
      </c>
    </row>
    <row r="19" spans="1:45">
      <c r="A19" s="483"/>
      <c r="B19" s="481" t="s">
        <v>37</v>
      </c>
      <c r="C19" s="491">
        <f>SUM(AG19:AR19)</f>
        <v>55409736</v>
      </c>
      <c r="D19" s="491">
        <f>SUM(AE19:AP19)</f>
        <v>90244565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>
        <f>Mar!$G23</f>
        <v>12238194</v>
      </c>
      <c r="AJ19" s="543">
        <f>Apr!$G23</f>
        <v>5348802</v>
      </c>
      <c r="AK19" s="543">
        <f>May!$G23</f>
        <v>3384728</v>
      </c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18">SUM(AG20:AR20)</f>
        <v>68994</v>
      </c>
      <c r="D20" s="491">
        <f>SUM(AE20:AP20)</f>
        <v>80438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>
        <f>Mar!$G24</f>
        <v>18603</v>
      </c>
      <c r="AJ20" s="543">
        <f>Apr!$G24</f>
        <v>12171</v>
      </c>
      <c r="AK20" s="543">
        <f>May!$G24</f>
        <v>5734</v>
      </c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18"/>
        <v>21454629</v>
      </c>
      <c r="D21" s="491">
        <f t="shared" ref="D21:D27" si="19">SUM(AE21:AP21)</f>
        <v>33124081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>
        <f>Mar!$G25</f>
        <v>4795258</v>
      </c>
      <c r="AJ21" s="543">
        <f>Apr!$G25</f>
        <v>2668983</v>
      </c>
      <c r="AK21" s="543">
        <f>May!$G25</f>
        <v>2221542</v>
      </c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f t="shared" si="18"/>
        <v>1655164</v>
      </c>
      <c r="D23" s="491">
        <f t="shared" si="19"/>
        <v>2528342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>
        <f>Mar!$G27</f>
        <v>361566</v>
      </c>
      <c r="AJ23" s="543">
        <f>Apr!$G27</f>
        <v>227877</v>
      </c>
      <c r="AK23" s="543">
        <f>May!$G27</f>
        <v>311290</v>
      </c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f t="shared" si="18"/>
        <v>0</v>
      </c>
      <c r="D24" s="491">
        <f t="shared" si="19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f t="shared" si="18"/>
        <v>0</v>
      </c>
      <c r="D25" s="491">
        <f t="shared" si="19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>
        <f>Mar!$G29</f>
        <v>0</v>
      </c>
      <c r="AJ25" s="543">
        <f>Apr!$G29</f>
        <v>0</v>
      </c>
      <c r="AK25" s="543">
        <f>May!$G29</f>
        <v>0</v>
      </c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f t="shared" si="18"/>
        <v>0</v>
      </c>
      <c r="D26" s="491">
        <f t="shared" si="19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f t="shared" si="18"/>
        <v>13864802</v>
      </c>
      <c r="D27" s="491">
        <f t="shared" si="19"/>
        <v>20206044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>
        <f>Mar!$G31</f>
        <v>2822744</v>
      </c>
      <c r="AJ27" s="543">
        <f>Apr!$G31</f>
        <v>2379815</v>
      </c>
      <c r="AK27" s="543">
        <f>May!$G31</f>
        <v>2359261</v>
      </c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92453325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20">SUM(G19:G27)</f>
        <v>24054373</v>
      </c>
      <c r="H28" s="542">
        <f t="shared" si="20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21">SUM(V19:V27)</f>
        <v>21809394</v>
      </c>
      <c r="W28" s="542">
        <f t="shared" si="21"/>
        <v>17454090</v>
      </c>
      <c r="X28" s="542">
        <f t="shared" si="21"/>
        <v>14032685</v>
      </c>
      <c r="Y28" s="542">
        <f t="shared" si="21"/>
        <v>7651890</v>
      </c>
      <c r="Z28" s="542">
        <f t="shared" si="21"/>
        <v>5795038</v>
      </c>
      <c r="AA28" s="542">
        <f t="shared" si="21"/>
        <v>5628267</v>
      </c>
      <c r="AB28" s="542">
        <f t="shared" si="21"/>
        <v>5459507</v>
      </c>
      <c r="AC28" s="542">
        <f t="shared" si="21"/>
        <v>7409442</v>
      </c>
      <c r="AD28" s="542">
        <f t="shared" si="21"/>
        <v>10025335</v>
      </c>
      <c r="AE28" s="542">
        <f t="shared" si="21"/>
        <v>24443601</v>
      </c>
      <c r="AF28" s="542">
        <f t="shared" si="21"/>
        <v>29286544</v>
      </c>
      <c r="AG28" s="542">
        <f>SUM(AG19:AG27)</f>
        <v>30419523</v>
      </c>
      <c r="AH28" s="542">
        <f t="shared" si="21"/>
        <v>22877234</v>
      </c>
      <c r="AI28" s="542">
        <f t="shared" si="21"/>
        <v>20236365</v>
      </c>
      <c r="AJ28" s="542">
        <f t="shared" si="21"/>
        <v>10637648</v>
      </c>
      <c r="AK28" s="542">
        <f t="shared" si="21"/>
        <v>8282555</v>
      </c>
      <c r="AL28" s="542">
        <f t="shared" si="21"/>
        <v>0</v>
      </c>
      <c r="AM28" s="542">
        <f t="shared" si="21"/>
        <v>0</v>
      </c>
      <c r="AN28" s="542">
        <f t="shared" si="21"/>
        <v>0</v>
      </c>
      <c r="AO28" s="542">
        <f t="shared" si="21"/>
        <v>0</v>
      </c>
      <c r="AP28" s="542">
        <f t="shared" si="21"/>
        <v>0</v>
      </c>
      <c r="AQ28" s="542">
        <f t="shared" si="21"/>
        <v>0</v>
      </c>
      <c r="AR28" s="542">
        <f t="shared" si="21"/>
        <v>0</v>
      </c>
    </row>
    <row r="29" spans="1:45" ht="16.2" thickTop="1">
      <c r="A29" s="483"/>
      <c r="B29" s="481" t="s">
        <v>269</v>
      </c>
      <c r="C29" s="491">
        <f>SUM(AG29:AR29)</f>
        <v>92453325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>
        <v>10637648</v>
      </c>
      <c r="AK29" s="491">
        <v>8282555</v>
      </c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:AD31" si="22">U31+1</f>
        <v>201502</v>
      </c>
      <c r="W31" s="484">
        <f t="shared" si="22"/>
        <v>201503</v>
      </c>
      <c r="X31" s="484">
        <f t="shared" si="22"/>
        <v>201504</v>
      </c>
      <c r="Y31" s="484">
        <f t="shared" si="22"/>
        <v>201505</v>
      </c>
      <c r="Z31" s="484">
        <f t="shared" si="22"/>
        <v>201506</v>
      </c>
      <c r="AA31" s="484">
        <f t="shared" si="22"/>
        <v>201507</v>
      </c>
      <c r="AB31" s="484">
        <f t="shared" si="22"/>
        <v>201508</v>
      </c>
      <c r="AC31" s="484">
        <f t="shared" si="22"/>
        <v>201509</v>
      </c>
      <c r="AD31" s="484">
        <f t="shared" si="22"/>
        <v>201510</v>
      </c>
      <c r="AE31" s="484">
        <f>AD31+1</f>
        <v>201511</v>
      </c>
      <c r="AF31" s="484">
        <f t="shared" ref="AF31" si="23">AE31+1</f>
        <v>201512</v>
      </c>
      <c r="AG31" s="484">
        <v>201601</v>
      </c>
      <c r="AH31" s="484">
        <f>AG31+1</f>
        <v>201602</v>
      </c>
      <c r="AI31" s="484">
        <f t="shared" ref="AI31:AR31" si="24">AH31+1</f>
        <v>201603</v>
      </c>
      <c r="AJ31" s="484">
        <f t="shared" si="24"/>
        <v>201604</v>
      </c>
      <c r="AK31" s="484">
        <f t="shared" si="24"/>
        <v>201605</v>
      </c>
      <c r="AL31" s="484">
        <f t="shared" si="24"/>
        <v>201606</v>
      </c>
      <c r="AM31" s="484">
        <f t="shared" si="24"/>
        <v>201607</v>
      </c>
      <c r="AN31" s="484">
        <f t="shared" si="24"/>
        <v>201608</v>
      </c>
      <c r="AO31" s="484">
        <f t="shared" si="24"/>
        <v>201609</v>
      </c>
      <c r="AP31" s="484">
        <f t="shared" si="24"/>
        <v>201610</v>
      </c>
      <c r="AQ31" s="484">
        <f t="shared" si="24"/>
        <v>201611</v>
      </c>
      <c r="AR31" s="484">
        <f t="shared" si="24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201605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:AD42" si="25">U42+1</f>
        <v>201502</v>
      </c>
      <c r="W42" s="484">
        <f t="shared" si="25"/>
        <v>201503</v>
      </c>
      <c r="X42" s="484">
        <f t="shared" si="25"/>
        <v>201504</v>
      </c>
      <c r="Y42" s="484">
        <f t="shared" si="25"/>
        <v>201505</v>
      </c>
      <c r="Z42" s="484">
        <f t="shared" si="25"/>
        <v>201506</v>
      </c>
      <c r="AA42" s="484">
        <f t="shared" si="25"/>
        <v>201507</v>
      </c>
      <c r="AB42" s="484">
        <f t="shared" si="25"/>
        <v>201508</v>
      </c>
      <c r="AC42" s="484">
        <f t="shared" si="25"/>
        <v>201509</v>
      </c>
      <c r="AD42" s="484">
        <f t="shared" si="25"/>
        <v>201510</v>
      </c>
      <c r="AE42" s="484">
        <f>AD42+1</f>
        <v>201511</v>
      </c>
      <c r="AF42" s="484">
        <f t="shared" ref="AF42" si="26">AE42+1</f>
        <v>201512</v>
      </c>
      <c r="AG42" s="484">
        <v>201601</v>
      </c>
      <c r="AH42" s="484">
        <f>AG42+1</f>
        <v>201602</v>
      </c>
      <c r="AI42" s="484">
        <f t="shared" ref="AI42:AR42" si="27">AH42+1</f>
        <v>201603</v>
      </c>
      <c r="AJ42" s="484">
        <f t="shared" si="27"/>
        <v>201604</v>
      </c>
      <c r="AK42" s="484">
        <f t="shared" si="27"/>
        <v>201605</v>
      </c>
      <c r="AL42" s="484">
        <f t="shared" si="27"/>
        <v>201606</v>
      </c>
      <c r="AM42" s="484">
        <f t="shared" si="27"/>
        <v>201607</v>
      </c>
      <c r="AN42" s="484">
        <f t="shared" si="27"/>
        <v>201608</v>
      </c>
      <c r="AO42" s="484">
        <f t="shared" si="27"/>
        <v>201609</v>
      </c>
      <c r="AP42" s="484">
        <f t="shared" si="27"/>
        <v>201610</v>
      </c>
      <c r="AQ42" s="484">
        <f t="shared" si="27"/>
        <v>201611</v>
      </c>
      <c r="AR42" s="484">
        <f t="shared" si="27"/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2198.9256197082468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>
        <v>3.4599999999999999E-2</v>
      </c>
      <c r="AK43" s="488">
        <v>3.4599999999999999E-2</v>
      </c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113802.68454029175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:AR44" si="28">AE49</f>
        <v>-2966848.8846008489</v>
      </c>
      <c r="AG44" s="482">
        <f t="shared" si="28"/>
        <v>-2400830.7877258095</v>
      </c>
      <c r="AH44" s="482">
        <f t="shared" si="28"/>
        <v>-1799942.4443073752</v>
      </c>
      <c r="AI44" s="482">
        <f t="shared" si="28"/>
        <v>-1367080.388300563</v>
      </c>
      <c r="AJ44" s="482">
        <f t="shared" si="28"/>
        <v>-991269.16134300514</v>
      </c>
      <c r="AK44" s="482">
        <f t="shared" si="28"/>
        <v>-820633.96798459429</v>
      </c>
      <c r="AL44" s="482">
        <f t="shared" si="28"/>
        <v>-706831.28344430251</v>
      </c>
      <c r="AM44" s="482">
        <f t="shared" si="28"/>
        <v>-706831.28344430251</v>
      </c>
      <c r="AN44" s="482">
        <f t="shared" si="28"/>
        <v>-706831.28344430251</v>
      </c>
      <c r="AO44" s="482">
        <f t="shared" si="28"/>
        <v>-706831.28344430251</v>
      </c>
      <c r="AP44" s="482">
        <f t="shared" si="28"/>
        <v>-706831.28344430251</v>
      </c>
      <c r="AQ44" s="482">
        <f t="shared" si="28"/>
        <v>-706831.28344430251</v>
      </c>
      <c r="AR44" s="482">
        <f t="shared" si="28"/>
        <v>-706831.28344430251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116001.61016</v>
      </c>
    </row>
    <row r="45" spans="1:51" ht="16.2">
      <c r="B45" s="481" t="s">
        <v>23</v>
      </c>
      <c r="C45" s="482">
        <f>SUM(AG45:AR45)</f>
        <v>1711959.8406199997</v>
      </c>
      <c r="D45" s="494">
        <f>SUM(AE45:AP45)</f>
        <v>2742332.8406199999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29">SUMPRODUCT(AH19:AH27,AH32:AH40)</f>
        <v>437144.93303000001</v>
      </c>
      <c r="AI45" s="482">
        <f t="shared" si="29"/>
        <v>379000.50648999994</v>
      </c>
      <c r="AJ45" s="482">
        <f t="shared" si="29"/>
        <v>173243.59325999999</v>
      </c>
      <c r="AK45" s="482">
        <f t="shared" si="29"/>
        <v>116001.61016</v>
      </c>
      <c r="AL45" s="482">
        <f t="shared" si="29"/>
        <v>0</v>
      </c>
      <c r="AM45" s="482">
        <f t="shared" si="29"/>
        <v>0</v>
      </c>
      <c r="AN45" s="482">
        <f t="shared" si="29"/>
        <v>0</v>
      </c>
      <c r="AO45" s="482">
        <f t="shared" si="29"/>
        <v>0</v>
      </c>
      <c r="AP45" s="482">
        <f t="shared" si="29"/>
        <v>0</v>
      </c>
      <c r="AQ45" s="482">
        <f t="shared" si="29"/>
        <v>0</v>
      </c>
      <c r="AR45" s="482">
        <f t="shared" si="29"/>
        <v>0</v>
      </c>
      <c r="AT45" s="153" t="s">
        <v>156</v>
      </c>
      <c r="AU45" s="209">
        <f>AU43</f>
        <v>191000</v>
      </c>
      <c r="AV45" s="209" t="str">
        <f t="shared" ref="AV45:AW46" si="30">AV43</f>
        <v>GD</v>
      </c>
      <c r="AW45" s="209" t="str">
        <f t="shared" si="30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31">SUM(AG46:AR46)</f>
        <v>-17960.336338492976</v>
      </c>
      <c r="D46" s="494">
        <f t="shared" ref="D46" si="32">SUM(AE46:AP46)</f>
        <v>-33928.127534264131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33">((AG44+AG47)*(AG43/12))+(((AG45+AG48)/2)*(AG43/12))</f>
        <v>-5680.8542615657343</v>
      </c>
      <c r="AH46" s="489">
        <f t="shared" si="33"/>
        <v>-4282.8770231876824</v>
      </c>
      <c r="AI46" s="489">
        <f t="shared" si="33"/>
        <v>-3189.27953244215</v>
      </c>
      <c r="AJ46" s="489">
        <f t="shared" si="33"/>
        <v>-2608.3999015891645</v>
      </c>
      <c r="AK46" s="489">
        <f t="shared" si="33"/>
        <v>-2198.9256197082468</v>
      </c>
      <c r="AL46" s="489">
        <f t="shared" si="33"/>
        <v>0</v>
      </c>
      <c r="AM46" s="489">
        <f t="shared" si="33"/>
        <v>0</v>
      </c>
      <c r="AN46" s="489">
        <f t="shared" si="33"/>
        <v>0</v>
      </c>
      <c r="AO46" s="489">
        <f t="shared" si="33"/>
        <v>0</v>
      </c>
      <c r="AP46" s="489">
        <f t="shared" si="33"/>
        <v>0</v>
      </c>
      <c r="AQ46" s="489">
        <f t="shared" si="33"/>
        <v>0</v>
      </c>
      <c r="AR46" s="489">
        <f t="shared" si="33"/>
        <v>0</v>
      </c>
      <c r="AT46" s="154" t="str">
        <f>AT45</f>
        <v>Large Customer Refund</v>
      </c>
      <c r="AU46" s="561">
        <f>AU44</f>
        <v>805110</v>
      </c>
      <c r="AV46" s="561" t="str">
        <f t="shared" si="30"/>
        <v>GD</v>
      </c>
      <c r="AW46" s="561" t="str">
        <f t="shared" si="30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31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31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1693999.5042815066</v>
      </c>
      <c r="D49" s="541"/>
      <c r="E49" s="541">
        <f>SUM(E44:E48)</f>
        <v>-46035.360287444513</v>
      </c>
      <c r="F49" s="541">
        <f t="shared" ref="F49:H49" si="34">SUM(F44:F48)</f>
        <v>404885.58467682183</v>
      </c>
      <c r="G49" s="541">
        <f t="shared" si="34"/>
        <v>1486369.5928734979</v>
      </c>
      <c r="H49" s="541">
        <f t="shared" si="34"/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R49" si="35">SUM(V44:V48)</f>
        <v>-978605.01769356499</v>
      </c>
      <c r="W49" s="541">
        <f t="shared" si="35"/>
        <v>-801445.32791263924</v>
      </c>
      <c r="X49" s="541">
        <f t="shared" si="35"/>
        <v>-669275.24177190254</v>
      </c>
      <c r="Y49" s="541">
        <f t="shared" si="35"/>
        <v>-610882.24266902648</v>
      </c>
      <c r="Z49" s="541">
        <f t="shared" si="35"/>
        <v>-574943.04011245095</v>
      </c>
      <c r="AA49" s="541">
        <f t="shared" si="35"/>
        <v>-537511.27700320142</v>
      </c>
      <c r="AB49" s="541">
        <f t="shared" si="35"/>
        <v>-503286.03358886426</v>
      </c>
      <c r="AC49" s="541">
        <f t="shared" si="35"/>
        <v>-446057.56644618412</v>
      </c>
      <c r="AD49" s="541">
        <f t="shared" si="35"/>
        <v>-360318.05653003836</v>
      </c>
      <c r="AE49" s="541">
        <f t="shared" si="35"/>
        <v>-2966848.8846008489</v>
      </c>
      <c r="AF49" s="541">
        <f t="shared" si="35"/>
        <v>-2400830.7877258095</v>
      </c>
      <c r="AG49" s="541">
        <f t="shared" si="35"/>
        <v>-1799942.4443073752</v>
      </c>
      <c r="AH49" s="541">
        <f t="shared" si="35"/>
        <v>-1367080.388300563</v>
      </c>
      <c r="AI49" s="541">
        <f t="shared" si="35"/>
        <v>-991269.16134300514</v>
      </c>
      <c r="AJ49" s="541">
        <f t="shared" si="35"/>
        <v>-820633.96798459429</v>
      </c>
      <c r="AK49" s="541">
        <f t="shared" si="35"/>
        <v>-706831.28344430251</v>
      </c>
      <c r="AL49" s="541">
        <f t="shared" si="35"/>
        <v>-706831.28344430251</v>
      </c>
      <c r="AM49" s="541">
        <f t="shared" si="35"/>
        <v>-706831.28344430251</v>
      </c>
      <c r="AN49" s="541">
        <f t="shared" si="35"/>
        <v>-706831.28344430251</v>
      </c>
      <c r="AO49" s="541">
        <f t="shared" si="35"/>
        <v>-706831.28344430251</v>
      </c>
      <c r="AP49" s="541">
        <f t="shared" si="35"/>
        <v>-706831.28344430251</v>
      </c>
      <c r="AQ49" s="541">
        <f t="shared" si="35"/>
        <v>-706831.28344430251</v>
      </c>
      <c r="AR49" s="541">
        <f t="shared" si="35"/>
        <v>-706831.28344430251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36">E49-E50</f>
        <v>-0.22028744451381499</v>
      </c>
      <c r="F51" s="482">
        <f t="shared" si="36"/>
        <v>-0.22532317816512659</v>
      </c>
      <c r="G51" s="482">
        <f t="shared" si="36"/>
        <v>-0.22712650219909847</v>
      </c>
      <c r="H51" s="482">
        <f t="shared" si="36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R51" si="37">V49-V50</f>
        <v>-0.21769356494769454</v>
      </c>
      <c r="W51" s="482">
        <f t="shared" si="37"/>
        <v>-0.21791263925842941</v>
      </c>
      <c r="X51" s="482">
        <f t="shared" si="37"/>
        <v>-0.22177190252114087</v>
      </c>
      <c r="Y51" s="482">
        <f t="shared" si="37"/>
        <v>-0.22266902646515518</v>
      </c>
      <c r="Z51" s="482">
        <f t="shared" si="37"/>
        <v>-0.22011245100293308</v>
      </c>
      <c r="AA51" s="482">
        <f t="shared" si="37"/>
        <v>-0.21700320136733353</v>
      </c>
      <c r="AB51" s="482">
        <f t="shared" si="37"/>
        <v>-0.21358886425150558</v>
      </c>
      <c r="AC51" s="482">
        <f t="shared" si="37"/>
        <v>-0.21644618414575234</v>
      </c>
      <c r="AD51" s="482">
        <f t="shared" si="37"/>
        <v>-0.21653003833489493</v>
      </c>
      <c r="AE51" s="482">
        <f t="shared" si="37"/>
        <v>-0.21460084896534681</v>
      </c>
      <c r="AF51" s="482">
        <f t="shared" si="37"/>
        <v>-0.21772580966353416</v>
      </c>
      <c r="AG51" s="482">
        <f t="shared" si="37"/>
        <v>-0.22430737526156008</v>
      </c>
      <c r="AH51" s="482">
        <f t="shared" si="37"/>
        <v>-0.21830056305043399</v>
      </c>
      <c r="AI51" s="482">
        <f t="shared" si="37"/>
        <v>-0.22134300519246608</v>
      </c>
      <c r="AJ51" s="482">
        <f t="shared" si="37"/>
        <v>-0.2179845942882821</v>
      </c>
      <c r="AK51" s="482">
        <f>AK49-AK50</f>
        <v>-0.21344430255703628</v>
      </c>
      <c r="AL51" s="482">
        <f t="shared" si="37"/>
        <v>-91090.67344430252</v>
      </c>
      <c r="AM51" s="482">
        <f t="shared" si="37"/>
        <v>-91090.67344430252</v>
      </c>
      <c r="AN51" s="482">
        <f t="shared" si="37"/>
        <v>-91090.67344430252</v>
      </c>
      <c r="AO51" s="482">
        <f t="shared" si="37"/>
        <v>-706831.28344430251</v>
      </c>
      <c r="AP51" s="482">
        <f t="shared" si="37"/>
        <v>-706831.28344430251</v>
      </c>
      <c r="AQ51" s="482">
        <f t="shared" si="37"/>
        <v>-706831.28344430251</v>
      </c>
      <c r="AR51" s="482">
        <f t="shared" si="37"/>
        <v>-706831.28344430251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:AD54" si="38">U54+1</f>
        <v>201502</v>
      </c>
      <c r="W54" s="484">
        <f t="shared" si="38"/>
        <v>201503</v>
      </c>
      <c r="X54" s="484">
        <f t="shared" si="38"/>
        <v>201504</v>
      </c>
      <c r="Y54" s="484">
        <f t="shared" si="38"/>
        <v>201505</v>
      </c>
      <c r="Z54" s="484">
        <f t="shared" si="38"/>
        <v>201506</v>
      </c>
      <c r="AA54" s="484">
        <f t="shared" si="38"/>
        <v>201507</v>
      </c>
      <c r="AB54" s="484">
        <f t="shared" si="38"/>
        <v>201508</v>
      </c>
      <c r="AC54" s="484">
        <f t="shared" si="38"/>
        <v>201509</v>
      </c>
      <c r="AD54" s="484">
        <f t="shared" si="38"/>
        <v>201510</v>
      </c>
      <c r="AE54" s="484">
        <f>AD54+1</f>
        <v>201511</v>
      </c>
      <c r="AF54" s="484">
        <f t="shared" ref="AF54" si="39">AE54+1</f>
        <v>201512</v>
      </c>
      <c r="AG54" s="484">
        <v>201601</v>
      </c>
      <c r="AH54" s="484">
        <f>AG54+1</f>
        <v>201602</v>
      </c>
      <c r="AI54" s="484">
        <f t="shared" ref="AI54:AR54" si="40">AH54+1</f>
        <v>201603</v>
      </c>
      <c r="AJ54" s="484">
        <f t="shared" si="40"/>
        <v>201604</v>
      </c>
      <c r="AK54" s="484">
        <f t="shared" si="40"/>
        <v>201605</v>
      </c>
      <c r="AL54" s="484">
        <f t="shared" si="40"/>
        <v>201606</v>
      </c>
      <c r="AM54" s="484">
        <f t="shared" si="40"/>
        <v>201607</v>
      </c>
      <c r="AN54" s="484">
        <f t="shared" si="40"/>
        <v>201608</v>
      </c>
      <c r="AO54" s="484">
        <f t="shared" si="40"/>
        <v>201609</v>
      </c>
      <c r="AP54" s="484">
        <f t="shared" si="40"/>
        <v>201610</v>
      </c>
      <c r="AQ54" s="484">
        <f t="shared" si="40"/>
        <v>201611</v>
      </c>
      <c r="AR54" s="484">
        <f t="shared" si="40"/>
        <v>201612</v>
      </c>
      <c r="AX54" s="563"/>
    </row>
    <row r="55" spans="1:50">
      <c r="A55" s="483"/>
      <c r="B55" s="481" t="s">
        <v>37</v>
      </c>
      <c r="C55" s="491">
        <f>SUM(AG55:AR55)</f>
        <v>55409736</v>
      </c>
      <c r="D55" s="491">
        <f>SUM(AE55:AP55)</f>
        <v>90244565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>
        <f>Mar!$G23</f>
        <v>12238194</v>
      </c>
      <c r="AJ55" s="543">
        <f>Apr!$G23</f>
        <v>5348802</v>
      </c>
      <c r="AK55" s="543">
        <f>May!$G23</f>
        <v>3384728</v>
      </c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41">SUM(AG56:AR56)</f>
        <v>68994</v>
      </c>
      <c r="D56" s="491">
        <f t="shared" ref="D56:D63" si="42">SUM(AE56:AP56)</f>
        <v>80438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>
        <f>Mar!$G24</f>
        <v>18603</v>
      </c>
      <c r="AJ56" s="543">
        <f>Apr!$G24</f>
        <v>12171</v>
      </c>
      <c r="AK56" s="543">
        <f>May!$G24</f>
        <v>5734</v>
      </c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41"/>
        <v>21454629</v>
      </c>
      <c r="D57" s="491">
        <f t="shared" si="42"/>
        <v>33124081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>
        <f>Mar!$G25</f>
        <v>4795258</v>
      </c>
      <c r="AJ57" s="543">
        <f>Apr!$G25</f>
        <v>2668983</v>
      </c>
      <c r="AK57" s="543">
        <f>May!$G25</f>
        <v>2221542</v>
      </c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41"/>
        <v>0</v>
      </c>
      <c r="D58" s="491">
        <f t="shared" si="42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>
        <f>Mar!$G26</f>
        <v>0</v>
      </c>
      <c r="AJ58" s="543">
        <f>Apr!$G26</f>
        <v>0</v>
      </c>
      <c r="AK58" s="543">
        <f>May!$G26</f>
        <v>0</v>
      </c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41"/>
        <v>1655164</v>
      </c>
      <c r="D59" s="491">
        <f t="shared" si="42"/>
        <v>2528342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>
        <f>Mar!$G27</f>
        <v>361566</v>
      </c>
      <c r="AJ59" s="543">
        <f>Apr!$G27</f>
        <v>227877</v>
      </c>
      <c r="AK59" s="543">
        <f>May!$G27</f>
        <v>311290</v>
      </c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41"/>
        <v>307736</v>
      </c>
      <c r="D60" s="491">
        <f t="shared" si="42"/>
        <v>430097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>
        <f>Mar!$G28</f>
        <v>59583</v>
      </c>
      <c r="AJ60" s="543">
        <f>Apr!$G28</f>
        <v>54523</v>
      </c>
      <c r="AK60" s="543">
        <f>May!$G28</f>
        <v>42598</v>
      </c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41"/>
        <v>0</v>
      </c>
      <c r="D61" s="491">
        <f t="shared" si="42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>
        <f>Mar!$G29</f>
        <v>0</v>
      </c>
      <c r="AJ61" s="543">
        <f>Apr!$G29</f>
        <v>0</v>
      </c>
      <c r="AK61" s="543">
        <f>May!$G29</f>
        <v>0</v>
      </c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41"/>
        <v>535753</v>
      </c>
      <c r="D62" s="491">
        <f t="shared" si="42"/>
        <v>661701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>
        <f>Mar!$G30</f>
        <v>89942</v>
      </c>
      <c r="AJ62" s="543">
        <f>Apr!$G30</f>
        <v>82073</v>
      </c>
      <c r="AK62" s="543">
        <f>May!$G30</f>
        <v>57685</v>
      </c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41"/>
        <v>13864802</v>
      </c>
      <c r="D63" s="491">
        <f t="shared" si="42"/>
        <v>20206044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>
        <f>Mar!$G31</f>
        <v>2822744</v>
      </c>
      <c r="AJ63" s="543">
        <f>Apr!$G31</f>
        <v>2379815</v>
      </c>
      <c r="AK63" s="543">
        <f>May!$G31</f>
        <v>2359261</v>
      </c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93296814</v>
      </c>
      <c r="D64" s="542">
        <f t="shared" ref="D64:D65" si="43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:H64" si="44">SUM(G55:G63)</f>
        <v>24248041</v>
      </c>
      <c r="H64" s="542">
        <f t="shared" si="44"/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:AR64" si="45">SUM(V55:V63)</f>
        <v>22001617</v>
      </c>
      <c r="W64" s="542">
        <f t="shared" si="45"/>
        <v>17611817</v>
      </c>
      <c r="X64" s="542">
        <f t="shared" si="45"/>
        <v>14163392</v>
      </c>
      <c r="Y64" s="542">
        <f t="shared" si="45"/>
        <v>7782410</v>
      </c>
      <c r="Z64" s="542">
        <f t="shared" si="45"/>
        <v>5881684</v>
      </c>
      <c r="AA64" s="542">
        <f t="shared" si="45"/>
        <v>5669948</v>
      </c>
      <c r="AB64" s="542">
        <f t="shared" si="45"/>
        <v>5554978</v>
      </c>
      <c r="AC64" s="542">
        <f t="shared" si="45"/>
        <v>7484702</v>
      </c>
      <c r="AD64" s="542">
        <f t="shared" si="45"/>
        <v>10158046</v>
      </c>
      <c r="AE64" s="542">
        <f t="shared" si="45"/>
        <v>24566038</v>
      </c>
      <c r="AF64" s="542">
        <f t="shared" si="45"/>
        <v>29412416</v>
      </c>
      <c r="AG64" s="542">
        <f t="shared" si="45"/>
        <v>30707107</v>
      </c>
      <c r="AH64" s="542">
        <f t="shared" si="45"/>
        <v>23046735</v>
      </c>
      <c r="AI64" s="542">
        <f t="shared" si="45"/>
        <v>20385890</v>
      </c>
      <c r="AJ64" s="542">
        <f t="shared" si="45"/>
        <v>10774244</v>
      </c>
      <c r="AK64" s="542">
        <f t="shared" si="45"/>
        <v>8382838</v>
      </c>
      <c r="AL64" s="542">
        <f t="shared" si="45"/>
        <v>0</v>
      </c>
      <c r="AM64" s="542">
        <f t="shared" si="45"/>
        <v>0</v>
      </c>
      <c r="AN64" s="542">
        <f t="shared" si="45"/>
        <v>0</v>
      </c>
      <c r="AO64" s="542">
        <f t="shared" si="45"/>
        <v>0</v>
      </c>
      <c r="AP64" s="542">
        <f t="shared" si="45"/>
        <v>0</v>
      </c>
      <c r="AQ64" s="542">
        <f t="shared" si="45"/>
        <v>0</v>
      </c>
      <c r="AR64" s="542">
        <f t="shared" si="45"/>
        <v>0</v>
      </c>
    </row>
    <row r="65" spans="1:51" ht="16.2" thickTop="1">
      <c r="A65" s="483"/>
      <c r="B65" s="481" t="s">
        <v>269</v>
      </c>
      <c r="C65" s="491">
        <f>SUM(AG65:AR65)</f>
        <v>93296814</v>
      </c>
      <c r="D65" s="491">
        <f t="shared" si="43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>
        <v>10774244</v>
      </c>
      <c r="AK65" s="491">
        <v>8382838</v>
      </c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:AD67" si="46">U67+1</f>
        <v>201502</v>
      </c>
      <c r="W67" s="484">
        <f t="shared" si="46"/>
        <v>201503</v>
      </c>
      <c r="X67" s="484">
        <f t="shared" si="46"/>
        <v>201504</v>
      </c>
      <c r="Y67" s="484">
        <f t="shared" si="46"/>
        <v>201505</v>
      </c>
      <c r="Z67" s="484">
        <f t="shared" si="46"/>
        <v>201506</v>
      </c>
      <c r="AA67" s="484">
        <f t="shared" si="46"/>
        <v>201507</v>
      </c>
      <c r="AB67" s="484">
        <f t="shared" si="46"/>
        <v>201508</v>
      </c>
      <c r="AC67" s="484">
        <f t="shared" si="46"/>
        <v>201509</v>
      </c>
      <c r="AD67" s="484">
        <f t="shared" si="46"/>
        <v>201510</v>
      </c>
      <c r="AE67" s="484">
        <f>AD67+1</f>
        <v>201511</v>
      </c>
      <c r="AF67" s="484">
        <f t="shared" ref="AF67" si="47">AE67+1</f>
        <v>201512</v>
      </c>
      <c r="AG67" s="484">
        <v>201601</v>
      </c>
      <c r="AH67" s="484">
        <f>AG67+1</f>
        <v>201602</v>
      </c>
      <c r="AI67" s="484">
        <f t="shared" ref="AI67:AR67" si="48">AH67+1</f>
        <v>201603</v>
      </c>
      <c r="AJ67" s="484">
        <f t="shared" si="48"/>
        <v>201604</v>
      </c>
      <c r="AK67" s="484">
        <f t="shared" si="48"/>
        <v>201605</v>
      </c>
      <c r="AL67" s="484">
        <f t="shared" si="48"/>
        <v>201606</v>
      </c>
      <c r="AM67" s="484">
        <f t="shared" si="48"/>
        <v>201607</v>
      </c>
      <c r="AN67" s="484">
        <f t="shared" si="48"/>
        <v>201608</v>
      </c>
      <c r="AO67" s="484">
        <f t="shared" si="48"/>
        <v>201609</v>
      </c>
      <c r="AP67" s="484">
        <f t="shared" si="48"/>
        <v>201610</v>
      </c>
      <c r="AQ67" s="484">
        <f t="shared" si="48"/>
        <v>201611</v>
      </c>
      <c r="AR67" s="484">
        <f t="shared" si="48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201605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830.25022999999999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830.25022999999999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:AD78" si="49">U78+1</f>
        <v>201502</v>
      </c>
      <c r="W78" s="484">
        <f t="shared" si="49"/>
        <v>201503</v>
      </c>
      <c r="X78" s="484">
        <f t="shared" si="49"/>
        <v>201504</v>
      </c>
      <c r="Y78" s="484">
        <f t="shared" si="49"/>
        <v>201505</v>
      </c>
      <c r="Z78" s="484">
        <f t="shared" si="49"/>
        <v>201506</v>
      </c>
      <c r="AA78" s="484">
        <f t="shared" si="49"/>
        <v>201507</v>
      </c>
      <c r="AB78" s="484">
        <f t="shared" si="49"/>
        <v>201508</v>
      </c>
      <c r="AC78" s="484">
        <f t="shared" si="49"/>
        <v>201509</v>
      </c>
      <c r="AD78" s="484">
        <f t="shared" si="49"/>
        <v>201510</v>
      </c>
      <c r="AE78" s="484">
        <f>AD78+1</f>
        <v>201511</v>
      </c>
      <c r="AF78" s="484">
        <f t="shared" ref="AF78" si="50">AE78+1</f>
        <v>201512</v>
      </c>
      <c r="AG78" s="484">
        <v>201601</v>
      </c>
      <c r="AH78" s="484">
        <f>AG78+1</f>
        <v>201602</v>
      </c>
      <c r="AI78" s="484">
        <f t="shared" ref="AI78:AR78" si="51">AH78+1</f>
        <v>201603</v>
      </c>
      <c r="AJ78" s="484">
        <f t="shared" si="51"/>
        <v>201604</v>
      </c>
      <c r="AK78" s="484">
        <f t="shared" si="51"/>
        <v>201605</v>
      </c>
      <c r="AL78" s="484">
        <f t="shared" si="51"/>
        <v>201606</v>
      </c>
      <c r="AM78" s="484">
        <f t="shared" si="51"/>
        <v>201607</v>
      </c>
      <c r="AN78" s="484">
        <f t="shared" si="51"/>
        <v>201608</v>
      </c>
      <c r="AO78" s="484">
        <f t="shared" si="51"/>
        <v>201609</v>
      </c>
      <c r="AP78" s="484">
        <f t="shared" si="51"/>
        <v>201610</v>
      </c>
      <c r="AQ78" s="484">
        <f t="shared" si="51"/>
        <v>201611</v>
      </c>
      <c r="AR78" s="484">
        <f t="shared" si="51"/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52">AF82</f>
        <v>-18146.93566000001</v>
      </c>
      <c r="AH79" s="482">
        <f t="shared" si="52"/>
        <v>-14523.147320000011</v>
      </c>
      <c r="AI79" s="482">
        <f t="shared" si="52"/>
        <v>-11852.264220000012</v>
      </c>
      <c r="AJ79" s="482">
        <f t="shared" si="52"/>
        <v>-9512.6003600000113</v>
      </c>
      <c r="AK79" s="482">
        <f t="shared" si="52"/>
        <v>-8373.7282900000118</v>
      </c>
      <c r="AL79" s="482">
        <f t="shared" si="52"/>
        <v>-7543.4780600000122</v>
      </c>
      <c r="AM79" s="482">
        <f t="shared" si="52"/>
        <v>-7543.4780600000122</v>
      </c>
      <c r="AN79" s="482">
        <f t="shared" si="52"/>
        <v>-7543.4780600000122</v>
      </c>
      <c r="AO79" s="482">
        <f t="shared" si="52"/>
        <v>-7543.4780600000122</v>
      </c>
      <c r="AP79" s="482">
        <f t="shared" si="52"/>
        <v>-7543.4780600000122</v>
      </c>
      <c r="AQ79" s="482">
        <f t="shared" si="52"/>
        <v>-7543.4780600000122</v>
      </c>
      <c r="AR79" s="482">
        <f t="shared" si="52"/>
        <v>-7543.4780600000122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10603.457599999998</v>
      </c>
      <c r="D80" s="494">
        <f>SUM(AE80:AP80)</f>
        <v>15654.457599999998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53">SUMPRODUCT(AH55:AH63,AH68:AH76)</f>
        <v>2670.8831</v>
      </c>
      <c r="AI80" s="563">
        <f t="shared" si="53"/>
        <v>2339.6638599999997</v>
      </c>
      <c r="AJ80" s="563">
        <f t="shared" si="53"/>
        <v>1138.8720699999999</v>
      </c>
      <c r="AK80" s="563">
        <f t="shared" si="53"/>
        <v>830.25022999999999</v>
      </c>
      <c r="AL80" s="563">
        <f t="shared" si="53"/>
        <v>0</v>
      </c>
      <c r="AM80" s="563">
        <f t="shared" si="53"/>
        <v>0</v>
      </c>
      <c r="AN80" s="563">
        <f t="shared" si="53"/>
        <v>0</v>
      </c>
      <c r="AO80" s="563">
        <f t="shared" si="53"/>
        <v>0</v>
      </c>
      <c r="AP80" s="563">
        <f t="shared" si="53"/>
        <v>0</v>
      </c>
      <c r="AQ80" s="563">
        <f t="shared" si="53"/>
        <v>0</v>
      </c>
      <c r="AR80" s="563">
        <f t="shared" si="53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10603.457599999998</v>
      </c>
      <c r="D82" s="541"/>
      <c r="E82" s="541">
        <f t="shared" ref="E82:H82" si="54">SUM(E79:E81)</f>
        <v>38932.729789999998</v>
      </c>
      <c r="F82" s="541">
        <f t="shared" si="54"/>
        <v>8140.2385399999985</v>
      </c>
      <c r="G82" s="541">
        <f t="shared" si="54"/>
        <v>-693.68146000000161</v>
      </c>
      <c r="H82" s="541">
        <f t="shared" si="54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55">SUM(V79:V81)</f>
        <v>-38138.117780000015</v>
      </c>
      <c r="W82" s="541">
        <f t="shared" si="55"/>
        <v>-34282.961340000016</v>
      </c>
      <c r="X82" s="541">
        <f t="shared" si="55"/>
        <v>-31253.873050000017</v>
      </c>
      <c r="Y82" s="541">
        <f t="shared" si="55"/>
        <v>-29770.929110000015</v>
      </c>
      <c r="Z82" s="541">
        <f t="shared" si="55"/>
        <v>-28708.282540000015</v>
      </c>
      <c r="AA82" s="541">
        <f t="shared" si="55"/>
        <v>-27692.487530000013</v>
      </c>
      <c r="AB82" s="541">
        <f t="shared" si="55"/>
        <v>-26711.886850000014</v>
      </c>
      <c r="AC82" s="541">
        <f t="shared" si="55"/>
        <v>-25249.174790000012</v>
      </c>
      <c r="AD82" s="541">
        <f t="shared" si="55"/>
        <v>-23171.93566000001</v>
      </c>
      <c r="AE82" s="541">
        <f t="shared" si="55"/>
        <v>-21380.93566000001</v>
      </c>
      <c r="AF82" s="541">
        <f t="shared" si="55"/>
        <v>-18146.93566000001</v>
      </c>
      <c r="AG82" s="541">
        <f t="shared" si="55"/>
        <v>-14523.147320000011</v>
      </c>
      <c r="AH82" s="541">
        <f t="shared" si="55"/>
        <v>-11852.264220000012</v>
      </c>
      <c r="AI82" s="541">
        <f t="shared" si="55"/>
        <v>-9512.6003600000113</v>
      </c>
      <c r="AJ82" s="541">
        <f t="shared" si="55"/>
        <v>-8373.7282900000118</v>
      </c>
      <c r="AK82" s="541">
        <f t="shared" si="55"/>
        <v>-7543.4780600000122</v>
      </c>
      <c r="AL82" s="541">
        <f t="shared" si="55"/>
        <v>-7543.4780600000122</v>
      </c>
      <c r="AM82" s="541">
        <f t="shared" si="55"/>
        <v>-7543.4780600000122</v>
      </c>
      <c r="AN82" s="541">
        <f t="shared" si="55"/>
        <v>-7543.4780600000122</v>
      </c>
      <c r="AO82" s="541">
        <f t="shared" si="55"/>
        <v>-7543.4780600000122</v>
      </c>
      <c r="AP82" s="541">
        <f t="shared" si="55"/>
        <v>-7543.4780600000122</v>
      </c>
      <c r="AQ82" s="541">
        <f t="shared" si="55"/>
        <v>-7543.4780600000122</v>
      </c>
      <c r="AR82" s="541">
        <f t="shared" si="55"/>
        <v>-7543.4780600000122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56">E82-E83</f>
        <v>-2.1000000560889021E-4</v>
      </c>
      <c r="F84" s="482">
        <f t="shared" si="56"/>
        <v>-1.4600000013160752E-3</v>
      </c>
      <c r="G84" s="482">
        <f t="shared" si="56"/>
        <v>-1.4600000016571357E-3</v>
      </c>
      <c r="H84" s="482">
        <f t="shared" si="56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:AR84" si="57">V82-V83</f>
        <v>1.2219999982335139E-2</v>
      </c>
      <c r="W84" s="482">
        <f t="shared" si="57"/>
        <v>8.6599999849568121E-3</v>
      </c>
      <c r="X84" s="482">
        <f t="shared" si="57"/>
        <v>6.9499999844992999E-3</v>
      </c>
      <c r="Y84" s="482">
        <f t="shared" si="57"/>
        <v>1.0889999983191956E-2</v>
      </c>
      <c r="Z84" s="482">
        <f t="shared" si="57"/>
        <v>7.4599999861675315E-3</v>
      </c>
      <c r="AA84" s="482">
        <f t="shared" si="57"/>
        <v>2.469999988534255E-3</v>
      </c>
      <c r="AB84" s="482">
        <f t="shared" si="57"/>
        <v>3.1499999859079253E-3</v>
      </c>
      <c r="AC84" s="482">
        <f t="shared" si="57"/>
        <v>5.2099999884376302E-3</v>
      </c>
      <c r="AD84" s="482">
        <f t="shared" si="57"/>
        <v>4.339999988587806E-3</v>
      </c>
      <c r="AE84" s="482">
        <f t="shared" si="57"/>
        <v>4.339999988587806E-3</v>
      </c>
      <c r="AF84" s="482">
        <f t="shared" si="57"/>
        <v>4.339999988587806E-3</v>
      </c>
      <c r="AG84" s="482">
        <f t="shared" si="57"/>
        <v>2.6799999886861769E-3</v>
      </c>
      <c r="AH84" s="482">
        <f t="shared" si="57"/>
        <v>5.7799999885901343E-3</v>
      </c>
      <c r="AI84" s="482">
        <f t="shared" si="57"/>
        <v>9.6399999893037602E-3</v>
      </c>
      <c r="AJ84" s="482">
        <f t="shared" si="57"/>
        <v>1.1709999987942865E-2</v>
      </c>
      <c r="AK84" s="482">
        <f t="shared" si="57"/>
        <v>1.1939999987589545E-2</v>
      </c>
      <c r="AL84" s="482">
        <f t="shared" si="57"/>
        <v>-661.3580600000123</v>
      </c>
      <c r="AM84" s="482">
        <f t="shared" si="57"/>
        <v>-661.3580600000123</v>
      </c>
      <c r="AN84" s="482">
        <f t="shared" si="57"/>
        <v>-661.3580600000123</v>
      </c>
      <c r="AO84" s="482">
        <f t="shared" si="57"/>
        <v>-7543.4780600000122</v>
      </c>
      <c r="AP84" s="482">
        <f t="shared" si="57"/>
        <v>-7543.4780600000122</v>
      </c>
      <c r="AQ84" s="482">
        <f t="shared" si="57"/>
        <v>-7543.4780600000122</v>
      </c>
      <c r="AR84" s="482">
        <f t="shared" si="57"/>
        <v>-7543.4780600000122</v>
      </c>
    </row>
  </sheetData>
  <conditionalFormatting sqref="E29 K29:AS29 L65:AS65">
    <cfRule type="cellIs" dxfId="469" priority="25" operator="notEqual">
      <formula>E28</formula>
    </cfRule>
  </conditionalFormatting>
  <conditionalFormatting sqref="F29">
    <cfRule type="cellIs" dxfId="468" priority="24" operator="notEqual">
      <formula>F28</formula>
    </cfRule>
  </conditionalFormatting>
  <conditionalFormatting sqref="G29">
    <cfRule type="cellIs" dxfId="467" priority="23" operator="notEqual">
      <formula>G28</formula>
    </cfRule>
  </conditionalFormatting>
  <conditionalFormatting sqref="H29">
    <cfRule type="cellIs" dxfId="466" priority="22" operator="notEqual">
      <formula>H28</formula>
    </cfRule>
  </conditionalFormatting>
  <conditionalFormatting sqref="G65">
    <cfRule type="cellIs" dxfId="465" priority="19" operator="notEqual">
      <formula>G64</formula>
    </cfRule>
  </conditionalFormatting>
  <conditionalFormatting sqref="H65">
    <cfRule type="cellIs" dxfId="464" priority="18" operator="notEqual">
      <formula>H64</formula>
    </cfRule>
  </conditionalFormatting>
  <conditionalFormatting sqref="E65">
    <cfRule type="cellIs" dxfId="463" priority="21" operator="notEqual">
      <formula>E64</formula>
    </cfRule>
  </conditionalFormatting>
  <conditionalFormatting sqref="F65">
    <cfRule type="cellIs" dxfId="462" priority="20" operator="notEqual">
      <formula>F64</formula>
    </cfRule>
  </conditionalFormatting>
  <conditionalFormatting sqref="AY80 AY47 AY11">
    <cfRule type="cellIs" dxfId="461" priority="17" operator="notEqual">
      <formula>0</formula>
    </cfRule>
  </conditionalFormatting>
  <conditionalFormatting sqref="D65">
    <cfRule type="cellIs" dxfId="460" priority="16" operator="notEqual">
      <formula>D64</formula>
    </cfRule>
  </conditionalFormatting>
  <conditionalFormatting sqref="C65">
    <cfRule type="cellIs" dxfId="459" priority="15" operator="notEqual">
      <formula>C64</formula>
    </cfRule>
  </conditionalFormatting>
  <conditionalFormatting sqref="D29">
    <cfRule type="cellIs" dxfId="458" priority="14" operator="notEqual">
      <formula>D28</formula>
    </cfRule>
  </conditionalFormatting>
  <conditionalFormatting sqref="C29">
    <cfRule type="cellIs" dxfId="457" priority="13" operator="notEqual">
      <formula>C28</formula>
    </cfRule>
  </conditionalFormatting>
  <conditionalFormatting sqref="I29">
    <cfRule type="cellIs" dxfId="456" priority="12" operator="notEqual">
      <formula>I28</formula>
    </cfRule>
  </conditionalFormatting>
  <conditionalFormatting sqref="I65">
    <cfRule type="cellIs" dxfId="455" priority="11" operator="notEqual">
      <formula>I64</formula>
    </cfRule>
  </conditionalFormatting>
  <conditionalFormatting sqref="J29">
    <cfRule type="cellIs" dxfId="454" priority="10" operator="notEqual">
      <formula>J28</formula>
    </cfRule>
  </conditionalFormatting>
  <conditionalFormatting sqref="J65">
    <cfRule type="cellIs" dxfId="453" priority="9" operator="notEqual">
      <formula>J64</formula>
    </cfRule>
  </conditionalFormatting>
  <conditionalFormatting sqref="K65">
    <cfRule type="cellIs" dxfId="452" priority="8" operator="notEqual">
      <formula>K64</formula>
    </cfRule>
  </conditionalFormatting>
  <conditionalFormatting sqref="U29">
    <cfRule type="cellIs" dxfId="451" priority="7" operator="notEqual">
      <formula>U28</formula>
    </cfRule>
  </conditionalFormatting>
  <conditionalFormatting sqref="U65">
    <cfRule type="cellIs" dxfId="450" priority="6" operator="notEqual">
      <formula>U64</formula>
    </cfRule>
  </conditionalFormatting>
  <conditionalFormatting sqref="V29">
    <cfRule type="cellIs" dxfId="449" priority="5" operator="notEqual">
      <formula>V28</formula>
    </cfRule>
  </conditionalFormatting>
  <conditionalFormatting sqref="V65">
    <cfRule type="cellIs" dxfId="448" priority="4" operator="notEqual">
      <formula>V64</formula>
    </cfRule>
  </conditionalFormatting>
  <conditionalFormatting sqref="W65">
    <cfRule type="cellIs" dxfId="447" priority="3" operator="notEqual">
      <formula>W64</formula>
    </cfRule>
  </conditionalFormatting>
  <conditionalFormatting sqref="BG11">
    <cfRule type="cellIs" dxfId="446" priority="2" operator="notEqual">
      <formula>0</formula>
    </cfRule>
  </conditionalFormatting>
  <conditionalFormatting sqref="BN11">
    <cfRule type="cellIs" dxfId="445" priority="1" operator="notEqual">
      <formula>0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I33" sqref="I33"/>
    </sheetView>
  </sheetViews>
  <sheetFormatPr defaultRowHeight="12.6"/>
  <cols>
    <col min="1" max="1" width="17.5546875" bestFit="1" customWidth="1"/>
    <col min="2" max="2" width="7.33203125" bestFit="1" customWidth="1"/>
    <col min="3" max="3" width="4.88671875" bestFit="1" customWidth="1"/>
    <col min="4" max="4" width="16.6640625" bestFit="1" customWidth="1"/>
    <col min="5" max="5" width="12.33203125" bestFit="1" customWidth="1"/>
    <col min="6" max="6" width="9.33203125" bestFit="1" customWidth="1"/>
    <col min="7" max="7" width="7.109375" bestFit="1" customWidth="1"/>
    <col min="8" max="8" width="12.44140625" bestFit="1" customWidth="1"/>
    <col min="9" max="9" width="22.88671875" bestFit="1" customWidth="1"/>
    <col min="10" max="10" width="18.109375" bestFit="1" customWidth="1"/>
    <col min="11" max="11" width="12.44140625" bestFit="1" customWidth="1"/>
    <col min="12" max="12" width="23.5546875" bestFit="1" customWidth="1"/>
    <col min="13" max="13" width="40.44140625" bestFit="1" customWidth="1"/>
    <col min="15" max="15" width="12.88671875" customWidth="1"/>
  </cols>
  <sheetData>
    <row r="1" spans="1:13" ht="14.4">
      <c r="A1" s="504" t="s">
        <v>274</v>
      </c>
      <c r="B1" s="505" t="s">
        <v>275</v>
      </c>
      <c r="C1" s="506" t="s">
        <v>276</v>
      </c>
      <c r="D1" s="507" t="s">
        <v>277</v>
      </c>
      <c r="E1" s="506" t="s">
        <v>278</v>
      </c>
      <c r="F1" s="504" t="s">
        <v>279</v>
      </c>
      <c r="G1" s="504" t="s">
        <v>280</v>
      </c>
      <c r="H1" s="504" t="s">
        <v>281</v>
      </c>
      <c r="I1" s="504" t="s">
        <v>282</v>
      </c>
      <c r="J1" s="504" t="s">
        <v>283</v>
      </c>
      <c r="K1" s="508" t="s">
        <v>284</v>
      </c>
      <c r="L1" s="508" t="s">
        <v>285</v>
      </c>
      <c r="M1" s="506" t="s">
        <v>286</v>
      </c>
    </row>
    <row r="2" spans="1:13" ht="14.4">
      <c r="A2" s="509" t="s">
        <v>287</v>
      </c>
      <c r="B2" s="510"/>
      <c r="C2" s="510"/>
      <c r="D2" s="510"/>
      <c r="E2" s="510"/>
      <c r="F2" s="509">
        <v>1</v>
      </c>
      <c r="G2" s="511" t="str">
        <f>LEFT('WA - Def-Amtz (current)'!AU5,6)</f>
        <v>419600</v>
      </c>
      <c r="H2" s="511" t="str">
        <f>LEFT('WA - Def-Amtz (current)'!AV5,6)</f>
        <v>GD</v>
      </c>
      <c r="I2" s="511" t="str">
        <f>LEFT('WA - Def-Amtz (current)'!AW5,6)</f>
        <v>WA</v>
      </c>
      <c r="J2" s="509" t="s">
        <v>290</v>
      </c>
      <c r="K2" s="512">
        <f>'WA - Def-Amtz (current)'!AX5</f>
        <v>0</v>
      </c>
      <c r="L2" s="512">
        <f>'WA - Def-Amtz (current)'!AY5</f>
        <v>0</v>
      </c>
      <c r="M2" s="532" t="str">
        <f>'WA - Def-Amtz (current)'!AT5</f>
        <v>WA Deferral Interest Income</v>
      </c>
    </row>
    <row r="3" spans="1:13" ht="14.4">
      <c r="A3" s="509" t="s">
        <v>287</v>
      </c>
      <c r="B3" s="510"/>
      <c r="C3" s="510"/>
      <c r="D3" s="510"/>
      <c r="E3" s="510"/>
      <c r="F3" s="509">
        <v>1</v>
      </c>
      <c r="G3" s="511" t="str">
        <f>LEFT('WA - Def-Amtz (current)'!AU6,6)</f>
        <v>431600</v>
      </c>
      <c r="H3" s="511" t="str">
        <f>LEFT('WA - Def-Amtz (current)'!AV6,6)</f>
        <v>GD</v>
      </c>
      <c r="I3" s="511" t="str">
        <f>LEFT('WA - Def-Amtz (current)'!AW6,6)</f>
        <v>WA</v>
      </c>
      <c r="J3" s="509" t="s">
        <v>290</v>
      </c>
      <c r="K3" s="512">
        <f>'WA - Def-Amtz (current)'!AX6</f>
        <v>42685.8</v>
      </c>
      <c r="L3" s="512">
        <f>'WA - Def-Amtz (current)'!AY6</f>
        <v>0</v>
      </c>
      <c r="M3" s="532" t="str">
        <f>'WA - Def-Amtz (current)'!AT6</f>
        <v>WA Deferral Interest Expense</v>
      </c>
    </row>
    <row r="4" spans="1:13" ht="14.4">
      <c r="A4" s="509" t="s">
        <v>287</v>
      </c>
      <c r="B4" s="510"/>
      <c r="C4" s="510"/>
      <c r="D4" s="510"/>
      <c r="E4" s="510"/>
      <c r="F4" s="509">
        <v>1</v>
      </c>
      <c r="G4" s="511" t="str">
        <f>LEFT('WA - Def-Amtz (current)'!AU7,6)</f>
        <v>191010</v>
      </c>
      <c r="H4" s="511" t="str">
        <f>LEFT('WA - Def-Amtz (current)'!AV7,6)</f>
        <v>GD</v>
      </c>
      <c r="I4" s="511" t="str">
        <f>LEFT('WA - Def-Amtz (current)'!AW7,6)</f>
        <v>WA</v>
      </c>
      <c r="J4" s="509" t="s">
        <v>290</v>
      </c>
      <c r="K4" s="512">
        <f>'WA - Def-Amtz (current)'!AX7</f>
        <v>0</v>
      </c>
      <c r="L4" s="512">
        <f>'WA - Def-Amtz (current)'!AY7</f>
        <v>948577.46272400056</v>
      </c>
      <c r="M4" s="532" t="str">
        <f>'WA - Def-Amtz (current)'!AT7</f>
        <v>WA Deferral</v>
      </c>
    </row>
    <row r="5" spans="1:13" ht="14.4">
      <c r="A5" s="509" t="s">
        <v>287</v>
      </c>
      <c r="B5" s="510"/>
      <c r="C5" s="510"/>
      <c r="D5" s="510"/>
      <c r="E5" s="510"/>
      <c r="F5" s="509">
        <v>1</v>
      </c>
      <c r="G5" s="511" t="str">
        <f>LEFT('WA - Def-Amtz (current)'!AU8,6)</f>
        <v>805120</v>
      </c>
      <c r="H5" s="511" t="str">
        <f>LEFT('WA - Def-Amtz (current)'!AV8,6)</f>
        <v>GD</v>
      </c>
      <c r="I5" s="511" t="str">
        <f>LEFT('WA - Def-Amtz (current)'!AW8,6)</f>
        <v>WA</v>
      </c>
      <c r="J5" s="509" t="s">
        <v>290</v>
      </c>
      <c r="K5" s="512">
        <f>'WA - Def-Amtz (current)'!AX8</f>
        <v>905891.66272400052</v>
      </c>
      <c r="L5" s="512">
        <f>'WA - Def-Amtz (current)'!AY8</f>
        <v>0</v>
      </c>
      <c r="M5" s="532" t="str">
        <f>'WA - Def-Amtz (current)'!AT8</f>
        <v>WA Deferral Expense</v>
      </c>
    </row>
    <row r="6" spans="1:13" ht="14.4">
      <c r="A6" s="509" t="s">
        <v>287</v>
      </c>
      <c r="B6" s="510"/>
      <c r="C6" s="510"/>
      <c r="D6" s="510"/>
      <c r="E6" s="510"/>
      <c r="F6" s="509">
        <v>1</v>
      </c>
      <c r="G6" s="511" t="str">
        <f>LEFT('WA - Def-Amtz (current)'!AU42,6)</f>
        <v>431600</v>
      </c>
      <c r="H6" s="511" t="str">
        <f>LEFT('WA - Def-Amtz (current)'!AV42,6)</f>
        <v>GD</v>
      </c>
      <c r="I6" s="511" t="str">
        <f>LEFT('WA - Def-Amtz (current)'!AW42,6)</f>
        <v>WA</v>
      </c>
      <c r="J6" s="509" t="s">
        <v>290</v>
      </c>
      <c r="K6" s="512">
        <f>'WA - Def-Amtz (current)'!AX42</f>
        <v>1681.6633701728074</v>
      </c>
      <c r="L6" s="512">
        <f>'WA - Def-Amtz (current)'!AY42</f>
        <v>0</v>
      </c>
      <c r="M6" s="532" t="str">
        <f>'WA - Def-Amtz (current)'!AT42</f>
        <v>WA Amortization Interest Expense</v>
      </c>
    </row>
    <row r="7" spans="1:13" ht="14.4">
      <c r="A7" s="509" t="s">
        <v>287</v>
      </c>
      <c r="B7" s="510"/>
      <c r="C7" s="510"/>
      <c r="D7" s="510"/>
      <c r="E7" s="510"/>
      <c r="F7" s="509">
        <v>1</v>
      </c>
      <c r="G7" s="511" t="str">
        <f>LEFT('WA - Def-Amtz (current)'!AU43,6)</f>
        <v>191000</v>
      </c>
      <c r="H7" s="511" t="str">
        <f>LEFT('WA - Def-Amtz (current)'!AV43,6)</f>
        <v>GD</v>
      </c>
      <c r="I7" s="511" t="str">
        <f>LEFT('WA - Def-Amtz (current)'!AW43,6)</f>
        <v>WA</v>
      </c>
      <c r="J7" s="509" t="s">
        <v>290</v>
      </c>
      <c r="K7" s="512">
        <f>'WA - Def-Amtz (current)'!AX43</f>
        <v>76659.394099827172</v>
      </c>
      <c r="L7" s="512">
        <f>'WA - Def-Amtz (current)'!AY43</f>
        <v>0</v>
      </c>
      <c r="M7" s="532" t="str">
        <f>'WA - Def-Amtz (current)'!AT43</f>
        <v>WA Amortization</v>
      </c>
    </row>
    <row r="8" spans="1:13" ht="14.4">
      <c r="A8" s="509" t="s">
        <v>287</v>
      </c>
      <c r="B8" s="510"/>
      <c r="C8" s="510"/>
      <c r="D8" s="510"/>
      <c r="E8" s="510"/>
      <c r="F8" s="509">
        <v>1</v>
      </c>
      <c r="G8" s="511" t="str">
        <f>LEFT('WA - Def-Amtz (current)'!AU44,6)</f>
        <v>805110</v>
      </c>
      <c r="H8" s="511" t="str">
        <f>LEFT('WA - Def-Amtz (current)'!AV44,6)</f>
        <v>GD</v>
      </c>
      <c r="I8" s="511" t="str">
        <f>LEFT('WA - Def-Amtz (current)'!AW44,6)</f>
        <v>WA</v>
      </c>
      <c r="J8" s="509" t="s">
        <v>290</v>
      </c>
      <c r="K8" s="512">
        <f>'WA - Def-Amtz (current)'!AX44</f>
        <v>0</v>
      </c>
      <c r="L8" s="512">
        <f>'WA - Def-Amtz (current)'!AY44</f>
        <v>78341.057469999985</v>
      </c>
      <c r="M8" s="532" t="str">
        <f>'WA - Def-Amtz (current)'!AT44</f>
        <v>WA Amortization Expense</v>
      </c>
    </row>
    <row r="9" spans="1:13" ht="14.4">
      <c r="A9" s="509" t="s">
        <v>287</v>
      </c>
      <c r="B9" s="510"/>
      <c r="C9" s="510"/>
      <c r="D9" s="510"/>
      <c r="E9" s="510"/>
      <c r="F9" s="509">
        <v>1</v>
      </c>
      <c r="G9" s="511" t="str">
        <f>LEFT('WA - Def-Amtz (current)'!AU76,6)</f>
        <v>191025</v>
      </c>
      <c r="H9" s="511" t="str">
        <f>LEFT('WA - Def-Amtz (current)'!AV76,6)</f>
        <v>GD</v>
      </c>
      <c r="I9" s="511" t="str">
        <f>LEFT('WA - Def-Amtz (current)'!AW76,6)</f>
        <v>WA</v>
      </c>
      <c r="J9" s="509" t="s">
        <v>290</v>
      </c>
      <c r="K9" s="512">
        <f>'WA - Def-Amtz (current)'!AX76</f>
        <v>578.13290999999992</v>
      </c>
      <c r="L9" s="512">
        <f>'WA - Def-Amtz (current)'!AY76</f>
        <v>0</v>
      </c>
      <c r="M9" s="532" t="str">
        <f>'WA - Def-Amtz (current)'!AT76</f>
        <v>WA Amortization JP</v>
      </c>
    </row>
    <row r="10" spans="1:13" ht="14.4">
      <c r="A10" s="509" t="s">
        <v>287</v>
      </c>
      <c r="B10" s="510"/>
      <c r="C10" s="510"/>
      <c r="D10" s="510"/>
      <c r="E10" s="510"/>
      <c r="F10" s="509">
        <v>1</v>
      </c>
      <c r="G10" s="511" t="str">
        <f>LEFT('WA - Def-Amtz (current)'!AU77,6)</f>
        <v>805110</v>
      </c>
      <c r="H10" s="511" t="str">
        <f>LEFT('WA - Def-Amtz (current)'!AV77,6)</f>
        <v>GD</v>
      </c>
      <c r="I10" s="511" t="str">
        <f>LEFT('WA - Def-Amtz (current)'!AW77,6)</f>
        <v>WA</v>
      </c>
      <c r="J10" s="509" t="s">
        <v>290</v>
      </c>
      <c r="K10" s="512">
        <f>'WA - Def-Amtz (current)'!AX77</f>
        <v>0</v>
      </c>
      <c r="L10" s="512">
        <f>'WA - Def-Amtz (current)'!AY77</f>
        <v>578.13290999999992</v>
      </c>
      <c r="M10" s="532" t="str">
        <f>'WA - Def-Amtz (current)'!AT77</f>
        <v>WA Amortization Expense JP</v>
      </c>
    </row>
    <row r="11" spans="1:13" ht="14.4">
      <c r="A11" s="509"/>
      <c r="B11" s="510"/>
      <c r="C11" s="510"/>
      <c r="D11" s="510"/>
      <c r="E11" s="510"/>
      <c r="F11" s="509"/>
      <c r="G11" s="511"/>
      <c r="H11" s="511"/>
      <c r="I11" s="511"/>
      <c r="J11" s="509"/>
      <c r="K11" s="512"/>
      <c r="L11" s="512"/>
      <c r="M11" s="532"/>
    </row>
    <row r="12" spans="1:13" ht="14.4">
      <c r="A12" s="509"/>
      <c r="B12" s="510"/>
      <c r="C12" s="510"/>
      <c r="D12" s="510"/>
      <c r="E12" s="510"/>
      <c r="F12" s="509"/>
      <c r="G12" s="511"/>
      <c r="H12" s="511"/>
      <c r="I12" s="511"/>
      <c r="J12" s="509"/>
      <c r="K12" s="512"/>
      <c r="L12" s="512"/>
      <c r="M12" s="532"/>
    </row>
    <row r="13" spans="1:13" ht="14.4">
      <c r="A13" s="509" t="s">
        <v>287</v>
      </c>
      <c r="B13" s="510"/>
      <c r="C13" s="510"/>
      <c r="D13" s="510"/>
      <c r="E13" s="510"/>
      <c r="F13" s="509">
        <v>1</v>
      </c>
      <c r="G13" s="511" t="str">
        <f>LEFT('ID - Def-Amtz (current)'!AU5,6)</f>
        <v>419600</v>
      </c>
      <c r="H13" s="511" t="str">
        <f>LEFT('ID - Def-Amtz (current)'!AV5,6)</f>
        <v>GD</v>
      </c>
      <c r="I13" s="511" t="str">
        <f>LEFT('ID - Def-Amtz (current)'!AW5,6)</f>
        <v>ID</v>
      </c>
      <c r="J13" s="509" t="s">
        <v>290</v>
      </c>
      <c r="K13" s="512">
        <f>'ID - Def-Amtz (current)'!AX5</f>
        <v>0</v>
      </c>
      <c r="L13" s="512">
        <f>'ID - Def-Amtz (current)'!AY5</f>
        <v>0</v>
      </c>
      <c r="M13" s="532" t="str">
        <f>'ID - Def-Amtz (current)'!AT5</f>
        <v>ID Deferral Interest Income</v>
      </c>
    </row>
    <row r="14" spans="1:13" ht="14.4">
      <c r="A14" s="509" t="s">
        <v>287</v>
      </c>
      <c r="B14" s="510"/>
      <c r="C14" s="510"/>
      <c r="D14" s="510"/>
      <c r="E14" s="510"/>
      <c r="F14" s="509">
        <v>1</v>
      </c>
      <c r="G14" s="511" t="str">
        <f>LEFT('ID - Def-Amtz (current)'!AU6,6)</f>
        <v>431600</v>
      </c>
      <c r="H14" s="511" t="str">
        <f>LEFT('ID - Def-Amtz (current)'!AV6,6)</f>
        <v>GD</v>
      </c>
      <c r="I14" s="511" t="str">
        <f>LEFT('ID - Def-Amtz (current)'!AW6,6)</f>
        <v>ID</v>
      </c>
      <c r="J14" s="509" t="s">
        <v>290</v>
      </c>
      <c r="K14" s="512">
        <f>'ID - Def-Amtz (current)'!AX6</f>
        <v>6292.64</v>
      </c>
      <c r="L14" s="512">
        <f>'ID - Def-Amtz (current)'!AY6</f>
        <v>0</v>
      </c>
      <c r="M14" s="532" t="str">
        <f>'ID - Def-Amtz (current)'!AT6</f>
        <v>ID Deferral Interest Expense</v>
      </c>
    </row>
    <row r="15" spans="1:13" ht="14.4">
      <c r="A15" s="509" t="s">
        <v>287</v>
      </c>
      <c r="B15" s="510"/>
      <c r="C15" s="510"/>
      <c r="D15" s="510"/>
      <c r="E15" s="510"/>
      <c r="F15" s="509">
        <v>1</v>
      </c>
      <c r="G15" s="511" t="str">
        <f>LEFT('ID - Def-Amtz (current)'!AU7,6)</f>
        <v>191010</v>
      </c>
      <c r="H15" s="511" t="str">
        <f>LEFT('ID - Def-Amtz (current)'!AV7,6)</f>
        <v>GD</v>
      </c>
      <c r="I15" s="511" t="str">
        <f>LEFT('ID - Def-Amtz (current)'!AW7,6)</f>
        <v>ID</v>
      </c>
      <c r="J15" s="509" t="s">
        <v>290</v>
      </c>
      <c r="K15" s="512">
        <f>'ID - Def-Amtz (current)'!AX7</f>
        <v>0</v>
      </c>
      <c r="L15" s="512">
        <f>'ID - Def-Amtz (current)'!AY7</f>
        <v>659182.73068600032</v>
      </c>
      <c r="M15" s="532" t="str">
        <f>'ID - Def-Amtz (current)'!AT7</f>
        <v>ID Deferral</v>
      </c>
    </row>
    <row r="16" spans="1:13" ht="14.4">
      <c r="A16" s="509" t="s">
        <v>287</v>
      </c>
      <c r="B16" s="510"/>
      <c r="C16" s="510"/>
      <c r="D16" s="510"/>
      <c r="E16" s="510"/>
      <c r="F16" s="509">
        <v>1</v>
      </c>
      <c r="G16" s="511" t="str">
        <f>LEFT('ID - Def-Amtz (current)'!AU8,6)</f>
        <v>805120</v>
      </c>
      <c r="H16" s="511" t="str">
        <f>LEFT('ID - Def-Amtz (current)'!AV8,6)</f>
        <v>GD</v>
      </c>
      <c r="I16" s="511" t="str">
        <f>LEFT('ID - Def-Amtz (current)'!AW8,6)</f>
        <v>ID</v>
      </c>
      <c r="J16" s="509" t="s">
        <v>290</v>
      </c>
      <c r="K16" s="512">
        <f>'ID - Def-Amtz (current)'!AX8</f>
        <v>652890.0906860003</v>
      </c>
      <c r="L16" s="512">
        <f>'ID - Def-Amtz (current)'!AY8</f>
        <v>0</v>
      </c>
      <c r="M16" s="532" t="str">
        <f>'ID - Def-Amtz (current)'!AT8</f>
        <v>ID Deferral Expense</v>
      </c>
    </row>
    <row r="17" spans="1:13" ht="14.4">
      <c r="A17" s="509" t="s">
        <v>287</v>
      </c>
      <c r="B17" s="510"/>
      <c r="C17" s="510"/>
      <c r="D17" s="510"/>
      <c r="E17" s="510"/>
      <c r="F17" s="509">
        <v>1</v>
      </c>
      <c r="G17" s="511" t="str">
        <f>LEFT('ID - Def-Amtz (current)'!AU42,6)</f>
        <v>419600</v>
      </c>
      <c r="H17" s="511" t="str">
        <f>LEFT('ID - Def-Amtz (current)'!AV42,6)</f>
        <v>GD</v>
      </c>
      <c r="I17" s="511" t="str">
        <f>LEFT('ID - Def-Amtz (current)'!AW42,6)</f>
        <v>ID</v>
      </c>
      <c r="J17" s="509" t="s">
        <v>290</v>
      </c>
      <c r="K17" s="512">
        <f>'ID - Def-Amtz (current)'!AX42</f>
        <v>0</v>
      </c>
      <c r="L17" s="512">
        <f>'ID - Def-Amtz (current)'!AY42</f>
        <v>0</v>
      </c>
      <c r="M17" s="532" t="str">
        <f>'ID - Def-Amtz (current)'!AT42</f>
        <v>ID Amortization Interest Income</v>
      </c>
    </row>
    <row r="18" spans="1:13" ht="14.4">
      <c r="A18" s="509" t="s">
        <v>287</v>
      </c>
      <c r="B18" s="510"/>
      <c r="C18" s="510"/>
      <c r="D18" s="510"/>
      <c r="E18" s="510"/>
      <c r="F18" s="509">
        <v>1</v>
      </c>
      <c r="G18" s="511" t="str">
        <f>LEFT('ID - Def-Amtz (current)'!AU43,6)</f>
        <v>431600</v>
      </c>
      <c r="H18" s="511" t="str">
        <f>LEFT('ID - Def-Amtz (current)'!AV43,6)</f>
        <v>GD</v>
      </c>
      <c r="I18" s="511" t="str">
        <f>LEFT('ID - Def-Amtz (current)'!AW43,6)</f>
        <v>ID</v>
      </c>
      <c r="J18" s="509" t="s">
        <v>290</v>
      </c>
      <c r="K18" s="512">
        <f>'ID - Def-Amtz (current)'!AX43</f>
        <v>169.05950031147412</v>
      </c>
      <c r="L18" s="512">
        <f>'ID - Def-Amtz (current)'!AY43</f>
        <v>0</v>
      </c>
      <c r="M18" s="532" t="str">
        <f>'ID - Def-Amtz (current)'!AT43</f>
        <v>ID Amortization Interest Expense</v>
      </c>
    </row>
    <row r="19" spans="1:13" ht="14.4">
      <c r="A19" s="509" t="s">
        <v>287</v>
      </c>
      <c r="B19" s="510"/>
      <c r="C19" s="510"/>
      <c r="D19" s="510"/>
      <c r="E19" s="510"/>
      <c r="F19" s="509">
        <v>1</v>
      </c>
      <c r="G19" s="511" t="str">
        <f>LEFT('ID - Def-Amtz (current)'!AU44,6)</f>
        <v>191000</v>
      </c>
      <c r="H19" s="511" t="str">
        <f>LEFT('ID - Def-Amtz (current)'!AV44,6)</f>
        <v>GD</v>
      </c>
      <c r="I19" s="511" t="str">
        <f>LEFT('ID - Def-Amtz (current)'!AW44,6)</f>
        <v>ID</v>
      </c>
      <c r="J19" s="509" t="s">
        <v>290</v>
      </c>
      <c r="K19" s="512">
        <f>'ID - Def-Amtz (current)'!AX44</f>
        <v>61743.538719688528</v>
      </c>
      <c r="L19" s="512">
        <f>'ID - Def-Amtz (current)'!AY44</f>
        <v>0</v>
      </c>
      <c r="M19" s="532" t="str">
        <f>'ID - Def-Amtz (current)'!AT44</f>
        <v>ID Amortization</v>
      </c>
    </row>
    <row r="20" spans="1:13" ht="14.4">
      <c r="A20" s="509" t="s">
        <v>287</v>
      </c>
      <c r="B20" s="510"/>
      <c r="C20" s="510"/>
      <c r="D20" s="510"/>
      <c r="E20" s="510"/>
      <c r="F20" s="509">
        <v>1</v>
      </c>
      <c r="G20" s="511" t="str">
        <f>LEFT('ID - Def-Amtz (current)'!AU45,6)</f>
        <v>805110</v>
      </c>
      <c r="H20" s="511" t="str">
        <f>LEFT('ID - Def-Amtz (current)'!AV45,6)</f>
        <v>GD</v>
      </c>
      <c r="I20" s="511" t="str">
        <f>LEFT('ID - Def-Amtz (current)'!AW45,6)</f>
        <v>ID</v>
      </c>
      <c r="J20" s="509" t="s">
        <v>290</v>
      </c>
      <c r="K20" s="512">
        <f>'ID - Def-Amtz (current)'!AX45</f>
        <v>0</v>
      </c>
      <c r="L20" s="512">
        <f>'ID - Def-Amtz (current)'!AY45</f>
        <v>61912.59822</v>
      </c>
      <c r="M20" s="532" t="str">
        <f>'ID - Def-Amtz (current)'!AT45</f>
        <v>ID Amortization Expense</v>
      </c>
    </row>
    <row r="21" spans="1:13" ht="14.4">
      <c r="A21" s="509"/>
      <c r="B21" s="510"/>
      <c r="C21" s="510"/>
      <c r="D21" s="510"/>
      <c r="E21" s="510"/>
      <c r="F21" s="509"/>
      <c r="G21" s="511"/>
      <c r="H21" s="511"/>
      <c r="I21" s="511"/>
      <c r="J21" s="509"/>
      <c r="K21" s="512"/>
      <c r="L21" s="512"/>
      <c r="M21" s="532"/>
    </row>
    <row r="22" spans="1:13" ht="14.4">
      <c r="A22" s="509"/>
      <c r="B22" s="510"/>
      <c r="C22" s="510"/>
      <c r="D22" s="510"/>
      <c r="E22" s="510"/>
      <c r="F22" s="509"/>
      <c r="G22" s="511"/>
      <c r="H22" s="511"/>
      <c r="I22" s="511"/>
      <c r="J22" s="509"/>
      <c r="K22" s="512"/>
      <c r="L22" s="512"/>
      <c r="M22" s="532"/>
    </row>
    <row r="23" spans="1:13" s="549" customFormat="1" ht="14.4">
      <c r="A23" s="509"/>
      <c r="B23" s="510"/>
      <c r="C23" s="510"/>
      <c r="D23" s="510"/>
      <c r="E23" s="510"/>
      <c r="F23" s="509"/>
      <c r="G23" s="511"/>
      <c r="H23" s="511"/>
      <c r="I23" s="511"/>
      <c r="J23" s="509"/>
      <c r="K23" s="512"/>
      <c r="L23" s="512"/>
      <c r="M23" s="562"/>
    </row>
    <row r="24" spans="1:13" s="549" customFormat="1" ht="14.4">
      <c r="A24" s="509"/>
      <c r="B24" s="510"/>
      <c r="C24" s="510"/>
      <c r="D24" s="510"/>
      <c r="E24" s="510"/>
      <c r="F24" s="509"/>
      <c r="G24" s="511"/>
      <c r="H24" s="511"/>
      <c r="I24" s="511"/>
      <c r="J24" s="509"/>
      <c r="K24" s="512"/>
      <c r="L24" s="512"/>
      <c r="M24" s="562"/>
    </row>
    <row r="25" spans="1:13" ht="14.4">
      <c r="A25" s="509" t="s">
        <v>287</v>
      </c>
      <c r="B25" s="510"/>
      <c r="C25" s="510"/>
      <c r="D25" s="510"/>
      <c r="E25" s="510"/>
      <c r="F25" s="509">
        <v>1</v>
      </c>
      <c r="G25" s="511" t="str">
        <f>LEFT('ID - Def-Amtz (current)'!AU75,6)</f>
        <v>419600</v>
      </c>
      <c r="H25" s="511" t="str">
        <f>LEFT('ID - Def-Amtz (current)'!AV75,6)</f>
        <v>GD</v>
      </c>
      <c r="I25" s="511" t="str">
        <f>LEFT('ID - Def-Amtz (current)'!AW75,6)</f>
        <v>ID</v>
      </c>
      <c r="J25" s="509" t="s">
        <v>290</v>
      </c>
      <c r="K25" s="512">
        <f>'ID - Def-Amtz (current)'!AX75</f>
        <v>0</v>
      </c>
      <c r="L25" s="512">
        <f>'ID - Def-Amtz (current)'!AY75</f>
        <v>0</v>
      </c>
      <c r="M25" s="532" t="str">
        <f>'ID - Def-Amtz (current)'!AT75</f>
        <v>ID Amortization Interest Income</v>
      </c>
    </row>
    <row r="26" spans="1:13" ht="14.4">
      <c r="A26" s="509" t="s">
        <v>287</v>
      </c>
      <c r="B26" s="510"/>
      <c r="C26" s="510"/>
      <c r="D26" s="510"/>
      <c r="E26" s="510"/>
      <c r="F26" s="509">
        <v>1</v>
      </c>
      <c r="G26" s="511" t="str">
        <f>LEFT('ID - Def-Amtz (current)'!AU76,6)</f>
        <v>431600</v>
      </c>
      <c r="H26" s="511" t="str">
        <f>LEFT('ID - Def-Amtz (current)'!AV76,6)</f>
        <v>GD</v>
      </c>
      <c r="I26" s="511" t="str">
        <f>LEFT('ID - Def-Amtz (current)'!AW76,6)</f>
        <v>ID</v>
      </c>
      <c r="J26" s="509" t="s">
        <v>290</v>
      </c>
      <c r="K26" s="512">
        <f>'ID - Def-Amtz (current)'!AX76</f>
        <v>10.051013107230158</v>
      </c>
      <c r="L26" s="512">
        <f>'ID - Def-Amtz (current)'!AY76</f>
        <v>0</v>
      </c>
      <c r="M26" s="532" t="str">
        <f>'ID - Def-Amtz (current)'!AT76</f>
        <v>ID Amortization Interest Expense</v>
      </c>
    </row>
    <row r="27" spans="1:13" ht="14.4">
      <c r="A27" s="509" t="s">
        <v>287</v>
      </c>
      <c r="B27" s="510"/>
      <c r="C27" s="510"/>
      <c r="D27" s="510"/>
      <c r="E27" s="510"/>
      <c r="F27" s="509">
        <v>1</v>
      </c>
      <c r="G27" s="511" t="str">
        <f>LEFT('ID - Def-Amtz (current)'!AU77,6)</f>
        <v>191015</v>
      </c>
      <c r="H27" s="511" t="str">
        <f>LEFT('ID - Def-Amtz (current)'!AV77,6)</f>
        <v>GD</v>
      </c>
      <c r="I27" s="511" t="str">
        <f>LEFT('ID - Def-Amtz (current)'!AW77,6)</f>
        <v>ID</v>
      </c>
      <c r="J27" s="509" t="s">
        <v>290</v>
      </c>
      <c r="K27" s="512">
        <f>'ID - Def-Amtz (current)'!AX77</f>
        <v>0</v>
      </c>
      <c r="L27" s="512">
        <f>'ID - Def-Amtz (current)'!AY77</f>
        <v>10.051013107230158</v>
      </c>
      <c r="M27" s="532" t="str">
        <f>'ID - Def-Amtz (current)'!AT77</f>
        <v>ID Amortization HB</v>
      </c>
    </row>
    <row r="28" spans="1:13" ht="14.4">
      <c r="A28" s="509" t="s">
        <v>287</v>
      </c>
      <c r="B28" s="510"/>
      <c r="C28" s="510"/>
      <c r="D28" s="510"/>
      <c r="E28" s="510"/>
      <c r="F28" s="509">
        <v>1</v>
      </c>
      <c r="G28" s="511" t="str">
        <f>LEFT('ID - Def-Amtz (current)'!AU78,6)</f>
        <v>805111</v>
      </c>
      <c r="H28" s="511" t="str">
        <f>LEFT('ID - Def-Amtz (current)'!AV78,6)</f>
        <v>GD</v>
      </c>
      <c r="I28" s="511" t="str">
        <f>LEFT('ID - Def-Amtz (current)'!AW78,6)</f>
        <v>ID</v>
      </c>
      <c r="J28" s="509" t="s">
        <v>290</v>
      </c>
      <c r="K28" s="512">
        <f>'ID - Def-Amtz (current)'!AX78</f>
        <v>0</v>
      </c>
      <c r="L28" s="512">
        <f>'ID - Def-Amtz (current)'!AY78</f>
        <v>0</v>
      </c>
      <c r="M28" s="532" t="str">
        <f>'ID - Def-Amtz (current)'!AT78</f>
        <v>ID Amortization Expense HB</v>
      </c>
    </row>
    <row r="29" spans="1:13" ht="14.4">
      <c r="A29" s="509" t="s">
        <v>287</v>
      </c>
      <c r="B29" s="510"/>
      <c r="C29" s="510"/>
      <c r="D29" s="510"/>
      <c r="E29" s="510"/>
      <c r="F29" s="509">
        <v>1</v>
      </c>
      <c r="G29" s="511" t="str">
        <f>LEFT('ID - Def-Amtz (current)'!AU79,6)</f>
        <v>191015</v>
      </c>
      <c r="H29" s="511" t="str">
        <f>LEFT('ID - Def-Amtz (current)'!AV79,6)</f>
        <v>GD</v>
      </c>
      <c r="I29" s="511" t="str">
        <f>LEFT('ID - Def-Amtz (current)'!AW79,6)</f>
        <v>ID</v>
      </c>
      <c r="J29" s="509" t="s">
        <v>290</v>
      </c>
      <c r="K29" s="512">
        <f>'ID - Def-Amtz (current)'!AX79</f>
        <v>0</v>
      </c>
      <c r="L29" s="512">
        <f>'ID - Def-Amtz (current)'!AY79</f>
        <v>0</v>
      </c>
      <c r="M29" s="532" t="str">
        <f>'ID - Def-Amtz (current)'!AT79</f>
        <v>Adjustment from Jan2015</v>
      </c>
    </row>
    <row r="30" spans="1:13" ht="14.4">
      <c r="A30" s="509" t="s">
        <v>287</v>
      </c>
      <c r="B30" s="510"/>
      <c r="C30" s="510"/>
      <c r="D30" s="510"/>
      <c r="E30" s="510"/>
      <c r="F30" s="509">
        <v>1</v>
      </c>
      <c r="G30" s="511" t="str">
        <f>LEFT('ID - Def-Amtz (current)'!AU80,6)</f>
        <v>431600</v>
      </c>
      <c r="H30" s="511" t="str">
        <f>LEFT('ID - Def-Amtz (current)'!AV80,6)</f>
        <v>GD</v>
      </c>
      <c r="I30" s="511" t="str">
        <f>LEFT('ID - Def-Amtz (current)'!AW80,6)</f>
        <v>ID</v>
      </c>
      <c r="J30" s="509" t="s">
        <v>290</v>
      </c>
      <c r="K30" s="512">
        <f>'ID - Def-Amtz (current)'!AX80</f>
        <v>0</v>
      </c>
      <c r="L30" s="512">
        <f>'ID - Def-Amtz (current)'!AY80</f>
        <v>0</v>
      </c>
      <c r="M30" s="532" t="str">
        <f>'ID - Def-Amtz (current)'!AT80</f>
        <v>Adjustment from Jan2015</v>
      </c>
    </row>
    <row r="31" spans="1:13" ht="14.4">
      <c r="A31" s="509"/>
      <c r="B31" s="510"/>
      <c r="C31" s="510"/>
      <c r="D31" s="510"/>
      <c r="E31" s="510"/>
      <c r="F31" s="509"/>
      <c r="G31" s="511"/>
      <c r="H31" s="511"/>
      <c r="I31" s="511"/>
      <c r="J31" s="509"/>
    </row>
    <row r="32" spans="1:13">
      <c r="K32">
        <f>SUM(K2:K31)</f>
        <v>1748602.033023108</v>
      </c>
      <c r="L32">
        <f>SUM(L2:L31)</f>
        <v>1748602.033023108</v>
      </c>
    </row>
  </sheetData>
  <pageMargins left="0.7" right="0.7" top="0.75" bottom="0.75" header="0.3" footer="0.3"/>
  <pageSetup scale="61" orientation="landscape" r:id="rId1"/>
  <customProperties>
    <customPr name="xxe4aP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J93"/>
  <sheetViews>
    <sheetView zoomScale="85" zoomScaleNormal="85" zoomScaleSheetLayoutView="85" workbookViewId="0">
      <selection activeCell="AH29" sqref="AH29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7" width="16.33203125" style="482" customWidth="1"/>
    <col min="38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53" width="9.109375" style="482"/>
    <col min="54" max="54" width="34.5546875" style="482" customWidth="1"/>
    <col min="55" max="55" width="8.33203125" style="482" bestFit="1" customWidth="1"/>
    <col min="56" max="56" width="4.33203125" style="482" bestFit="1" customWidth="1"/>
    <col min="57" max="57" width="3.33203125" style="482" bestFit="1" customWidth="1"/>
    <col min="58" max="59" width="11.6640625" style="482" bestFit="1" customWidth="1"/>
    <col min="60" max="60" width="9.109375" style="482"/>
    <col min="61" max="61" width="14.109375" style="482" bestFit="1" customWidth="1"/>
    <col min="62" max="16384" width="9.109375" style="482"/>
  </cols>
  <sheetData>
    <row r="1" spans="1:62">
      <c r="A1" s="480" t="s">
        <v>265</v>
      </c>
      <c r="AT1" s="480" t="s">
        <v>315</v>
      </c>
    </row>
    <row r="2" spans="1:62">
      <c r="A2" s="483" t="s">
        <v>267</v>
      </c>
    </row>
    <row r="3" spans="1:62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F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 t="shared" si="0"/>
        <v>201511</v>
      </c>
      <c r="AF3" s="484">
        <f t="shared" si="0"/>
        <v>201512</v>
      </c>
      <c r="AG3" s="484">
        <v>201601</v>
      </c>
      <c r="AH3" s="484">
        <f>AG3+1</f>
        <v>201602</v>
      </c>
      <c r="AI3" s="484">
        <f t="shared" ref="AI3:AR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 t="shared" si="1"/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 t="shared" si="1"/>
        <v>201612</v>
      </c>
      <c r="AT3" s="483" t="s">
        <v>337</v>
      </c>
      <c r="AU3" s="484"/>
      <c r="BB3" s="483" t="s">
        <v>338</v>
      </c>
      <c r="BI3" s="483" t="s">
        <v>339</v>
      </c>
    </row>
    <row r="4" spans="1:62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201605</v>
      </c>
      <c r="AU4" s="526"/>
      <c r="AV4" s="514"/>
      <c r="AW4" s="514"/>
      <c r="AX4" s="514"/>
      <c r="AY4" s="515"/>
      <c r="BB4" s="544">
        <v>201605</v>
      </c>
      <c r="BC4" s="526"/>
      <c r="BD4" s="514"/>
      <c r="BE4" s="514"/>
      <c r="BF4" s="514"/>
      <c r="BG4" s="515"/>
      <c r="BI4" s="586">
        <v>201605</v>
      </c>
      <c r="BJ4" s="587"/>
    </row>
    <row r="5" spans="1:62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:AR5" si="2">AE13</f>
        <v>-2684344.9824949973</v>
      </c>
      <c r="AG5" s="482">
        <f t="shared" si="2"/>
        <v>-3634681.6735539967</v>
      </c>
      <c r="AH5" s="482">
        <f t="shared" si="2"/>
        <v>-4349728.1832369966</v>
      </c>
      <c r="AI5" s="482">
        <f t="shared" si="2"/>
        <v>-4647235.483478996</v>
      </c>
      <c r="AJ5" s="482">
        <f t="shared" si="2"/>
        <v>-5147221.2688729959</v>
      </c>
      <c r="AK5" s="482">
        <f t="shared" si="2"/>
        <v>-6002096.6110229967</v>
      </c>
      <c r="AL5" s="482">
        <f t="shared" si="2"/>
        <v>-6406273.944958997</v>
      </c>
      <c r="AM5" s="482">
        <f t="shared" si="2"/>
        <v>-7224717.6167209959</v>
      </c>
      <c r="AN5" s="482">
        <f t="shared" si="2"/>
        <v>-7883900.3474069955</v>
      </c>
      <c r="AO5" s="482">
        <f t="shared" si="2"/>
        <v>-7979481.4255209956</v>
      </c>
      <c r="AP5" s="482">
        <f t="shared" si="2"/>
        <v>-8279679.969798997</v>
      </c>
      <c r="AQ5" s="482">
        <f t="shared" si="2"/>
        <v>-8418811.6904279981</v>
      </c>
      <c r="AR5" s="482">
        <f t="shared" si="2"/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  <c r="BB5" s="497" t="s">
        <v>304</v>
      </c>
      <c r="BC5" s="527">
        <v>419600</v>
      </c>
      <c r="BD5" s="498" t="s">
        <v>288</v>
      </c>
      <c r="BE5" s="498" t="s">
        <v>291</v>
      </c>
      <c r="BF5" s="519">
        <v>0</v>
      </c>
      <c r="BG5" s="520">
        <v>0</v>
      </c>
      <c r="BI5" s="588">
        <f>BG5+BH5</f>
        <v>0</v>
      </c>
      <c r="BJ5" s="515"/>
    </row>
    <row r="6" spans="1:62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5168</v>
      </c>
      <c r="AY6" s="500">
        <v>0</v>
      </c>
      <c r="BB6" s="499" t="s">
        <v>305</v>
      </c>
      <c r="BC6" s="528">
        <v>431600</v>
      </c>
      <c r="BD6" s="358" t="s">
        <v>288</v>
      </c>
      <c r="BE6" s="358" t="s">
        <v>291</v>
      </c>
      <c r="BF6" s="381">
        <v>4990.1899999999996</v>
      </c>
      <c r="BG6" s="500">
        <v>0</v>
      </c>
      <c r="BI6" s="589">
        <f>AX6-BF6</f>
        <v>177.8100000000004</v>
      </c>
      <c r="BJ6" s="500" t="s">
        <v>340</v>
      </c>
    </row>
    <row r="7" spans="1:62" ht="16.2">
      <c r="B7" s="481" t="s">
        <v>255</v>
      </c>
      <c r="C7" s="482">
        <f t="shared" ref="C7:C12" si="3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404177.33393600065</v>
      </c>
      <c r="BB7" s="499" t="s">
        <v>306</v>
      </c>
      <c r="BC7" s="528">
        <v>191010</v>
      </c>
      <c r="BD7" s="358" t="s">
        <v>288</v>
      </c>
      <c r="BE7" s="358" t="s">
        <v>291</v>
      </c>
      <c r="BF7" s="381">
        <v>22749.776901999492</v>
      </c>
      <c r="BG7" s="500">
        <v>0</v>
      </c>
      <c r="BI7" s="589">
        <f>BF7+AY7</f>
        <v>426927.11083800014</v>
      </c>
      <c r="BJ7" s="500" t="s">
        <v>341</v>
      </c>
    </row>
    <row r="8" spans="1:62" ht="16.2">
      <c r="B8" s="481" t="s">
        <v>258</v>
      </c>
      <c r="C8" s="482">
        <f t="shared" si="3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4">ROUND(((AG5+AG9+AG10+AG11)*(AG4/12))+((SUM(AG6:AG7)/2)*(AG4/12)),2)</f>
        <v>-3325.45</v>
      </c>
      <c r="AH8" s="489">
        <f t="shared" si="4"/>
        <v>-3747.17</v>
      </c>
      <c r="AI8" s="489">
        <f t="shared" si="4"/>
        <v>-4079.32</v>
      </c>
      <c r="AJ8" s="489">
        <f t="shared" si="4"/>
        <v>-4643.6099999999997</v>
      </c>
      <c r="AK8" s="489">
        <f t="shared" si="4"/>
        <v>-5168</v>
      </c>
      <c r="AL8" s="489">
        <f t="shared" si="4"/>
        <v>-5677.21</v>
      </c>
      <c r="AM8" s="489">
        <f t="shared" si="4"/>
        <v>-6292.64</v>
      </c>
      <c r="AN8" s="489">
        <f t="shared" si="4"/>
        <v>-6606.99</v>
      </c>
      <c r="AO8" s="489">
        <f t="shared" si="4"/>
        <v>-6771.83</v>
      </c>
      <c r="AP8" s="489">
        <f t="shared" si="4"/>
        <v>-6954.81</v>
      </c>
      <c r="AQ8" s="489">
        <f t="shared" si="4"/>
        <v>-7281.77</v>
      </c>
      <c r="AR8" s="489">
        <f t="shared" si="4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399009.33393600065</v>
      </c>
      <c r="AY8" s="462">
        <f>IF((SUMIF(U3:AR3,AT4,U6:AR6)+SUMIF(U3:AR3,AT4,U7:AR7))&gt;0,(SUMIF(U3:AR3,AT4,U6:AR6)+SUMIF(U3:AR3,AT4,U7:AR7)),0)</f>
        <v>0</v>
      </c>
      <c r="BB8" s="499" t="s">
        <v>307</v>
      </c>
      <c r="BC8" s="209">
        <v>805120</v>
      </c>
      <c r="BD8" s="7" t="s">
        <v>288</v>
      </c>
      <c r="BE8" s="7" t="s">
        <v>291</v>
      </c>
      <c r="BF8" s="472">
        <v>0</v>
      </c>
      <c r="BG8" s="462">
        <v>27739.966901999491</v>
      </c>
      <c r="BI8" s="589">
        <f>BG8+AX8</f>
        <v>426749.30083800014</v>
      </c>
      <c r="BJ8" s="500" t="s">
        <v>340</v>
      </c>
    </row>
    <row r="9" spans="1:62" ht="16.2">
      <c r="B9" s="481" t="s">
        <v>262</v>
      </c>
      <c r="C9" s="482">
        <f t="shared" si="3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  <c r="BB9" s="499" t="s">
        <v>11</v>
      </c>
      <c r="BC9" s="209">
        <v>191010</v>
      </c>
      <c r="BD9" s="7" t="s">
        <v>288</v>
      </c>
      <c r="BE9" s="7" t="s">
        <v>291</v>
      </c>
      <c r="BF9" s="472">
        <v>0</v>
      </c>
      <c r="BG9" s="462">
        <v>0</v>
      </c>
      <c r="BI9" s="589">
        <f t="shared" ref="BI9:BI10" si="5">BG9+BH9</f>
        <v>0</v>
      </c>
      <c r="BJ9" s="585"/>
    </row>
    <row r="10" spans="1:62" ht="16.8" thickBot="1">
      <c r="B10" s="481" t="s">
        <v>263</v>
      </c>
      <c r="C10" s="482">
        <f t="shared" si="3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  <c r="BB10" s="501" t="s">
        <v>11</v>
      </c>
      <c r="BC10" s="561">
        <v>191000</v>
      </c>
      <c r="BD10" s="561" t="s">
        <v>288</v>
      </c>
      <c r="BE10" s="561" t="s">
        <v>291</v>
      </c>
      <c r="BF10" s="464">
        <v>0</v>
      </c>
      <c r="BG10" s="473">
        <v>0</v>
      </c>
      <c r="BI10" s="589">
        <f t="shared" si="5"/>
        <v>0</v>
      </c>
      <c r="BJ10" s="585"/>
    </row>
    <row r="11" spans="1:62" ht="16.2" thickBot="1">
      <c r="B11" s="481" t="s">
        <v>264</v>
      </c>
      <c r="C11" s="482">
        <f t="shared" si="3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  <c r="BB11" s="516"/>
      <c r="BC11" s="530"/>
      <c r="BD11" s="517"/>
      <c r="BE11" s="517"/>
      <c r="BF11" s="517" t="s">
        <v>159</v>
      </c>
      <c r="BG11" s="518">
        <v>0</v>
      </c>
      <c r="BI11" s="590">
        <f>BI6+BI8-BI7</f>
        <v>0</v>
      </c>
      <c r="BJ11" s="524" t="s">
        <v>159</v>
      </c>
    </row>
    <row r="12" spans="1:62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62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6">SUM(F5:F12)</f>
        <v>-179650.44284699953</v>
      </c>
      <c r="G13" s="541">
        <f t="shared" si="6"/>
        <v>-770749.33284699952</v>
      </c>
      <c r="H13" s="541">
        <f t="shared" si="6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7">SUM(U5:U12)</f>
        <v>-645308.82581999747</v>
      </c>
      <c r="V13" s="541">
        <f t="shared" si="7"/>
        <v>-754837.52375499834</v>
      </c>
      <c r="W13" s="541">
        <f t="shared" si="7"/>
        <v>-287477.8915199968</v>
      </c>
      <c r="X13" s="541">
        <f t="shared" si="7"/>
        <v>-1224292.1730279976</v>
      </c>
      <c r="Y13" s="541">
        <f t="shared" si="7"/>
        <v>-1390232.6525299973</v>
      </c>
      <c r="Z13" s="541">
        <f t="shared" si="7"/>
        <v>-1678662.999059998</v>
      </c>
      <c r="AA13" s="541">
        <f t="shared" si="7"/>
        <v>-2022423.1820719973</v>
      </c>
      <c r="AB13" s="541">
        <f t="shared" si="7"/>
        <v>-2418884.2503219969</v>
      </c>
      <c r="AC13" s="541">
        <f t="shared" si="7"/>
        <v>-3067053.2533299979</v>
      </c>
      <c r="AD13" s="541">
        <f t="shared" si="7"/>
        <v>-3722405.068684998</v>
      </c>
      <c r="AE13" s="541">
        <f t="shared" si="7"/>
        <v>-2684344.9824949973</v>
      </c>
      <c r="AF13" s="541">
        <f t="shared" si="7"/>
        <v>-3634681.6735539967</v>
      </c>
      <c r="AG13" s="541">
        <f t="shared" si="7"/>
        <v>-4349728.1832369966</v>
      </c>
      <c r="AH13" s="541">
        <f t="shared" si="7"/>
        <v>-4647235.483478996</v>
      </c>
      <c r="AI13" s="541">
        <f t="shared" si="7"/>
        <v>-5147221.2688729959</v>
      </c>
      <c r="AJ13" s="541">
        <f t="shared" si="7"/>
        <v>-6002096.6110229967</v>
      </c>
      <c r="AK13" s="541">
        <f t="shared" si="7"/>
        <v>-6406273.944958997</v>
      </c>
      <c r="AL13" s="541">
        <f t="shared" si="7"/>
        <v>-7224717.6167209959</v>
      </c>
      <c r="AM13" s="541">
        <f t="shared" si="7"/>
        <v>-7883900.3474069955</v>
      </c>
      <c r="AN13" s="541">
        <f t="shared" si="7"/>
        <v>-7979481.4255209956</v>
      </c>
      <c r="AO13" s="541">
        <f t="shared" si="7"/>
        <v>-8279679.969798997</v>
      </c>
      <c r="AP13" s="541">
        <f t="shared" si="7"/>
        <v>-8418811.6904279981</v>
      </c>
      <c r="AQ13" s="541">
        <f t="shared" si="7"/>
        <v>-9064727.144237997</v>
      </c>
      <c r="AR13" s="541">
        <f t="shared" si="7"/>
        <v>-10020380.825296996</v>
      </c>
    </row>
    <row r="14" spans="1:62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62">
      <c r="B15" s="481" t="s">
        <v>245</v>
      </c>
      <c r="E15" s="482">
        <f t="shared" ref="E15:H15" si="8">E13-E14</f>
        <v>-1.5300058177672327E-2</v>
      </c>
      <c r="F15" s="482">
        <f t="shared" si="8"/>
        <v>-2.2846999519970268E-2</v>
      </c>
      <c r="G15" s="482">
        <f t="shared" si="8"/>
        <v>-2.2846999461762607E-2</v>
      </c>
      <c r="H15" s="482">
        <f t="shared" si="8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9">S13-S14</f>
        <v>8.8100053835660219E-4</v>
      </c>
      <c r="T15" s="482">
        <f t="shared" si="9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R15" si="10">W13-W14</f>
        <v>-1.5199967892840505E-3</v>
      </c>
      <c r="X15" s="482">
        <f t="shared" si="10"/>
        <v>-3.0279976781457663E-3</v>
      </c>
      <c r="Y15" s="482">
        <f t="shared" si="10"/>
        <v>-2.5299973785877228E-3</v>
      </c>
      <c r="Z15" s="482">
        <f t="shared" si="10"/>
        <v>9.4000203534960747E-4</v>
      </c>
      <c r="AA15" s="482">
        <f t="shared" si="10"/>
        <v>-2.0719973836094141E-3</v>
      </c>
      <c r="AB15" s="482">
        <f t="shared" si="10"/>
        <v>-3.2199686393141747E-4</v>
      </c>
      <c r="AC15" s="482">
        <f t="shared" si="10"/>
        <v>-3.3299978822469711E-3</v>
      </c>
      <c r="AD15" s="482">
        <f t="shared" si="10"/>
        <v>1.3150018639862537E-3</v>
      </c>
      <c r="AE15" s="482">
        <f t="shared" si="10"/>
        <v>-2.4949973449110985E-3</v>
      </c>
      <c r="AF15" s="482">
        <f t="shared" si="10"/>
        <v>-3.5539967939257622E-3</v>
      </c>
      <c r="AG15" s="482">
        <f t="shared" si="10"/>
        <v>-3.2369969412684441E-3</v>
      </c>
      <c r="AH15" s="482">
        <f t="shared" si="10"/>
        <v>-3.4789955243468285E-3</v>
      </c>
      <c r="AI15" s="482">
        <f t="shared" si="10"/>
        <v>1.1270036920905113E-3</v>
      </c>
      <c r="AJ15" s="482">
        <f t="shared" si="10"/>
        <v>-1.0229963809251785E-3</v>
      </c>
      <c r="AK15" s="482">
        <f t="shared" si="10"/>
        <v>-4.9589965492486954E-3</v>
      </c>
      <c r="AL15" s="482">
        <f t="shared" si="10"/>
        <v>-6.7209955304861069E-3</v>
      </c>
      <c r="AM15" s="482">
        <f t="shared" si="10"/>
        <v>-659182.73740699515</v>
      </c>
      <c r="AN15" s="482">
        <f t="shared" si="10"/>
        <v>-754763.8155209953</v>
      </c>
      <c r="AO15" s="482">
        <f t="shared" si="10"/>
        <v>-8279679.969798997</v>
      </c>
      <c r="AP15" s="482">
        <f t="shared" si="10"/>
        <v>-8418811.6904279981</v>
      </c>
      <c r="AQ15" s="482">
        <f t="shared" si="10"/>
        <v>-9064727.144237997</v>
      </c>
      <c r="AR15" s="482">
        <f t="shared" si="10"/>
        <v>-10020380.825296996</v>
      </c>
    </row>
    <row r="16" spans="1:62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F18" si="11">U18+1</f>
        <v>201502</v>
      </c>
      <c r="W18" s="484">
        <f t="shared" si="11"/>
        <v>201503</v>
      </c>
      <c r="X18" s="484">
        <f t="shared" si="11"/>
        <v>201504</v>
      </c>
      <c r="Y18" s="484">
        <f t="shared" si="11"/>
        <v>201505</v>
      </c>
      <c r="Z18" s="484">
        <f t="shared" si="11"/>
        <v>201506</v>
      </c>
      <c r="AA18" s="484">
        <f t="shared" si="11"/>
        <v>201507</v>
      </c>
      <c r="AB18" s="484">
        <f t="shared" si="11"/>
        <v>201508</v>
      </c>
      <c r="AC18" s="484">
        <f t="shared" si="11"/>
        <v>201509</v>
      </c>
      <c r="AD18" s="484">
        <f t="shared" si="11"/>
        <v>201510</v>
      </c>
      <c r="AE18" s="484">
        <f t="shared" si="11"/>
        <v>201511</v>
      </c>
      <c r="AF18" s="484">
        <f t="shared" si="11"/>
        <v>201512</v>
      </c>
      <c r="AG18" s="484">
        <v>201601</v>
      </c>
      <c r="AH18" s="484">
        <f>AG18+1</f>
        <v>201602</v>
      </c>
      <c r="AI18" s="484">
        <f t="shared" ref="AI18:AS18" si="12">AH18+1</f>
        <v>201603</v>
      </c>
      <c r="AJ18" s="484">
        <f t="shared" si="12"/>
        <v>201604</v>
      </c>
      <c r="AK18" s="484">
        <f t="shared" si="12"/>
        <v>201605</v>
      </c>
      <c r="AL18" s="484">
        <f t="shared" si="12"/>
        <v>201606</v>
      </c>
      <c r="AM18" s="484">
        <f t="shared" si="12"/>
        <v>201607</v>
      </c>
      <c r="AN18" s="484">
        <f t="shared" si="12"/>
        <v>201608</v>
      </c>
      <c r="AO18" s="484">
        <f t="shared" si="12"/>
        <v>201609</v>
      </c>
      <c r="AP18" s="484">
        <f t="shared" si="12"/>
        <v>201610</v>
      </c>
      <c r="AQ18" s="484">
        <f t="shared" si="12"/>
        <v>201611</v>
      </c>
      <c r="AR18" s="484">
        <f t="shared" si="12"/>
        <v>201612</v>
      </c>
      <c r="AS18" s="484">
        <f t="shared" si="12"/>
        <v>201613</v>
      </c>
      <c r="AU18" s="558"/>
    </row>
    <row r="19" spans="1:51">
      <c r="A19" s="483"/>
      <c r="B19" s="481" t="s">
        <v>37</v>
      </c>
      <c r="C19" s="491">
        <f>SUM(AG19:AR19)</f>
        <v>25689413</v>
      </c>
      <c r="D19" s="491">
        <f>SUM(AE19:AP19)</f>
        <v>42156473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>
        <f>Mar!$K36</f>
        <v>5909720</v>
      </c>
      <c r="AJ19" s="491">
        <f>Apr!$K36</f>
        <v>2663108</v>
      </c>
      <c r="AK19" s="491">
        <f>May!$K36</f>
        <v>1813665</v>
      </c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f t="shared" ref="C20:C24" si="13">SUM(AG20:AR20)</f>
        <v>9772620</v>
      </c>
      <c r="D20" s="491">
        <f t="shared" ref="D20:D24" si="14">SUM(AE20:AP20)</f>
        <v>14853411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>
        <f>Mar!$K37</f>
        <v>2149496</v>
      </c>
      <c r="AJ20" s="491">
        <f>Apr!$K37</f>
        <v>1257156</v>
      </c>
      <c r="AK20" s="491">
        <f>May!$K37</f>
        <v>1182789</v>
      </c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f t="shared" si="13"/>
        <v>0</v>
      </c>
      <c r="D21" s="491">
        <f t="shared" si="14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f t="shared" si="13"/>
        <v>0</v>
      </c>
      <c r="D22" s="491">
        <f t="shared" si="14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f t="shared" si="13"/>
        <v>0</v>
      </c>
      <c r="D23" s="491">
        <f t="shared" si="14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f t="shared" si="13"/>
        <v>0</v>
      </c>
      <c r="D24" s="491">
        <f t="shared" si="14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>
        <f>Mar!$K41</f>
        <v>0</v>
      </c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f t="shared" ref="C25:C26" si="15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f t="shared" si="15"/>
        <v>0</v>
      </c>
      <c r="D26" s="491">
        <f>SUM(G26:R26)</f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16">SUM(G19:G26)</f>
        <v>9508099</v>
      </c>
      <c r="H27" s="542">
        <f t="shared" si="16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R27" si="17">SUM(U19:U26)</f>
        <v>11809937</v>
      </c>
      <c r="V27" s="542">
        <f t="shared" si="17"/>
        <v>7940694</v>
      </c>
      <c r="W27" s="542">
        <f t="shared" si="17"/>
        <v>7017973</v>
      </c>
      <c r="X27" s="542">
        <f t="shared" si="17"/>
        <v>5254736</v>
      </c>
      <c r="Y27" s="542">
        <f t="shared" si="17"/>
        <v>2699945</v>
      </c>
      <c r="Z27" s="542">
        <f t="shared" si="17"/>
        <v>2074520</v>
      </c>
      <c r="AA27" s="542">
        <f t="shared" si="17"/>
        <v>2156482</v>
      </c>
      <c r="AB27" s="542">
        <f t="shared" si="17"/>
        <v>2252954</v>
      </c>
      <c r="AC27" s="542">
        <f t="shared" si="17"/>
        <v>2632656</v>
      </c>
      <c r="AD27" s="542">
        <f t="shared" si="17"/>
        <v>3869259</v>
      </c>
      <c r="AE27" s="542">
        <f t="shared" si="17"/>
        <v>9627846</v>
      </c>
      <c r="AF27" s="542">
        <f t="shared" si="17"/>
        <v>11920005</v>
      </c>
      <c r="AG27" s="542">
        <f t="shared" si="17"/>
        <v>11685014</v>
      </c>
      <c r="AH27" s="542">
        <f t="shared" si="17"/>
        <v>8801085</v>
      </c>
      <c r="AI27" s="542">
        <f t="shared" si="17"/>
        <v>8059216</v>
      </c>
      <c r="AJ27" s="542">
        <f t="shared" si="17"/>
        <v>3920264</v>
      </c>
      <c r="AK27" s="542">
        <f t="shared" si="17"/>
        <v>2996454</v>
      </c>
      <c r="AL27" s="542">
        <f t="shared" si="17"/>
        <v>0</v>
      </c>
      <c r="AM27" s="542">
        <f t="shared" si="17"/>
        <v>0</v>
      </c>
      <c r="AN27" s="542">
        <f t="shared" si="17"/>
        <v>0</v>
      </c>
      <c r="AO27" s="542">
        <f t="shared" si="17"/>
        <v>0</v>
      </c>
      <c r="AP27" s="542">
        <f t="shared" si="17"/>
        <v>0</v>
      </c>
      <c r="AQ27" s="542">
        <f t="shared" si="17"/>
        <v>0</v>
      </c>
      <c r="AR27" s="542">
        <f t="shared" si="17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73">
        <v>3920264</v>
      </c>
      <c r="AK28" s="573">
        <v>2996454</v>
      </c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:AF30" si="18">U30+1</f>
        <v>201502</v>
      </c>
      <c r="W30" s="484">
        <f t="shared" si="18"/>
        <v>201503</v>
      </c>
      <c r="X30" s="484">
        <f t="shared" si="18"/>
        <v>201504</v>
      </c>
      <c r="Y30" s="484">
        <f t="shared" si="18"/>
        <v>201505</v>
      </c>
      <c r="Z30" s="484">
        <f t="shared" si="18"/>
        <v>201506</v>
      </c>
      <c r="AA30" s="484">
        <f t="shared" si="18"/>
        <v>201507</v>
      </c>
      <c r="AB30" s="484">
        <f t="shared" si="18"/>
        <v>201508</v>
      </c>
      <c r="AC30" s="484">
        <f t="shared" si="18"/>
        <v>201509</v>
      </c>
      <c r="AD30" s="484">
        <f t="shared" si="18"/>
        <v>201510</v>
      </c>
      <c r="AE30" s="484">
        <f t="shared" si="18"/>
        <v>201511</v>
      </c>
      <c r="AF30" s="484">
        <f t="shared" si="18"/>
        <v>201512</v>
      </c>
      <c r="AG30" s="484">
        <v>201601</v>
      </c>
      <c r="AH30" s="484">
        <f>AG30+1</f>
        <v>201602</v>
      </c>
      <c r="AI30" s="484">
        <f t="shared" ref="AI30:AR30" si="19">AH30+1</f>
        <v>201603</v>
      </c>
      <c r="AJ30" s="484">
        <f t="shared" si="19"/>
        <v>201604</v>
      </c>
      <c r="AK30" s="484">
        <f t="shared" si="19"/>
        <v>201605</v>
      </c>
      <c r="AL30" s="484">
        <f t="shared" si="19"/>
        <v>201606</v>
      </c>
      <c r="AM30" s="484">
        <f t="shared" si="19"/>
        <v>201607</v>
      </c>
      <c r="AN30" s="484">
        <f t="shared" si="19"/>
        <v>201608</v>
      </c>
      <c r="AO30" s="484">
        <f t="shared" si="19"/>
        <v>201609</v>
      </c>
      <c r="AP30" s="484">
        <f t="shared" si="19"/>
        <v>201610</v>
      </c>
      <c r="AQ30" s="484">
        <f t="shared" si="19"/>
        <v>201611</v>
      </c>
      <c r="AR30" s="484">
        <f t="shared" si="19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62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62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62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62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62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62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62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62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:AF40" si="20">U40+1</f>
        <v>201502</v>
      </c>
      <c r="W40" s="484">
        <f t="shared" si="20"/>
        <v>201503</v>
      </c>
      <c r="X40" s="484">
        <f t="shared" si="20"/>
        <v>201504</v>
      </c>
      <c r="Y40" s="484">
        <f t="shared" si="20"/>
        <v>201505</v>
      </c>
      <c r="Z40" s="484">
        <f t="shared" si="20"/>
        <v>201506</v>
      </c>
      <c r="AA40" s="484">
        <f t="shared" si="20"/>
        <v>201507</v>
      </c>
      <c r="AB40" s="484">
        <f t="shared" si="20"/>
        <v>201508</v>
      </c>
      <c r="AC40" s="484">
        <f t="shared" si="20"/>
        <v>201509</v>
      </c>
      <c r="AD40" s="484">
        <f t="shared" si="20"/>
        <v>201510</v>
      </c>
      <c r="AE40" s="484">
        <f t="shared" si="20"/>
        <v>201511</v>
      </c>
      <c r="AF40" s="484">
        <f t="shared" si="20"/>
        <v>201512</v>
      </c>
      <c r="AG40" s="484">
        <v>201601</v>
      </c>
      <c r="AH40" s="484">
        <f>AG40+1</f>
        <v>201602</v>
      </c>
      <c r="AI40" s="484">
        <f t="shared" ref="AI40:AR40" si="21">AH40+1</f>
        <v>201603</v>
      </c>
      <c r="AJ40" s="484">
        <f t="shared" si="21"/>
        <v>201604</v>
      </c>
      <c r="AK40" s="484">
        <f t="shared" si="21"/>
        <v>201605</v>
      </c>
      <c r="AL40" s="484">
        <f t="shared" si="21"/>
        <v>201606</v>
      </c>
      <c r="AM40" s="484">
        <f t="shared" si="21"/>
        <v>201607</v>
      </c>
      <c r="AN40" s="484">
        <f t="shared" si="21"/>
        <v>201608</v>
      </c>
      <c r="AO40" s="484">
        <f t="shared" si="21"/>
        <v>201609</v>
      </c>
      <c r="AP40" s="484">
        <f t="shared" si="21"/>
        <v>201610</v>
      </c>
      <c r="AQ40" s="484">
        <f t="shared" si="21"/>
        <v>201611</v>
      </c>
      <c r="AR40" s="484">
        <f t="shared" si="21"/>
        <v>201612</v>
      </c>
      <c r="AT40" s="564"/>
      <c r="AU40" s="484"/>
      <c r="BI40" s="482"/>
      <c r="BJ40" s="482"/>
    </row>
    <row r="41" spans="1:62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f>AT4</f>
        <v>201605</v>
      </c>
      <c r="AU41" s="526"/>
      <c r="AV41" s="514"/>
      <c r="AW41" s="514"/>
      <c r="AX41" s="514"/>
      <c r="AY41" s="515"/>
      <c r="BI41" s="482"/>
      <c r="BJ41" s="482"/>
    </row>
    <row r="42" spans="1:62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:Y42" si="22">V47</f>
        <v>-1139196.8415066958</v>
      </c>
      <c r="X42" s="482">
        <f t="shared" si="22"/>
        <v>-927936.74257669575</v>
      </c>
      <c r="Y42" s="482">
        <f t="shared" si="22"/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:AE42" si="23">AB47</f>
        <v>-496357.29729955469</v>
      </c>
      <c r="AD42" s="482">
        <f t="shared" si="23"/>
        <v>-416678.50147523766</v>
      </c>
      <c r="AE42" s="482">
        <f t="shared" si="23"/>
        <v>-299312.54063388787</v>
      </c>
      <c r="AF42" s="482">
        <f>AE47</f>
        <v>-1658528.5495927494</v>
      </c>
      <c r="AG42" s="482">
        <f t="shared" ref="AG42:AR42" si="24">AF47</f>
        <v>-1317584.0800507434</v>
      </c>
      <c r="AH42" s="482">
        <f t="shared" si="24"/>
        <v>-983065.53286414407</v>
      </c>
      <c r="AI42" s="482">
        <f t="shared" si="24"/>
        <v>-731100.32081221836</v>
      </c>
      <c r="AJ42" s="482">
        <f t="shared" si="24"/>
        <v>-500233.0713481619</v>
      </c>
      <c r="AK42" s="482">
        <f t="shared" si="24"/>
        <v>-388052.25664285204</v>
      </c>
      <c r="AL42" s="482">
        <f t="shared" si="24"/>
        <v>-302311.59410241275</v>
      </c>
      <c r="AM42" s="482">
        <f t="shared" si="24"/>
        <v>-302563.52043083141</v>
      </c>
      <c r="AN42" s="482">
        <f t="shared" si="24"/>
        <v>-302815.65669785708</v>
      </c>
      <c r="AO42" s="482">
        <f t="shared" si="24"/>
        <v>-303068.00307843863</v>
      </c>
      <c r="AP42" s="482">
        <f t="shared" si="24"/>
        <v>-303320.55974767066</v>
      </c>
      <c r="AQ42" s="482">
        <f t="shared" si="24"/>
        <v>-303573.32688079373</v>
      </c>
      <c r="AR42" s="482">
        <f t="shared" si="24"/>
        <v>-303826.30465319438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  <c r="BI42" s="483"/>
      <c r="BJ42" s="483"/>
    </row>
    <row r="43" spans="1:62" ht="16.2">
      <c r="B43" s="481" t="s">
        <v>23</v>
      </c>
      <c r="C43" s="482">
        <f>SUM(AG43:AR43)</f>
        <v>1018114.96743</v>
      </c>
      <c r="D43" s="491">
        <f>SUM(AE43:AP43)</f>
        <v>1636998.96743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25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26">SUMPRODUCT(V19:V26,V31:V38)</f>
        <v>241476.50453999999</v>
      </c>
      <c r="W43" s="482">
        <f t="shared" si="26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27">SUMPRODUCT(AC19:AC26,AC31:AC38)</f>
        <v>80059.068960000004</v>
      </c>
      <c r="AD43" s="482">
        <f t="shared" si="27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28">SUMPRODUCT(AH19:AH24,AH31:AH36)</f>
        <v>252679.15035000001</v>
      </c>
      <c r="AI43" s="563">
        <f t="shared" si="28"/>
        <v>231380.09135999999</v>
      </c>
      <c r="AJ43" s="563">
        <f t="shared" si="28"/>
        <v>112550.77944</v>
      </c>
      <c r="AK43" s="563">
        <f t="shared" si="28"/>
        <v>86028.194340000002</v>
      </c>
      <c r="AL43" s="563">
        <f t="shared" si="28"/>
        <v>0</v>
      </c>
      <c r="AM43" s="563">
        <f t="shared" si="28"/>
        <v>0</v>
      </c>
      <c r="AN43" s="563">
        <f t="shared" si="28"/>
        <v>0</v>
      </c>
      <c r="AO43" s="563">
        <f t="shared" si="28"/>
        <v>0</v>
      </c>
      <c r="AP43" s="563">
        <f t="shared" si="28"/>
        <v>0</v>
      </c>
      <c r="AQ43" s="563">
        <f t="shared" si="28"/>
        <v>0</v>
      </c>
      <c r="AR43" s="563">
        <f t="shared" si="28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287.53179956071006</v>
      </c>
      <c r="AY43" s="500">
        <v>0</v>
      </c>
      <c r="BI43" s="483"/>
      <c r="BJ43" s="483"/>
    </row>
    <row r="44" spans="1:62" ht="16.2">
      <c r="B44" s="481" t="s">
        <v>4</v>
      </c>
      <c r="C44" s="482">
        <f t="shared" ref="C44:C46" si="29">SUM(AG44:AR44)</f>
        <v>-4610.3806196619325</v>
      </c>
      <c r="D44" s="491">
        <f>SUM(AE44:AP44)</f>
        <v>-6858.3236769058067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30">((AC42*(AC41/12))+((AC43/2)*(AC41/12)))</f>
        <v>-380.27313568296228</v>
      </c>
      <c r="AD44" s="489">
        <f t="shared" si="30"/>
        <v>-298.20534865019806</v>
      </c>
      <c r="AE44" s="489">
        <f>((AE42+AE45)*(AE41/12))+(((AE43+AE46)/2)*(AE41/12))</f>
        <v>-1514.5789588615733</v>
      </c>
      <c r="AF44" s="489">
        <f t="shared" ref="AF44:AR44" si="31">((AF42*(AF41/12))+((AF43/2)*(AF41/12)))</f>
        <v>-1239.530457993958</v>
      </c>
      <c r="AG44" s="489">
        <f t="shared" si="31"/>
        <v>-958.20475340061967</v>
      </c>
      <c r="AH44" s="489">
        <f t="shared" si="31"/>
        <v>-713.93829807428676</v>
      </c>
      <c r="AI44" s="489">
        <f t="shared" si="31"/>
        <v>-512.8418959435154</v>
      </c>
      <c r="AJ44" s="489">
        <f t="shared" si="31"/>
        <v>-369.96473469013495</v>
      </c>
      <c r="AK44" s="489">
        <f t="shared" si="31"/>
        <v>-287.53179956071006</v>
      </c>
      <c r="AL44" s="489">
        <f t="shared" si="31"/>
        <v>-251.92632841867731</v>
      </c>
      <c r="AM44" s="489">
        <f t="shared" si="31"/>
        <v>-252.13626702569286</v>
      </c>
      <c r="AN44" s="489">
        <f t="shared" si="31"/>
        <v>-252.34638058154758</v>
      </c>
      <c r="AO44" s="489">
        <f t="shared" si="31"/>
        <v>-252.55666923203222</v>
      </c>
      <c r="AP44" s="489">
        <f t="shared" si="31"/>
        <v>-252.7671331230589</v>
      </c>
      <c r="AQ44" s="489">
        <f t="shared" si="31"/>
        <v>-252.97777240066145</v>
      </c>
      <c r="AR44" s="489">
        <f t="shared" si="31"/>
        <v>-253.18858721099534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85740.662540439298</v>
      </c>
      <c r="AY44" s="500">
        <f>IF((SUMIF(U40:AR40,AT41,U43:AR43)+SUMIF(U40:AR40,AT41,U44:AR44))&lt;0,-(SUMIF(U40:AR40,AT41,U43:AR43)+SUMIF(U40:AR40,AT41,U44:AR44)),0)</f>
        <v>0</v>
      </c>
    </row>
    <row r="45" spans="1:62" ht="16.2">
      <c r="B45" s="481" t="s">
        <v>259</v>
      </c>
      <c r="C45" s="482">
        <f t="shared" si="29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86028.194340000002</v>
      </c>
    </row>
    <row r="46" spans="1:62" ht="16.2">
      <c r="B46" s="481" t="s">
        <v>148</v>
      </c>
      <c r="C46" s="482">
        <f t="shared" si="29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32">AU44</f>
        <v>191000</v>
      </c>
      <c r="AV46" s="528" t="str">
        <f t="shared" si="32"/>
        <v>GD</v>
      </c>
      <c r="AW46" s="528" t="str">
        <f t="shared" si="32"/>
        <v>ID</v>
      </c>
      <c r="AX46" s="381">
        <v>0</v>
      </c>
      <c r="AY46" s="500">
        <v>0</v>
      </c>
    </row>
    <row r="47" spans="1:62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33">SUM(F42:F46)</f>
        <v>122203.74560073584</v>
      </c>
      <c r="G47" s="541">
        <f t="shared" si="33"/>
        <v>121907.05607206978</v>
      </c>
      <c r="H47" s="541">
        <f t="shared" si="33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34">SUM(V42:V46)</f>
        <v>-1139196.8415066958</v>
      </c>
      <c r="W47" s="541">
        <f t="shared" si="34"/>
        <v>-927936.74257669575</v>
      </c>
      <c r="X47" s="541">
        <f t="shared" si="34"/>
        <v>-767403.9580847763</v>
      </c>
      <c r="Y47" s="541">
        <f t="shared" si="34"/>
        <v>-685903.92338007619</v>
      </c>
      <c r="Z47" s="541">
        <f t="shared" si="34"/>
        <v>-623363.07088572613</v>
      </c>
      <c r="AA47" s="541">
        <f t="shared" si="34"/>
        <v>-564427.81872858922</v>
      </c>
      <c r="AB47" s="541">
        <f t="shared" si="34"/>
        <v>-496357.29729955469</v>
      </c>
      <c r="AC47" s="541">
        <f t="shared" si="34"/>
        <v>-416678.50147523766</v>
      </c>
      <c r="AD47" s="541">
        <f t="shared" si="34"/>
        <v>-299312.54063388787</v>
      </c>
      <c r="AE47" s="541">
        <f t="shared" si="34"/>
        <v>-1658528.5495927494</v>
      </c>
      <c r="AF47" s="541">
        <f t="shared" si="34"/>
        <v>-1317584.0800507434</v>
      </c>
      <c r="AG47" s="541">
        <f t="shared" si="34"/>
        <v>-983065.53286414407</v>
      </c>
      <c r="AH47" s="541">
        <f t="shared" si="34"/>
        <v>-731100.32081221836</v>
      </c>
      <c r="AI47" s="541">
        <f t="shared" si="34"/>
        <v>-500233.0713481619</v>
      </c>
      <c r="AJ47" s="541">
        <f t="shared" si="34"/>
        <v>-388052.25664285204</v>
      </c>
      <c r="AK47" s="541">
        <f t="shared" si="34"/>
        <v>-302311.59410241275</v>
      </c>
      <c r="AL47" s="541">
        <f t="shared" si="34"/>
        <v>-302563.52043083141</v>
      </c>
      <c r="AM47" s="541">
        <f t="shared" si="34"/>
        <v>-302815.65669785708</v>
      </c>
      <c r="AN47" s="541">
        <f t="shared" si="34"/>
        <v>-303068.00307843863</v>
      </c>
      <c r="AO47" s="541">
        <f t="shared" si="34"/>
        <v>-303320.55974767066</v>
      </c>
      <c r="AP47" s="541">
        <f t="shared" si="34"/>
        <v>-303573.32688079373</v>
      </c>
      <c r="AQ47" s="541">
        <f t="shared" si="34"/>
        <v>-303826.30465319438</v>
      </c>
      <c r="AR47" s="541">
        <f t="shared" si="34"/>
        <v>-304079.4932404054</v>
      </c>
      <c r="AT47" s="501" t="str">
        <f>AT46</f>
        <v>Large Customer Refund</v>
      </c>
      <c r="AU47" s="529">
        <f t="shared" si="32"/>
        <v>805110</v>
      </c>
      <c r="AV47" s="529" t="str">
        <f t="shared" si="32"/>
        <v>GD</v>
      </c>
      <c r="AW47" s="529" t="str">
        <f t="shared" si="32"/>
        <v>ID</v>
      </c>
      <c r="AX47" s="503">
        <v>0</v>
      </c>
      <c r="AY47" s="521">
        <f>AX46</f>
        <v>0</v>
      </c>
    </row>
    <row r="48" spans="1:62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35">E47-E48</f>
        <v>2.2137390881653118E-2</v>
      </c>
      <c r="F49" s="482">
        <f t="shared" si="35"/>
        <v>90.56560073584842</v>
      </c>
      <c r="G49" s="482">
        <f t="shared" si="35"/>
        <v>90.646072069779621</v>
      </c>
      <c r="H49" s="482">
        <f t="shared" si="35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AS49" si="36">V47-V48</f>
        <v>-1.506695756688714E-3</v>
      </c>
      <c r="W49" s="482">
        <f t="shared" si="36"/>
        <v>-2.5766957551240921E-3</v>
      </c>
      <c r="X49" s="482">
        <f t="shared" si="36"/>
        <v>1.9152236636728048E-3</v>
      </c>
      <c r="Y49" s="482">
        <f t="shared" si="36"/>
        <v>-3.3800761448219419E-3</v>
      </c>
      <c r="Z49" s="482">
        <f t="shared" si="36"/>
        <v>-8.8572618551552296E-4</v>
      </c>
      <c r="AA49" s="482">
        <f t="shared" si="36"/>
        <v>1.2714107288047671E-3</v>
      </c>
      <c r="AB49" s="482">
        <f t="shared" si="36"/>
        <v>2.7004453004337847E-3</v>
      </c>
      <c r="AC49" s="482">
        <f t="shared" si="36"/>
        <v>-1.4752376591786742E-3</v>
      </c>
      <c r="AD49" s="482">
        <f t="shared" si="36"/>
        <v>-6.3388788839802146E-4</v>
      </c>
      <c r="AE49" s="482">
        <f t="shared" si="36"/>
        <v>4.0725059807300568E-4</v>
      </c>
      <c r="AF49" s="482">
        <f t="shared" si="36"/>
        <v>-5.0743343308568001E-5</v>
      </c>
      <c r="AG49" s="482">
        <f t="shared" si="36"/>
        <v>-2.8641440439969301E-3</v>
      </c>
      <c r="AH49" s="482">
        <f t="shared" si="36"/>
        <v>-8.1221840810030699E-4</v>
      </c>
      <c r="AI49" s="482">
        <f t="shared" si="36"/>
        <v>-1.3481618952937424E-3</v>
      </c>
      <c r="AJ49" s="482">
        <f t="shared" si="36"/>
        <v>-6.6428520367480814E-3</v>
      </c>
      <c r="AK49" s="482">
        <f t="shared" si="36"/>
        <v>-4.1024127276614308E-3</v>
      </c>
      <c r="AL49" s="482">
        <f t="shared" si="36"/>
        <v>-68735.820430831402</v>
      </c>
      <c r="AM49" s="482">
        <f t="shared" si="36"/>
        <v>-68987.956697857066</v>
      </c>
      <c r="AN49" s="482">
        <f t="shared" si="36"/>
        <v>-69240.303078438621</v>
      </c>
      <c r="AO49" s="482">
        <f t="shared" si="36"/>
        <v>-303320.55974767066</v>
      </c>
      <c r="AP49" s="482">
        <f t="shared" si="36"/>
        <v>-303573.32688079373</v>
      </c>
      <c r="AQ49" s="482">
        <f t="shared" si="36"/>
        <v>-303826.30465319438</v>
      </c>
      <c r="AR49" s="482">
        <f t="shared" si="36"/>
        <v>-304079.4932404054</v>
      </c>
      <c r="AS49" s="482">
        <f t="shared" si="36"/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:AF51" si="37">U51+1</f>
        <v>201502</v>
      </c>
      <c r="W51" s="484">
        <f t="shared" si="37"/>
        <v>201503</v>
      </c>
      <c r="X51" s="484">
        <f t="shared" si="37"/>
        <v>201504</v>
      </c>
      <c r="Y51" s="484">
        <f t="shared" si="37"/>
        <v>201505</v>
      </c>
      <c r="Z51" s="484">
        <f t="shared" si="37"/>
        <v>201506</v>
      </c>
      <c r="AA51" s="484">
        <f t="shared" si="37"/>
        <v>201507</v>
      </c>
      <c r="AB51" s="484">
        <f t="shared" si="37"/>
        <v>201508</v>
      </c>
      <c r="AC51" s="484">
        <f t="shared" si="37"/>
        <v>201509</v>
      </c>
      <c r="AD51" s="484">
        <f t="shared" si="37"/>
        <v>201510</v>
      </c>
      <c r="AE51" s="484">
        <f t="shared" si="37"/>
        <v>201511</v>
      </c>
      <c r="AF51" s="484">
        <f t="shared" si="37"/>
        <v>201512</v>
      </c>
      <c r="AG51" s="484">
        <v>201601</v>
      </c>
      <c r="AH51" s="484">
        <f>AG51+1</f>
        <v>201602</v>
      </c>
      <c r="AI51" s="484">
        <f t="shared" ref="AI51:AR51" si="38">AH51+1</f>
        <v>201603</v>
      </c>
      <c r="AJ51" s="484">
        <f t="shared" si="38"/>
        <v>201604</v>
      </c>
      <c r="AK51" s="484">
        <f t="shared" si="38"/>
        <v>201605</v>
      </c>
      <c r="AL51" s="484">
        <f t="shared" si="38"/>
        <v>201606</v>
      </c>
      <c r="AM51" s="484">
        <f t="shared" si="38"/>
        <v>201607</v>
      </c>
      <c r="AN51" s="484">
        <f t="shared" si="38"/>
        <v>201608</v>
      </c>
      <c r="AO51" s="484">
        <f t="shared" si="38"/>
        <v>201609</v>
      </c>
      <c r="AP51" s="484">
        <f t="shared" si="38"/>
        <v>201610</v>
      </c>
      <c r="AQ51" s="484">
        <f t="shared" si="38"/>
        <v>201611</v>
      </c>
      <c r="AR51" s="484">
        <f t="shared" si="38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>
        <f>Mar!$K36</f>
        <v>5909720</v>
      </c>
      <c r="AJ52" s="491">
        <f>Apr!$K36</f>
        <v>2663108</v>
      </c>
      <c r="AK52" s="491">
        <f>May!$K36</f>
        <v>1813665</v>
      </c>
      <c r="AL52" s="491"/>
      <c r="AM52" s="491"/>
      <c r="AN52" s="491"/>
      <c r="AO52" s="491"/>
      <c r="AP52" s="491"/>
      <c r="AQ52" s="491"/>
      <c r="AR52" s="491"/>
      <c r="AS52" s="491">
        <f>Jan!$K36</f>
        <v>8841051</v>
      </c>
    </row>
    <row r="53" spans="1:45">
      <c r="A53" s="483"/>
      <c r="B53" s="481" t="s">
        <v>38</v>
      </c>
      <c r="C53" s="491">
        <f t="shared" ref="C53:C60" si="39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>
        <f>Mar!$K37</f>
        <v>2149496</v>
      </c>
      <c r="AJ53" s="491">
        <f>Apr!$K37</f>
        <v>1257156</v>
      </c>
      <c r="AK53" s="491">
        <f>May!$K37</f>
        <v>1182789</v>
      </c>
      <c r="AL53" s="491">
        <f>Feb!$K37</f>
        <v>2339216</v>
      </c>
      <c r="AM53" s="491">
        <f>Feb!$K37</f>
        <v>2339216</v>
      </c>
      <c r="AN53" s="491">
        <f>Feb!$K37</f>
        <v>2339216</v>
      </c>
      <c r="AO53" s="491">
        <f>Feb!$K37</f>
        <v>2339216</v>
      </c>
      <c r="AP53" s="491">
        <f>Feb!$K37</f>
        <v>2339216</v>
      </c>
      <c r="AQ53" s="491">
        <f>Feb!$K37</f>
        <v>2339216</v>
      </c>
      <c r="AR53" s="491">
        <f>Feb!$K37</f>
        <v>2339216</v>
      </c>
      <c r="AS53" s="491">
        <f>Jan!$K37</f>
        <v>2843963</v>
      </c>
    </row>
    <row r="54" spans="1:45">
      <c r="A54" s="483"/>
      <c r="B54" s="481" t="s">
        <v>39</v>
      </c>
      <c r="C54" s="491">
        <f t="shared" si="39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>
        <f>Mar!$K38</f>
        <v>232</v>
      </c>
      <c r="AJ54" s="491">
        <f>Apr!$K38</f>
        <v>11807</v>
      </c>
      <c r="AK54" s="491">
        <f>May!$K38</f>
        <v>27568</v>
      </c>
      <c r="AL54" s="491"/>
      <c r="AM54" s="491"/>
      <c r="AN54" s="491"/>
      <c r="AO54" s="491"/>
      <c r="AP54" s="491"/>
      <c r="AQ54" s="491"/>
      <c r="AR54" s="491"/>
      <c r="AS54" s="491">
        <f>Jan!$K38</f>
        <v>2754</v>
      </c>
    </row>
    <row r="55" spans="1:45">
      <c r="A55" s="483"/>
      <c r="B55" s="481" t="s">
        <v>40</v>
      </c>
      <c r="C55" s="491">
        <f t="shared" si="39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>
        <f>Mar!$K39</f>
        <v>0</v>
      </c>
      <c r="AJ55" s="491">
        <f>Apr!$K39</f>
        <v>0</v>
      </c>
      <c r="AK55" s="491">
        <f>May!$K39</f>
        <v>0</v>
      </c>
      <c r="AL55" s="491"/>
      <c r="AM55" s="491"/>
      <c r="AN55" s="491"/>
      <c r="AO55" s="491"/>
      <c r="AP55" s="491"/>
      <c r="AQ55" s="491"/>
      <c r="AR55" s="491"/>
      <c r="AS55" s="491">
        <f>Jan!$K39</f>
        <v>0</v>
      </c>
    </row>
    <row r="56" spans="1:45" hidden="1">
      <c r="A56" s="483"/>
      <c r="B56" s="481" t="s">
        <v>41</v>
      </c>
      <c r="C56" s="491">
        <f t="shared" si="39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f t="shared" si="39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f t="shared" si="39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>
        <f>Mar!$K42</f>
        <v>0</v>
      </c>
      <c r="AJ58" s="491">
        <f>Apr!$K42</f>
        <v>0</v>
      </c>
      <c r="AK58" s="491">
        <f>May!$K42</f>
        <v>0</v>
      </c>
      <c r="AL58" s="491"/>
      <c r="AM58" s="491"/>
      <c r="AN58" s="491"/>
      <c r="AO58" s="491"/>
      <c r="AP58" s="491"/>
      <c r="AQ58" s="491"/>
      <c r="AR58" s="491"/>
      <c r="AS58" s="491">
        <f>Jan!$K42</f>
        <v>0</v>
      </c>
    </row>
    <row r="59" spans="1:45" hidden="1">
      <c r="A59" s="483"/>
      <c r="B59" s="481" t="s">
        <v>74</v>
      </c>
      <c r="C59" s="491">
        <f t="shared" ref="C59" si="40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thickBot="1">
      <c r="A60" s="483"/>
      <c r="B60" s="481" t="s">
        <v>21</v>
      </c>
      <c r="C60" s="542">
        <f t="shared" si="39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41">SUM(G52:G59)</f>
        <v>9560411</v>
      </c>
      <c r="H60" s="542">
        <f t="shared" si="41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S60" si="42">SUM(U52:U59)</f>
        <v>11853389</v>
      </c>
      <c r="V60" s="542">
        <f t="shared" si="42"/>
        <v>7975879</v>
      </c>
      <c r="W60" s="542">
        <f t="shared" si="42"/>
        <v>7051984</v>
      </c>
      <c r="X60" s="542">
        <f t="shared" si="42"/>
        <v>5286030</v>
      </c>
      <c r="Y60" s="542">
        <f t="shared" si="42"/>
        <v>2733897</v>
      </c>
      <c r="Z60" s="542">
        <f t="shared" si="42"/>
        <v>2096440</v>
      </c>
      <c r="AA60" s="542">
        <f t="shared" si="42"/>
        <v>1982316</v>
      </c>
      <c r="AB60" s="542">
        <f t="shared" si="42"/>
        <v>2300576</v>
      </c>
      <c r="AC60" s="542">
        <f t="shared" si="42"/>
        <v>2659390</v>
      </c>
      <c r="AD60" s="542">
        <f t="shared" si="42"/>
        <v>3938193</v>
      </c>
      <c r="AE60" s="542">
        <f t="shared" si="42"/>
        <v>9651342</v>
      </c>
      <c r="AF60" s="542">
        <f t="shared" si="42"/>
        <v>11926102</v>
      </c>
      <c r="AG60" s="542">
        <f t="shared" si="42"/>
        <v>11687768</v>
      </c>
      <c r="AH60" s="542">
        <f t="shared" si="42"/>
        <v>8803437</v>
      </c>
      <c r="AI60" s="542">
        <f t="shared" si="42"/>
        <v>8059448</v>
      </c>
      <c r="AJ60" s="542">
        <f t="shared" si="42"/>
        <v>3932071</v>
      </c>
      <c r="AK60" s="542">
        <f t="shared" si="42"/>
        <v>3024022</v>
      </c>
      <c r="AL60" s="542">
        <f t="shared" si="42"/>
        <v>2339216</v>
      </c>
      <c r="AM60" s="542">
        <f t="shared" si="42"/>
        <v>2339216</v>
      </c>
      <c r="AN60" s="542">
        <f t="shared" si="42"/>
        <v>2339216</v>
      </c>
      <c r="AO60" s="542">
        <f t="shared" si="42"/>
        <v>2339216</v>
      </c>
      <c r="AP60" s="542">
        <f t="shared" si="42"/>
        <v>6277409</v>
      </c>
      <c r="AQ60" s="542">
        <f t="shared" si="42"/>
        <v>2339216</v>
      </c>
      <c r="AR60" s="542">
        <f t="shared" si="42"/>
        <v>2339216</v>
      </c>
      <c r="AS60" s="542">
        <f t="shared" si="42"/>
        <v>11687768</v>
      </c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73">
        <v>3932071</v>
      </c>
      <c r="AK61" s="573">
        <v>3024022</v>
      </c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:AF63" si="43">U63+1</f>
        <v>201502</v>
      </c>
      <c r="W63" s="484">
        <f t="shared" si="43"/>
        <v>201503</v>
      </c>
      <c r="X63" s="484">
        <f t="shared" si="43"/>
        <v>201504</v>
      </c>
      <c r="Y63" s="484">
        <f t="shared" si="43"/>
        <v>201505</v>
      </c>
      <c r="Z63" s="484">
        <f t="shared" si="43"/>
        <v>201506</v>
      </c>
      <c r="AA63" s="484">
        <f t="shared" si="43"/>
        <v>201507</v>
      </c>
      <c r="AB63" s="484">
        <f t="shared" si="43"/>
        <v>201508</v>
      </c>
      <c r="AC63" s="484">
        <f t="shared" si="43"/>
        <v>201509</v>
      </c>
      <c r="AD63" s="484">
        <f t="shared" si="43"/>
        <v>201510</v>
      </c>
      <c r="AE63" s="484">
        <f t="shared" si="43"/>
        <v>201511</v>
      </c>
      <c r="AF63" s="484">
        <f t="shared" si="43"/>
        <v>201512</v>
      </c>
      <c r="AG63" s="484">
        <v>201601</v>
      </c>
      <c r="AH63" s="484">
        <f>AG63+1</f>
        <v>201602</v>
      </c>
      <c r="AI63" s="484">
        <f t="shared" ref="AI63:AR63" si="44">AH63+1</f>
        <v>201603</v>
      </c>
      <c r="AJ63" s="484">
        <f t="shared" si="44"/>
        <v>201604</v>
      </c>
      <c r="AK63" s="484">
        <f t="shared" si="44"/>
        <v>201605</v>
      </c>
      <c r="AL63" s="484">
        <f t="shared" si="44"/>
        <v>201606</v>
      </c>
      <c r="AM63" s="484">
        <f t="shared" si="44"/>
        <v>201607</v>
      </c>
      <c r="AN63" s="484">
        <f t="shared" si="44"/>
        <v>201608</v>
      </c>
      <c r="AO63" s="484">
        <f t="shared" si="44"/>
        <v>201609</v>
      </c>
      <c r="AP63" s="484">
        <f t="shared" si="44"/>
        <v>201610</v>
      </c>
      <c r="AQ63" s="484">
        <f t="shared" si="44"/>
        <v>201611</v>
      </c>
      <c r="AR63" s="484">
        <f t="shared" si="44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62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62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62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62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62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62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62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62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62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:AF73" si="45">U73+1</f>
        <v>201502</v>
      </c>
      <c r="W73" s="484">
        <f t="shared" si="45"/>
        <v>201503</v>
      </c>
      <c r="X73" s="484">
        <f t="shared" si="45"/>
        <v>201504</v>
      </c>
      <c r="Y73" s="484">
        <f t="shared" si="45"/>
        <v>201505</v>
      </c>
      <c r="Z73" s="484">
        <f t="shared" si="45"/>
        <v>201506</v>
      </c>
      <c r="AA73" s="484">
        <f t="shared" si="45"/>
        <v>201507</v>
      </c>
      <c r="AB73" s="484">
        <f t="shared" si="45"/>
        <v>201508</v>
      </c>
      <c r="AC73" s="484">
        <f t="shared" si="45"/>
        <v>201509</v>
      </c>
      <c r="AD73" s="484">
        <f t="shared" si="45"/>
        <v>201510</v>
      </c>
      <c r="AE73" s="484">
        <f t="shared" si="45"/>
        <v>201511</v>
      </c>
      <c r="AF73" s="484">
        <f t="shared" si="45"/>
        <v>201512</v>
      </c>
      <c r="AG73" s="484">
        <v>201601</v>
      </c>
      <c r="AH73" s="484">
        <f>AG73+1</f>
        <v>201602</v>
      </c>
      <c r="AI73" s="484">
        <f t="shared" ref="AI73:AR73" si="46">AH73+1</f>
        <v>201603</v>
      </c>
      <c r="AJ73" s="484">
        <f t="shared" si="46"/>
        <v>201604</v>
      </c>
      <c r="AK73" s="484">
        <f t="shared" si="46"/>
        <v>201605</v>
      </c>
      <c r="AL73" s="484">
        <f t="shared" si="46"/>
        <v>201606</v>
      </c>
      <c r="AM73" s="484">
        <f t="shared" si="46"/>
        <v>201607</v>
      </c>
      <c r="AN73" s="484">
        <f t="shared" si="46"/>
        <v>201608</v>
      </c>
      <c r="AO73" s="484">
        <f t="shared" si="46"/>
        <v>201609</v>
      </c>
      <c r="AP73" s="484">
        <f t="shared" si="46"/>
        <v>201610</v>
      </c>
      <c r="AQ73" s="484">
        <f t="shared" si="46"/>
        <v>201611</v>
      </c>
      <c r="AR73" s="484">
        <f t="shared" si="46"/>
        <v>201612</v>
      </c>
      <c r="AT73" s="564" t="s">
        <v>328</v>
      </c>
      <c r="AU73" s="525"/>
      <c r="AV73" s="482"/>
      <c r="AW73" s="482"/>
      <c r="AX73" s="482"/>
      <c r="AY73" s="482"/>
      <c r="BI73" s="482"/>
      <c r="BJ73" s="482"/>
    </row>
    <row r="74" spans="1:62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f>AT4</f>
        <v>201605</v>
      </c>
      <c r="AU74" s="526"/>
      <c r="AV74" s="514"/>
      <c r="AW74" s="514"/>
      <c r="AX74" s="523"/>
      <c r="AY74" s="515"/>
      <c r="BI74" s="482"/>
      <c r="BJ74" s="482"/>
    </row>
    <row r="75" spans="1:62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47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:AR75" si="48">AA79</f>
        <v>-11951.205399782522</v>
      </c>
      <c r="AC75" s="482">
        <f t="shared" si="48"/>
        <v>-11961.164737615674</v>
      </c>
      <c r="AD75" s="482">
        <f t="shared" si="48"/>
        <v>-11971.132374897021</v>
      </c>
      <c r="AE75" s="482">
        <f t="shared" si="48"/>
        <v>-11981.108318542769</v>
      </c>
      <c r="AF75" s="482">
        <f t="shared" si="48"/>
        <v>-11991.092575474888</v>
      </c>
      <c r="AG75" s="482">
        <f t="shared" si="48"/>
        <v>-12001.085152621117</v>
      </c>
      <c r="AH75" s="482">
        <f t="shared" si="48"/>
        <v>-12011.086056914968</v>
      </c>
      <c r="AI75" s="482">
        <f t="shared" si="48"/>
        <v>-12021.09529529573</v>
      </c>
      <c r="AJ75" s="482">
        <f t="shared" si="48"/>
        <v>-12031.112874708477</v>
      </c>
      <c r="AK75" s="482">
        <f t="shared" si="48"/>
        <v>-12041.138802104068</v>
      </c>
      <c r="AL75" s="482">
        <f t="shared" si="48"/>
        <v>-12051.173084439155</v>
      </c>
      <c r="AM75" s="482">
        <f t="shared" si="48"/>
        <v>-12061.215728676189</v>
      </c>
      <c r="AN75" s="482">
        <f t="shared" si="48"/>
        <v>-12071.266741783418</v>
      </c>
      <c r="AO75" s="482">
        <f t="shared" si="48"/>
        <v>-12081.326130734904</v>
      </c>
      <c r="AP75" s="482">
        <f t="shared" si="48"/>
        <v>-12091.393902510516</v>
      </c>
      <c r="AQ75" s="482">
        <f t="shared" si="48"/>
        <v>-12101.470064095942</v>
      </c>
      <c r="AR75" s="482">
        <f t="shared" si="48"/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62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49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10.034282335086724</v>
      </c>
      <c r="AY76" s="500">
        <v>0</v>
      </c>
    </row>
    <row r="77" spans="1:62" ht="16.2">
      <c r="B77" s="481" t="s">
        <v>4</v>
      </c>
      <c r="C77" s="482">
        <f t="shared" ref="C77:C78" si="50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51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51"/>
        <v>-9.9593378331521034</v>
      </c>
      <c r="AC77" s="489">
        <f t="shared" si="51"/>
        <v>-9.9676372813463967</v>
      </c>
      <c r="AD77" s="489">
        <f t="shared" si="51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52">((AG75*(AG74/12))+((AG76/2)*(AG74/12)))</f>
        <v>-10.000904293850931</v>
      </c>
      <c r="AH77" s="489">
        <f t="shared" si="52"/>
        <v>-10.009238380762474</v>
      </c>
      <c r="AI77" s="489">
        <f t="shared" si="52"/>
        <v>-10.017579412746443</v>
      </c>
      <c r="AJ77" s="489">
        <f t="shared" si="52"/>
        <v>-10.025927395590397</v>
      </c>
      <c r="AK77" s="489">
        <f t="shared" si="52"/>
        <v>-10.034282335086724</v>
      </c>
      <c r="AL77" s="489">
        <f t="shared" si="52"/>
        <v>-10.042644237032629</v>
      </c>
      <c r="AM77" s="489">
        <f t="shared" si="52"/>
        <v>-10.051013107230158</v>
      </c>
      <c r="AN77" s="489">
        <f t="shared" si="52"/>
        <v>-10.059388951486183</v>
      </c>
      <c r="AO77" s="489">
        <f t="shared" si="52"/>
        <v>-10.067771775612421</v>
      </c>
      <c r="AP77" s="489">
        <f t="shared" si="52"/>
        <v>-10.07616158542543</v>
      </c>
      <c r="AQ77" s="489">
        <f t="shared" si="52"/>
        <v>-10.084558386746618</v>
      </c>
      <c r="AR77" s="489">
        <f t="shared" si="52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10.034282335086724</v>
      </c>
    </row>
    <row r="78" spans="1:62" ht="16.2">
      <c r="B78" s="481" t="s">
        <v>148</v>
      </c>
      <c r="C78" s="482">
        <f t="shared" si="50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  <c r="BI78" s="483"/>
      <c r="BJ78" s="483"/>
    </row>
    <row r="79" spans="1:62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53">SUM(V75:V78)</f>
        <v>-11901.532960675278</v>
      </c>
      <c r="W79" s="541">
        <f t="shared" si="53"/>
        <v>-11911.450904809175</v>
      </c>
      <c r="X79" s="541">
        <f t="shared" si="53"/>
        <v>-11921.377113896517</v>
      </c>
      <c r="Y79" s="541">
        <f t="shared" si="53"/>
        <v>-11931.311594824763</v>
      </c>
      <c r="Z79" s="541">
        <f t="shared" si="53"/>
        <v>-11941.254354487117</v>
      </c>
      <c r="AA79" s="541">
        <f t="shared" si="53"/>
        <v>-11951.205399782522</v>
      </c>
      <c r="AB79" s="541">
        <f t="shared" si="53"/>
        <v>-11961.164737615674</v>
      </c>
      <c r="AC79" s="541">
        <f t="shared" si="53"/>
        <v>-11971.132374897021</v>
      </c>
      <c r="AD79" s="541">
        <f t="shared" si="53"/>
        <v>-11981.108318542769</v>
      </c>
      <c r="AE79" s="541">
        <f t="shared" si="53"/>
        <v>-11991.092575474888</v>
      </c>
      <c r="AF79" s="541">
        <f t="shared" si="53"/>
        <v>-12001.085152621117</v>
      </c>
      <c r="AG79" s="541">
        <f t="shared" si="53"/>
        <v>-12011.086056914968</v>
      </c>
      <c r="AH79" s="541">
        <f t="shared" si="53"/>
        <v>-12021.09529529573</v>
      </c>
      <c r="AI79" s="541">
        <f t="shared" si="53"/>
        <v>-12031.112874708477</v>
      </c>
      <c r="AJ79" s="541">
        <f t="shared" si="53"/>
        <v>-12041.138802104068</v>
      </c>
      <c r="AK79" s="541">
        <f t="shared" si="53"/>
        <v>-12051.173084439155</v>
      </c>
      <c r="AL79" s="541">
        <f t="shared" si="53"/>
        <v>-12061.215728676189</v>
      </c>
      <c r="AM79" s="541">
        <f t="shared" si="53"/>
        <v>-12071.266741783418</v>
      </c>
      <c r="AN79" s="541">
        <f t="shared" si="53"/>
        <v>-12081.326130734904</v>
      </c>
      <c r="AO79" s="541">
        <f t="shared" si="53"/>
        <v>-12091.393902510516</v>
      </c>
      <c r="AP79" s="541">
        <f t="shared" si="53"/>
        <v>-12101.470064095942</v>
      </c>
      <c r="AQ79" s="541">
        <f t="shared" si="53"/>
        <v>-12111.554622482689</v>
      </c>
      <c r="AR79" s="541">
        <f t="shared" si="53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62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R81" si="54">V79-V80</f>
        <v>1.7039324720826698E-2</v>
      </c>
      <c r="W81" s="482">
        <f t="shared" si="54"/>
        <v>1.9095190824373276E-2</v>
      </c>
      <c r="X81" s="482">
        <f t="shared" si="54"/>
        <v>2.2886103482960607E-2</v>
      </c>
      <c r="Y81" s="482">
        <f t="shared" si="54"/>
        <v>1.8405175236694049E-2</v>
      </c>
      <c r="Z81" s="482">
        <f t="shared" si="54"/>
        <v>1.5645512883565971E-2</v>
      </c>
      <c r="AA81" s="482">
        <f t="shared" si="54"/>
        <v>1.4600217476981925E-2</v>
      </c>
      <c r="AB81" s="482">
        <f t="shared" si="54"/>
        <v>1.5262384325978928E-2</v>
      </c>
      <c r="AC81" s="482">
        <f t="shared" si="54"/>
        <v>1.7625102978854557E-2</v>
      </c>
      <c r="AD81" s="482">
        <f t="shared" si="54"/>
        <v>2.1681457230442902E-2</v>
      </c>
      <c r="AE81" s="482">
        <f t="shared" si="54"/>
        <v>1.7424525112801348E-2</v>
      </c>
      <c r="AF81" s="482">
        <f t="shared" si="54"/>
        <v>1.4847378883132478E-2</v>
      </c>
      <c r="AG81" s="482">
        <f t="shared" si="54"/>
        <v>1.3943085032224189E-2</v>
      </c>
      <c r="AH81" s="482">
        <f t="shared" si="54"/>
        <v>1.4704704270116054E-2</v>
      </c>
      <c r="AI81" s="482">
        <f t="shared" si="54"/>
        <v>1.7125291522461339E-2</v>
      </c>
      <c r="AJ81" s="482">
        <f t="shared" si="54"/>
        <v>2.1197895932346E-2</v>
      </c>
      <c r="AK81" s="482">
        <f t="shared" si="54"/>
        <v>1.6915560845518485E-2</v>
      </c>
      <c r="AL81" s="482">
        <f t="shared" si="54"/>
        <v>1.4271323811044567E-2</v>
      </c>
      <c r="AM81" s="482">
        <f t="shared" si="54"/>
        <v>-10.03674178341862</v>
      </c>
      <c r="AN81" s="482">
        <f t="shared" si="54"/>
        <v>-20.096130734904364</v>
      </c>
      <c r="AO81" s="482">
        <f t="shared" si="54"/>
        <v>-12091.393902510516</v>
      </c>
      <c r="AP81" s="482">
        <f t="shared" si="54"/>
        <v>-12101.470064095942</v>
      </c>
      <c r="AQ81" s="482">
        <f t="shared" si="54"/>
        <v>-12111.554622482689</v>
      </c>
      <c r="AR81" s="482">
        <f t="shared" si="54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444" priority="27" operator="notEqual">
      <formula>E27</formula>
    </cfRule>
  </conditionalFormatting>
  <conditionalFormatting sqref="F28">
    <cfRule type="cellIs" dxfId="443" priority="26" operator="notEqual">
      <formula>F27</formula>
    </cfRule>
  </conditionalFormatting>
  <conditionalFormatting sqref="G28">
    <cfRule type="cellIs" dxfId="442" priority="25" operator="notEqual">
      <formula>G27</formula>
    </cfRule>
  </conditionalFormatting>
  <conditionalFormatting sqref="H28">
    <cfRule type="cellIs" dxfId="441" priority="24" operator="notEqual">
      <formula>H27</formula>
    </cfRule>
  </conditionalFormatting>
  <conditionalFormatting sqref="C28">
    <cfRule type="cellIs" dxfId="440" priority="23" operator="notEqual">
      <formula>C27</formula>
    </cfRule>
  </conditionalFormatting>
  <conditionalFormatting sqref="F61">
    <cfRule type="cellIs" dxfId="439" priority="22" operator="notEqual">
      <formula>F60</formula>
    </cfRule>
  </conditionalFormatting>
  <conditionalFormatting sqref="G61">
    <cfRule type="cellIs" dxfId="438" priority="21" operator="notEqual">
      <formula>G60</formula>
    </cfRule>
  </conditionalFormatting>
  <conditionalFormatting sqref="H61">
    <cfRule type="cellIs" dxfId="437" priority="20" operator="notEqual">
      <formula>H60</formula>
    </cfRule>
  </conditionalFormatting>
  <conditionalFormatting sqref="C61">
    <cfRule type="cellIs" dxfId="436" priority="19" operator="notEqual">
      <formula>C60</formula>
    </cfRule>
  </conditionalFormatting>
  <conditionalFormatting sqref="I61">
    <cfRule type="cellIs" dxfId="435" priority="18" operator="notEqual">
      <formula>I60</formula>
    </cfRule>
  </conditionalFormatting>
  <conditionalFormatting sqref="AY81 AY48 AY11">
    <cfRule type="cellIs" dxfId="434" priority="17" operator="notEqual">
      <formula>0</formula>
    </cfRule>
  </conditionalFormatting>
  <conditionalFormatting sqref="I28">
    <cfRule type="cellIs" dxfId="433" priority="16" operator="notEqual">
      <formula>I27</formula>
    </cfRule>
  </conditionalFormatting>
  <conditionalFormatting sqref="J28">
    <cfRule type="cellIs" dxfId="432" priority="15" operator="notEqual">
      <formula>J27</formula>
    </cfRule>
  </conditionalFormatting>
  <conditionalFormatting sqref="J61">
    <cfRule type="cellIs" dxfId="431" priority="14" operator="notEqual">
      <formula>J60</formula>
    </cfRule>
  </conditionalFormatting>
  <conditionalFormatting sqref="K28">
    <cfRule type="cellIs" dxfId="430" priority="13" operator="notEqual">
      <formula>K27</formula>
    </cfRule>
  </conditionalFormatting>
  <conditionalFormatting sqref="K61">
    <cfRule type="cellIs" dxfId="429" priority="12" operator="notEqual">
      <formula>K60</formula>
    </cfRule>
  </conditionalFormatting>
  <conditionalFormatting sqref="L28:M28">
    <cfRule type="cellIs" dxfId="428" priority="11" operator="notEqual">
      <formula>L27</formula>
    </cfRule>
  </conditionalFormatting>
  <conditionalFormatting sqref="N28">
    <cfRule type="cellIs" dxfId="427" priority="10" operator="notEqual">
      <formula>N27</formula>
    </cfRule>
  </conditionalFormatting>
  <conditionalFormatting sqref="U61">
    <cfRule type="cellIs" dxfId="426" priority="9" operator="notEqual">
      <formula>U60</formula>
    </cfRule>
  </conditionalFormatting>
  <conditionalFormatting sqref="U28:V28">
    <cfRule type="cellIs" dxfId="425" priority="8" operator="notEqual">
      <formula>U27</formula>
    </cfRule>
  </conditionalFormatting>
  <conditionalFormatting sqref="V28">
    <cfRule type="cellIs" dxfId="424" priority="7" operator="notEqual">
      <formula>V27</formula>
    </cfRule>
  </conditionalFormatting>
  <conditionalFormatting sqref="V61">
    <cfRule type="cellIs" dxfId="423" priority="6" operator="notEqual">
      <formula>V60</formula>
    </cfRule>
  </conditionalFormatting>
  <conditionalFormatting sqref="W28">
    <cfRule type="cellIs" dxfId="422" priority="5" operator="notEqual">
      <formula>W27</formula>
    </cfRule>
  </conditionalFormatting>
  <conditionalFormatting sqref="W61">
    <cfRule type="cellIs" dxfId="421" priority="4" operator="notEqual">
      <formula>W60</formula>
    </cfRule>
  </conditionalFormatting>
  <conditionalFormatting sqref="X28:Y28">
    <cfRule type="cellIs" dxfId="420" priority="3" operator="notEqual">
      <formula>X27</formula>
    </cfRule>
  </conditionalFormatting>
  <conditionalFormatting sqref="Z28">
    <cfRule type="cellIs" dxfId="419" priority="2" operator="notEqual">
      <formula>Z27</formula>
    </cfRule>
  </conditionalFormatting>
  <conditionalFormatting sqref="BG11">
    <cfRule type="cellIs" dxfId="418" priority="1" operator="notEqual">
      <formula>0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topLeftCell="AE1" zoomScale="85" zoomScaleNormal="85" zoomScaleSheetLayoutView="85" workbookViewId="0">
      <selection activeCell="AS38" sqref="AS38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35" width="18.109375" style="482" customWidth="1"/>
    <col min="36" max="36" width="19" style="482" customWidth="1"/>
    <col min="37" max="37" width="16.33203125" style="482" customWidth="1"/>
    <col min="38" max="44" width="16.33203125" style="482" hidden="1" customWidth="1"/>
    <col min="45" max="45" width="11.6640625" style="482" customWidth="1"/>
    <col min="46" max="46" width="37.88671875" style="482" bestFit="1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v>201310</v>
      </c>
      <c r="G3" s="484">
        <v>201311</v>
      </c>
      <c r="H3" s="484"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v>201502</v>
      </c>
      <c r="W3" s="484">
        <v>201503</v>
      </c>
      <c r="X3" s="484">
        <v>201504</v>
      </c>
      <c r="Y3" s="484">
        <v>201505</v>
      </c>
      <c r="Z3" s="484">
        <v>201506</v>
      </c>
      <c r="AA3" s="484">
        <v>201507</v>
      </c>
      <c r="AB3" s="484">
        <v>201508</v>
      </c>
      <c r="AC3" s="484">
        <v>201509</v>
      </c>
      <c r="AD3" s="484">
        <v>201510</v>
      </c>
      <c r="AE3" s="484">
        <v>201511</v>
      </c>
      <c r="AF3" s="484">
        <v>201512</v>
      </c>
      <c r="AG3" s="484">
        <v>201601</v>
      </c>
      <c r="AH3" s="484">
        <v>201602</v>
      </c>
      <c r="AI3" s="484">
        <v>201603</v>
      </c>
      <c r="AJ3" s="484">
        <v>201604</v>
      </c>
      <c r="AK3" s="484">
        <v>201605</v>
      </c>
      <c r="AL3" s="484">
        <v>201606</v>
      </c>
      <c r="AM3" s="484">
        <v>201607</v>
      </c>
      <c r="AN3" s="484">
        <v>201608</v>
      </c>
      <c r="AO3" s="484">
        <v>201609</v>
      </c>
      <c r="AP3" s="484">
        <v>201610</v>
      </c>
      <c r="AQ3" s="484">
        <v>201611</v>
      </c>
      <c r="AR3" s="484"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>
        <v>3.4599999999999999E-2</v>
      </c>
      <c r="AK4" s="488">
        <v>3.4599999999999999E-2</v>
      </c>
      <c r="AL4" s="488"/>
      <c r="AM4" s="488"/>
      <c r="AN4" s="488"/>
      <c r="AO4" s="488"/>
      <c r="AP4" s="488"/>
      <c r="AQ4" s="488"/>
      <c r="AR4" s="488"/>
      <c r="AT4" s="544">
        <v>201605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v>2712780.2600000002</v>
      </c>
      <c r="G5" s="482">
        <v>2255013.9900000002</v>
      </c>
      <c r="H5" s="482"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v>-4407824.1695987741</v>
      </c>
      <c r="AG5" s="482">
        <v>-6508323.8685397729</v>
      </c>
      <c r="AH5" s="482">
        <v>-8439847.1132167727</v>
      </c>
      <c r="AI5" s="482">
        <v>-9264796.9494047705</v>
      </c>
      <c r="AJ5" s="482">
        <v>-10398819.535470769</v>
      </c>
      <c r="AK5" s="482">
        <v>-12153304.785960769</v>
      </c>
      <c r="AL5" s="482">
        <v>-11927489.802942771</v>
      </c>
      <c r="AM5" s="482">
        <v>-11570472.828972772</v>
      </c>
      <c r="AN5" s="482">
        <v>-11417196.391910769</v>
      </c>
      <c r="AO5" s="482">
        <v>-11021817.563576769</v>
      </c>
      <c r="AP5" s="482">
        <v>-11477902.266678771</v>
      </c>
      <c r="AQ5" s="482">
        <v>-11553171.03522977</v>
      </c>
      <c r="AR5" s="482">
        <v>-13164063.011419769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v>0</v>
      </c>
    </row>
    <row r="6" spans="1:51" ht="16.2">
      <c r="B6" s="481" t="s">
        <v>254</v>
      </c>
      <c r="C6" s="482">
        <v>-9165504.8646689951</v>
      </c>
      <c r="D6" s="482"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v>-532526.84243099857</v>
      </c>
      <c r="AG6" s="482">
        <v>-173856.58066100068</v>
      </c>
      <c r="AH6" s="482">
        <v>105835.91384800058</v>
      </c>
      <c r="AI6" s="482">
        <v>-604740.2805199977</v>
      </c>
      <c r="AJ6" s="482">
        <v>-2253526.4287800011</v>
      </c>
      <c r="AK6" s="482">
        <v>-517992.58894400112</v>
      </c>
      <c r="AL6" s="482">
        <v>-980629.26678000088</v>
      </c>
      <c r="AM6" s="482">
        <v>-977679.20593799814</v>
      </c>
      <c r="AN6" s="482">
        <v>-801970.65527799854</v>
      </c>
      <c r="AO6" s="482">
        <v>-1342648.9440120016</v>
      </c>
      <c r="AP6" s="482">
        <v>-790814.72967299959</v>
      </c>
      <c r="AQ6" s="482">
        <v>-294955.25549999811</v>
      </c>
      <c r="AR6" s="482"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v>34666.5</v>
      </c>
      <c r="AY6" s="500">
        <v>0</v>
      </c>
    </row>
    <row r="7" spans="1:51" ht="16.2">
      <c r="B7" s="481" t="s">
        <v>255</v>
      </c>
      <c r="C7" s="482">
        <v>562349.20284799882</v>
      </c>
      <c r="D7" s="482"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v>-1552771.3765099996</v>
      </c>
      <c r="AG7" s="482">
        <v>-1737451.7240159996</v>
      </c>
      <c r="AH7" s="482">
        <v>-906843.13003599993</v>
      </c>
      <c r="AI7" s="482">
        <v>-502690.50554600032</v>
      </c>
      <c r="AJ7" s="482">
        <v>531507.01829000015</v>
      </c>
      <c r="AK7" s="482">
        <v>778474.07196199952</v>
      </c>
      <c r="AL7" s="482">
        <v>1337646.2407499996</v>
      </c>
      <c r="AM7" s="482">
        <v>1130955.6430000002</v>
      </c>
      <c r="AN7" s="482">
        <v>1197349.4836119998</v>
      </c>
      <c r="AO7" s="482">
        <v>886564.2409099997</v>
      </c>
      <c r="AP7" s="482">
        <v>715545.96112199978</v>
      </c>
      <c r="AQ7" s="482">
        <v>-1315936.7206899999</v>
      </c>
      <c r="AR7" s="482"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v>225814.9830179984</v>
      </c>
      <c r="AY7" s="500">
        <v>0</v>
      </c>
    </row>
    <row r="8" spans="1:51" ht="16.2">
      <c r="B8" s="481" t="s">
        <v>258</v>
      </c>
      <c r="C8" s="482">
        <v>-137881.70000000001</v>
      </c>
      <c r="D8" s="482">
        <v>-68530.340000000011</v>
      </c>
      <c r="E8" s="482">
        <v>7045.4</v>
      </c>
      <c r="F8" s="482">
        <v>6718.12</v>
      </c>
      <c r="G8" s="482">
        <v>1454.73</v>
      </c>
      <c r="H8" s="537"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v>-14761.7</v>
      </c>
      <c r="AG8" s="489">
        <v>-20214.939999999999</v>
      </c>
      <c r="AH8" s="489">
        <v>-23942.62</v>
      </c>
      <c r="AI8" s="489">
        <v>-26591.8</v>
      </c>
      <c r="AJ8" s="489">
        <v>-32465.84</v>
      </c>
      <c r="AK8" s="489">
        <v>-34666.5</v>
      </c>
      <c r="AL8" s="489">
        <v>0</v>
      </c>
      <c r="AM8" s="489">
        <v>0</v>
      </c>
      <c r="AN8" s="489">
        <v>0</v>
      </c>
      <c r="AO8" s="489">
        <v>0</v>
      </c>
      <c r="AP8" s="489">
        <v>0</v>
      </c>
      <c r="AQ8" s="489">
        <v>0</v>
      </c>
      <c r="AR8" s="489"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v>0</v>
      </c>
      <c r="AY8" s="500">
        <v>260481.4830179984</v>
      </c>
    </row>
    <row r="9" spans="1:51" ht="16.2">
      <c r="B9" s="481" t="s">
        <v>262</v>
      </c>
      <c r="C9" s="482"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">
        <v>11</v>
      </c>
      <c r="AU10" s="529">
        <v>191000</v>
      </c>
      <c r="AV10" s="529" t="s">
        <v>288</v>
      </c>
      <c r="AW10" s="529" t="s">
        <v>289</v>
      </c>
      <c r="AX10" s="503">
        <v>0</v>
      </c>
      <c r="AY10" s="521">
        <v>0</v>
      </c>
    </row>
    <row r="11" spans="1:51" ht="16.2" thickBot="1">
      <c r="B11" s="481" t="s">
        <v>264</v>
      </c>
      <c r="C11" s="482"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v>0</v>
      </c>
    </row>
    <row r="12" spans="1:51">
      <c r="B12" s="481" t="s">
        <v>148</v>
      </c>
      <c r="C12" s="482"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v>-8741037.3618209958</v>
      </c>
      <c r="D13" s="541"/>
      <c r="E13" s="541">
        <v>2712780.2600000002</v>
      </c>
      <c r="F13" s="541">
        <v>2255013.9900000002</v>
      </c>
      <c r="G13" s="541">
        <v>-33498.738666789999</v>
      </c>
      <c r="H13" s="541"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v>-1694440.0214187815</v>
      </c>
      <c r="W13" s="541">
        <v>-683405.33395377884</v>
      </c>
      <c r="X13" s="541">
        <v>-2769396.4708657796</v>
      </c>
      <c r="Y13" s="541">
        <v>-2940906.6891037785</v>
      </c>
      <c r="Z13" s="541">
        <v>-3112721.2246137792</v>
      </c>
      <c r="AA13" s="541">
        <v>-3464489.8670317773</v>
      </c>
      <c r="AB13" s="541">
        <v>-3555298.2266717753</v>
      </c>
      <c r="AC13" s="541">
        <v>-4755858.0107337767</v>
      </c>
      <c r="AD13" s="541">
        <v>-5900360.3440987766</v>
      </c>
      <c r="AE13" s="541">
        <v>-4407824.1695987741</v>
      </c>
      <c r="AF13" s="541">
        <v>-6508323.8685397729</v>
      </c>
      <c r="AG13" s="541">
        <v>-8439847.1132167727</v>
      </c>
      <c r="AH13" s="541">
        <v>-9264796.9494047705</v>
      </c>
      <c r="AI13" s="541">
        <v>-10398819.535470769</v>
      </c>
      <c r="AJ13" s="541">
        <v>-12153304.785960769</v>
      </c>
      <c r="AK13" s="541">
        <v>-11927489.802942771</v>
      </c>
      <c r="AL13" s="541">
        <v>-11570472.828972772</v>
      </c>
      <c r="AM13" s="541">
        <v>-11417196.391910769</v>
      </c>
      <c r="AN13" s="541">
        <v>-11021817.563576769</v>
      </c>
      <c r="AO13" s="541">
        <v>-11477902.266678771</v>
      </c>
      <c r="AP13" s="541">
        <v>-11553171.03522977</v>
      </c>
      <c r="AQ13" s="541">
        <v>-13164063.011419769</v>
      </c>
      <c r="AR13" s="541">
        <v>-15249361.230360767</v>
      </c>
    </row>
    <row r="14" spans="1:51" ht="16.2" thickTop="1">
      <c r="B14" s="481" t="s">
        <v>260</v>
      </c>
      <c r="E14" s="482">
        <v>2712780.25</v>
      </c>
      <c r="F14" s="482">
        <v>2255013.98</v>
      </c>
      <c r="G14" s="482">
        <v>-33498.75</v>
      </c>
      <c r="H14" s="482"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v>-1694440.02</v>
      </c>
      <c r="W14" s="482">
        <v>-683405.33</v>
      </c>
      <c r="X14" s="482">
        <v>-2769396.47</v>
      </c>
      <c r="Y14" s="482">
        <v>-2940906.69</v>
      </c>
      <c r="Z14" s="482">
        <v>-3112721.23</v>
      </c>
      <c r="AA14" s="482">
        <v>-3464489.87</v>
      </c>
      <c r="AB14" s="482">
        <v>-3555298.23</v>
      </c>
      <c r="AC14" s="482">
        <v>-4755858.01</v>
      </c>
      <c r="AD14" s="482">
        <v>-5900360.3399999999</v>
      </c>
      <c r="AE14" s="482">
        <v>-4407824.17</v>
      </c>
      <c r="AF14" s="482">
        <v>-6508323.8700000001</v>
      </c>
      <c r="AG14" s="482">
        <v>-8432290.1199999992</v>
      </c>
      <c r="AH14" s="482">
        <v>-9264796.9499999993</v>
      </c>
      <c r="AI14" s="482">
        <v>-10398819.539999999</v>
      </c>
      <c r="AJ14" s="482">
        <v>-12153304.789999999</v>
      </c>
      <c r="AK14" s="482">
        <v>-11927489.810000001</v>
      </c>
      <c r="AL14" s="482">
        <v>-11927489.810000001</v>
      </c>
      <c r="AM14" s="482">
        <v>0</v>
      </c>
      <c r="AN14" s="482">
        <v>0</v>
      </c>
      <c r="AO14" s="482">
        <v>0</v>
      </c>
      <c r="AP14" s="482">
        <v>0</v>
      </c>
      <c r="AQ14" s="482">
        <v>0</v>
      </c>
      <c r="AR14" s="482">
        <v>0</v>
      </c>
    </row>
    <row r="15" spans="1:51">
      <c r="B15" s="481" t="s">
        <v>245</v>
      </c>
      <c r="E15" s="482">
        <v>1.0000000242143869E-2</v>
      </c>
      <c r="F15" s="482">
        <v>1.0000000242143869E-2</v>
      </c>
      <c r="G15" s="482">
        <v>1.1333210000884719E-2</v>
      </c>
      <c r="H15" s="482"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v>-1.418781466782093E-3</v>
      </c>
      <c r="W15" s="482">
        <v>-3.9537788834422827E-3</v>
      </c>
      <c r="X15" s="482">
        <v>-8.6577935144305229E-4</v>
      </c>
      <c r="Y15" s="482">
        <v>8.9622149243950844E-4</v>
      </c>
      <c r="Z15" s="482">
        <v>5.3862207569181919E-3</v>
      </c>
      <c r="AA15" s="482">
        <v>2.9682228341698647E-3</v>
      </c>
      <c r="AB15" s="482">
        <v>3.3282246440649033E-3</v>
      </c>
      <c r="AC15" s="482">
        <v>-7.3377694934606552E-4</v>
      </c>
      <c r="AD15" s="482">
        <v>-4.0987767279148102E-3</v>
      </c>
      <c r="AE15" s="482">
        <v>4.0122587233781815E-4</v>
      </c>
      <c r="AF15" s="482">
        <v>1.4602271839976311E-3</v>
      </c>
      <c r="AG15" s="482">
        <v>-7556.9932167734951</v>
      </c>
      <c r="AH15" s="482">
        <v>5.9522874653339386E-4</v>
      </c>
      <c r="AI15" s="482">
        <v>4.5292302966117859E-3</v>
      </c>
      <c r="AJ15" s="482">
        <v>4.0392298251390457E-3</v>
      </c>
      <c r="AK15" s="482">
        <v>7.0572290569543839E-3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v>201310</v>
      </c>
      <c r="G18" s="484">
        <v>201311</v>
      </c>
      <c r="H18" s="484"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v>201502</v>
      </c>
      <c r="W18" s="484">
        <v>201503</v>
      </c>
      <c r="X18" s="484">
        <v>201504</v>
      </c>
      <c r="Y18" s="484">
        <v>201505</v>
      </c>
      <c r="Z18" s="484">
        <v>201506</v>
      </c>
      <c r="AA18" s="484">
        <v>201507</v>
      </c>
      <c r="AB18" s="484">
        <v>201508</v>
      </c>
      <c r="AC18" s="484">
        <v>201509</v>
      </c>
      <c r="AD18" s="484">
        <v>201510</v>
      </c>
      <c r="AE18" s="484">
        <v>201511</v>
      </c>
      <c r="AF18" s="484">
        <v>201512</v>
      </c>
      <c r="AG18" s="484">
        <v>201601</v>
      </c>
      <c r="AH18" s="484">
        <v>201602</v>
      </c>
      <c r="AI18" s="484">
        <v>201603</v>
      </c>
      <c r="AJ18" s="484">
        <v>201604</v>
      </c>
      <c r="AK18" s="484">
        <v>201605</v>
      </c>
      <c r="AL18" s="484">
        <v>201606</v>
      </c>
      <c r="AM18" s="484">
        <v>201607</v>
      </c>
      <c r="AN18" s="484">
        <v>201608</v>
      </c>
      <c r="AO18" s="484">
        <v>201609</v>
      </c>
      <c r="AP18" s="484">
        <v>201610</v>
      </c>
      <c r="AQ18" s="484">
        <v>201611</v>
      </c>
      <c r="AR18" s="484">
        <v>201612</v>
      </c>
    </row>
    <row r="19" spans="1:45">
      <c r="A19" s="483"/>
      <c r="B19" s="481" t="s">
        <v>37</v>
      </c>
      <c r="C19" s="491">
        <v>55409736</v>
      </c>
      <c r="D19" s="491">
        <v>90244565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v>19459801</v>
      </c>
      <c r="AG19" s="543">
        <v>20140968</v>
      </c>
      <c r="AH19" s="543">
        <v>14297044</v>
      </c>
      <c r="AI19" s="543">
        <v>12238194</v>
      </c>
      <c r="AJ19" s="543">
        <v>5348802</v>
      </c>
      <c r="AK19" s="543">
        <v>3384728</v>
      </c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v>68994</v>
      </c>
      <c r="D20" s="491">
        <v>80438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v>7942</v>
      </c>
      <c r="AG20" s="543">
        <v>17893</v>
      </c>
      <c r="AH20" s="543">
        <v>14593</v>
      </c>
      <c r="AI20" s="543">
        <v>18603</v>
      </c>
      <c r="AJ20" s="543">
        <v>12171</v>
      </c>
      <c r="AK20" s="543">
        <v>5734</v>
      </c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v>21454629</v>
      </c>
      <c r="D21" s="491">
        <v>33124081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v>6165932</v>
      </c>
      <c r="AG21" s="543">
        <v>6568112</v>
      </c>
      <c r="AH21" s="543">
        <v>5200734</v>
      </c>
      <c r="AI21" s="543">
        <v>4795258</v>
      </c>
      <c r="AJ21" s="543">
        <v>2668983</v>
      </c>
      <c r="AK21" s="543">
        <v>2221542</v>
      </c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v>1655164</v>
      </c>
      <c r="D23" s="491">
        <v>2528342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v>331801</v>
      </c>
      <c r="AG23" s="543">
        <v>345863</v>
      </c>
      <c r="AH23" s="543">
        <v>408568</v>
      </c>
      <c r="AI23" s="543">
        <v>361566</v>
      </c>
      <c r="AJ23" s="543">
        <v>227877</v>
      </c>
      <c r="AK23" s="543">
        <v>311290</v>
      </c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v>0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v>0</v>
      </c>
      <c r="D25" s="491"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v>0</v>
      </c>
      <c r="AG25" s="543">
        <v>0</v>
      </c>
      <c r="AH25" s="543">
        <v>0</v>
      </c>
      <c r="AI25" s="543">
        <v>0</v>
      </c>
      <c r="AJ25" s="543">
        <v>0</v>
      </c>
      <c r="AK25" s="543">
        <v>0</v>
      </c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v>0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v>13864802</v>
      </c>
      <c r="D27" s="491">
        <v>20206044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v>3321068</v>
      </c>
      <c r="AG27" s="543">
        <v>3346687</v>
      </c>
      <c r="AH27" s="543">
        <v>2956295</v>
      </c>
      <c r="AI27" s="543">
        <v>2822744</v>
      </c>
      <c r="AJ27" s="543">
        <v>2379815</v>
      </c>
      <c r="AK27" s="543">
        <v>2359261</v>
      </c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v>92453325</v>
      </c>
      <c r="D28" s="542">
        <v>179344916</v>
      </c>
      <c r="E28" s="542">
        <v>6409834</v>
      </c>
      <c r="F28" s="542">
        <v>16252041</v>
      </c>
      <c r="G28" s="542">
        <v>24054373</v>
      </c>
      <c r="H28" s="542"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v>21809394</v>
      </c>
      <c r="W28" s="542">
        <v>17454090</v>
      </c>
      <c r="X28" s="542">
        <v>14032685</v>
      </c>
      <c r="Y28" s="542">
        <v>7651890</v>
      </c>
      <c r="Z28" s="542">
        <v>5795038</v>
      </c>
      <c r="AA28" s="542">
        <v>5628267</v>
      </c>
      <c r="AB28" s="542">
        <v>5459507</v>
      </c>
      <c r="AC28" s="542">
        <v>7409442</v>
      </c>
      <c r="AD28" s="542">
        <v>10025335</v>
      </c>
      <c r="AE28" s="542">
        <v>24443601</v>
      </c>
      <c r="AF28" s="542">
        <v>29286544</v>
      </c>
      <c r="AG28" s="542">
        <v>30419523</v>
      </c>
      <c r="AH28" s="542">
        <v>22877234</v>
      </c>
      <c r="AI28" s="542">
        <v>20236365</v>
      </c>
      <c r="AJ28" s="542">
        <v>10637648</v>
      </c>
      <c r="AK28" s="542">
        <v>8282555</v>
      </c>
      <c r="AL28" s="542">
        <v>0</v>
      </c>
      <c r="AM28" s="542">
        <v>0</v>
      </c>
      <c r="AN28" s="542">
        <v>0</v>
      </c>
      <c r="AO28" s="542">
        <v>0</v>
      </c>
      <c r="AP28" s="542">
        <v>0</v>
      </c>
      <c r="AQ28" s="542">
        <v>0</v>
      </c>
      <c r="AR28" s="542">
        <v>0</v>
      </c>
    </row>
    <row r="29" spans="1:45" ht="16.2" thickTop="1">
      <c r="A29" s="483"/>
      <c r="B29" s="481" t="s">
        <v>269</v>
      </c>
      <c r="C29" s="491">
        <v>92453325</v>
      </c>
      <c r="D29" s="491"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>
        <v>10637648</v>
      </c>
      <c r="AK29" s="491">
        <v>8282555</v>
      </c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v>201310</v>
      </c>
      <c r="G31" s="484">
        <v>201311</v>
      </c>
      <c r="H31" s="484"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v>201502</v>
      </c>
      <c r="W31" s="484">
        <v>201503</v>
      </c>
      <c r="X31" s="484">
        <v>201504</v>
      </c>
      <c r="Y31" s="484">
        <v>201505</v>
      </c>
      <c r="Z31" s="484">
        <v>201506</v>
      </c>
      <c r="AA31" s="484">
        <v>201507</v>
      </c>
      <c r="AB31" s="484">
        <v>201508</v>
      </c>
      <c r="AC31" s="484">
        <v>201509</v>
      </c>
      <c r="AD31" s="484">
        <v>201510</v>
      </c>
      <c r="AE31" s="484">
        <v>201511</v>
      </c>
      <c r="AF31" s="484">
        <v>201512</v>
      </c>
      <c r="AG31" s="484">
        <v>201601</v>
      </c>
      <c r="AH31" s="484">
        <v>201602</v>
      </c>
      <c r="AI31" s="484">
        <v>201603</v>
      </c>
      <c r="AJ31" s="484">
        <v>201604</v>
      </c>
      <c r="AK31" s="484">
        <v>201605</v>
      </c>
      <c r="AL31" s="484">
        <v>201606</v>
      </c>
      <c r="AM31" s="484">
        <v>201607</v>
      </c>
      <c r="AN31" s="484">
        <v>201608</v>
      </c>
      <c r="AO31" s="484">
        <v>201609</v>
      </c>
      <c r="AP31" s="484">
        <v>201610</v>
      </c>
      <c r="AQ31" s="484">
        <v>201611</v>
      </c>
      <c r="AR31" s="484"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v>201605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v>201310</v>
      </c>
      <c r="G42" s="484">
        <v>201311</v>
      </c>
      <c r="H42" s="484"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v>201502</v>
      </c>
      <c r="W42" s="484">
        <v>201503</v>
      </c>
      <c r="X42" s="484">
        <v>201504</v>
      </c>
      <c r="Y42" s="484">
        <v>201505</v>
      </c>
      <c r="Z42" s="484">
        <v>201506</v>
      </c>
      <c r="AA42" s="484">
        <v>201507</v>
      </c>
      <c r="AB42" s="484">
        <v>201508</v>
      </c>
      <c r="AC42" s="484">
        <v>201509</v>
      </c>
      <c r="AD42" s="484">
        <v>201510</v>
      </c>
      <c r="AE42" s="484">
        <v>201511</v>
      </c>
      <c r="AF42" s="484">
        <v>201512</v>
      </c>
      <c r="AG42" s="484">
        <v>201601</v>
      </c>
      <c r="AH42" s="484">
        <v>201602</v>
      </c>
      <c r="AI42" s="484">
        <v>201603</v>
      </c>
      <c r="AJ42" s="484">
        <v>201604</v>
      </c>
      <c r="AK42" s="484">
        <v>201605</v>
      </c>
      <c r="AL42" s="484">
        <v>201606</v>
      </c>
      <c r="AM42" s="484">
        <v>201607</v>
      </c>
      <c r="AN42" s="484">
        <v>201608</v>
      </c>
      <c r="AO42" s="484">
        <v>201609</v>
      </c>
      <c r="AP42" s="484">
        <v>201610</v>
      </c>
      <c r="AQ42" s="484">
        <v>201611</v>
      </c>
      <c r="AR42" s="484"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v>2198.9256197082468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>
        <v>3.4599999999999999E-2</v>
      </c>
      <c r="AK43" s="488">
        <v>3.4599999999999999E-2</v>
      </c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v>113802.68454029175</v>
      </c>
      <c r="AY43" s="500">
        <v>0</v>
      </c>
    </row>
    <row r="44" spans="1:51" ht="16.2">
      <c r="A44" s="493"/>
      <c r="B44" s="481" t="s">
        <v>253</v>
      </c>
      <c r="E44" s="482">
        <v>-194854.27149590768</v>
      </c>
      <c r="F44" s="482">
        <v>-46035.360287444513</v>
      </c>
      <c r="G44" s="482">
        <v>404885.58467682183</v>
      </c>
      <c r="H44" s="482"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v>-2966848.8846008489</v>
      </c>
      <c r="AG44" s="482">
        <v>-2400830.7877258095</v>
      </c>
      <c r="AH44" s="482">
        <v>-1799942.4443073752</v>
      </c>
      <c r="AI44" s="482">
        <v>-1367080.388300563</v>
      </c>
      <c r="AJ44" s="482">
        <v>-991269.16134300514</v>
      </c>
      <c r="AK44" s="482">
        <v>-820633.96798459429</v>
      </c>
      <c r="AL44" s="482">
        <v>-706831.28344430251</v>
      </c>
      <c r="AM44" s="482">
        <v>-706831.28344430251</v>
      </c>
      <c r="AN44" s="482">
        <v>-706831.28344430251</v>
      </c>
      <c r="AO44" s="482">
        <v>-706831.28344430251</v>
      </c>
      <c r="AP44" s="482">
        <v>-706831.28344430251</v>
      </c>
      <c r="AQ44" s="482">
        <v>-706831.28344430251</v>
      </c>
      <c r="AR44" s="482">
        <v>-706831.28344430251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v>0</v>
      </c>
      <c r="AY44" s="500">
        <v>116001.61016</v>
      </c>
    </row>
    <row r="45" spans="1:51" ht="16.2">
      <c r="B45" s="481" t="s">
        <v>23</v>
      </c>
      <c r="C45" s="482">
        <v>1711959.8406199997</v>
      </c>
      <c r="D45" s="494">
        <v>2742332.8406199999</v>
      </c>
      <c r="E45" s="482">
        <v>149144.67478</v>
      </c>
      <c r="F45" s="482"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v>606569.19767999998</v>
      </c>
      <c r="AH45" s="482">
        <v>437144.93303000001</v>
      </c>
      <c r="AI45" s="482">
        <v>379000.50648999994</v>
      </c>
      <c r="AJ45" s="482">
        <v>173243.59325999999</v>
      </c>
      <c r="AK45" s="482">
        <v>116001.61016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153" t="s">
        <v>156</v>
      </c>
      <c r="AU45" s="209">
        <v>191000</v>
      </c>
      <c r="AV45" s="209" t="s">
        <v>288</v>
      </c>
      <c r="AW45" s="209" t="s">
        <v>289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v>-17960.336338492976</v>
      </c>
      <c r="D46" s="494">
        <v>-33928.127534264131</v>
      </c>
      <c r="E46" s="482">
        <v>-325.7635715368333</v>
      </c>
      <c r="F46" s="482">
        <v>485.28585426629616</v>
      </c>
      <c r="G46" s="482">
        <v>4107.1195298889406</v>
      </c>
      <c r="H46" s="489"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v>-7258.9031249606332</v>
      </c>
      <c r="AG46" s="489">
        <v>-5680.8542615657343</v>
      </c>
      <c r="AH46" s="489">
        <v>-4282.8770231876824</v>
      </c>
      <c r="AI46" s="489">
        <v>-3189.27953244215</v>
      </c>
      <c r="AJ46" s="489">
        <v>-2608.3999015891645</v>
      </c>
      <c r="AK46" s="489">
        <v>-2198.9256197082468</v>
      </c>
      <c r="AL46" s="489">
        <v>0</v>
      </c>
      <c r="AM46" s="489">
        <v>0</v>
      </c>
      <c r="AN46" s="489">
        <v>0</v>
      </c>
      <c r="AO46" s="489">
        <v>0</v>
      </c>
      <c r="AP46" s="489">
        <v>0</v>
      </c>
      <c r="AQ46" s="489">
        <v>0</v>
      </c>
      <c r="AR46" s="489">
        <v>0</v>
      </c>
      <c r="AT46" s="154" t="s">
        <v>156</v>
      </c>
      <c r="AU46" s="561">
        <v>805110</v>
      </c>
      <c r="AV46" s="561" t="s">
        <v>288</v>
      </c>
      <c r="AW46" s="561" t="s">
        <v>289</v>
      </c>
      <c r="AX46" s="464">
        <v>0</v>
      </c>
      <c r="AY46" s="473">
        <v>0</v>
      </c>
    </row>
    <row r="47" spans="1:51" ht="16.2" thickBot="1">
      <c r="B47" s="481" t="s">
        <v>259</v>
      </c>
      <c r="C47" s="482"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v>0</v>
      </c>
    </row>
    <row r="48" spans="1:51">
      <c r="B48" s="481" t="s">
        <v>148</v>
      </c>
      <c r="C48" s="482"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v>1693999.5042815066</v>
      </c>
      <c r="D49" s="541"/>
      <c r="E49" s="541">
        <v>-46035.360287444513</v>
      </c>
      <c r="F49" s="541">
        <v>404885.58467682183</v>
      </c>
      <c r="G49" s="541">
        <v>1486369.5928734979</v>
      </c>
      <c r="H49" s="541"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v>-978605.01769356499</v>
      </c>
      <c r="W49" s="541">
        <v>-801445.32791263924</v>
      </c>
      <c r="X49" s="541">
        <v>-669275.24177190254</v>
      </c>
      <c r="Y49" s="541">
        <v>-610882.24266902648</v>
      </c>
      <c r="Z49" s="541">
        <v>-574943.04011245095</v>
      </c>
      <c r="AA49" s="541">
        <v>-537511.27700320142</v>
      </c>
      <c r="AB49" s="541">
        <v>-503286.03358886426</v>
      </c>
      <c r="AC49" s="541">
        <v>-446057.56644618412</v>
      </c>
      <c r="AD49" s="541">
        <v>-360318.05653003836</v>
      </c>
      <c r="AE49" s="541">
        <v>-2966848.8846008489</v>
      </c>
      <c r="AF49" s="541">
        <v>-2400830.7877258095</v>
      </c>
      <c r="AG49" s="541">
        <v>-1799942.4443073752</v>
      </c>
      <c r="AH49" s="541">
        <v>-1367080.388300563</v>
      </c>
      <c r="AI49" s="541">
        <v>-991269.16134300514</v>
      </c>
      <c r="AJ49" s="541">
        <v>-820633.96798459429</v>
      </c>
      <c r="AK49" s="541">
        <v>-706831.28344430251</v>
      </c>
      <c r="AL49" s="541">
        <v>-706831.28344430251</v>
      </c>
      <c r="AM49" s="541">
        <v>-706831.28344430251</v>
      </c>
      <c r="AN49" s="541">
        <v>-706831.28344430251</v>
      </c>
      <c r="AO49" s="541">
        <v>-706831.28344430251</v>
      </c>
      <c r="AP49" s="541">
        <v>-706831.28344430251</v>
      </c>
      <c r="AQ49" s="541">
        <v>-706831.28344430251</v>
      </c>
      <c r="AR49" s="541">
        <v>-706831.28344430251</v>
      </c>
    </row>
    <row r="50" spans="1:50" ht="16.2" thickTop="1">
      <c r="B50" s="481" t="s">
        <v>260</v>
      </c>
      <c r="E50" s="482">
        <v>-46035.14</v>
      </c>
      <c r="F50" s="482">
        <v>404885.81</v>
      </c>
      <c r="G50" s="482">
        <v>1486369.82</v>
      </c>
      <c r="H50" s="482"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v>-978604.8</v>
      </c>
      <c r="W50" s="482">
        <v>-801445.11</v>
      </c>
      <c r="X50" s="482">
        <v>-669275.02</v>
      </c>
      <c r="Y50" s="482">
        <v>-610882.02</v>
      </c>
      <c r="Z50" s="482">
        <v>-574942.81999999995</v>
      </c>
      <c r="AA50" s="482">
        <v>-537511.06000000006</v>
      </c>
      <c r="AB50" s="482">
        <v>-503285.82</v>
      </c>
      <c r="AC50" s="482">
        <v>-446057.35</v>
      </c>
      <c r="AD50" s="482">
        <v>-360317.84</v>
      </c>
      <c r="AE50" s="482">
        <v>-2966848.67</v>
      </c>
      <c r="AF50" s="482">
        <v>-2400830.5699999998</v>
      </c>
      <c r="AG50" s="482">
        <v>-1799942.22</v>
      </c>
      <c r="AH50" s="482">
        <v>-1367080.17</v>
      </c>
      <c r="AI50" s="482">
        <v>-991268.94</v>
      </c>
      <c r="AJ50" s="482">
        <v>-820633.75</v>
      </c>
      <c r="AK50" s="482">
        <v>-706831.07</v>
      </c>
      <c r="AL50" s="482">
        <v>-706831.07</v>
      </c>
      <c r="AM50" s="482">
        <v>0</v>
      </c>
      <c r="AN50" s="482">
        <v>0</v>
      </c>
      <c r="AO50" s="482">
        <v>0</v>
      </c>
      <c r="AP50" s="482">
        <v>0</v>
      </c>
      <c r="AQ50" s="482">
        <v>0</v>
      </c>
      <c r="AR50" s="482">
        <v>0</v>
      </c>
      <c r="AX50" s="563"/>
    </row>
    <row r="51" spans="1:50">
      <c r="B51" s="481" t="s">
        <v>245</v>
      </c>
      <c r="E51" s="482">
        <v>-0.22028744451381499</v>
      </c>
      <c r="F51" s="482">
        <v>-0.22532317816512659</v>
      </c>
      <c r="G51" s="482">
        <v>-0.22712650219909847</v>
      </c>
      <c r="H51" s="482"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v>-0.21769356494769454</v>
      </c>
      <c r="W51" s="482">
        <v>-0.21791263925842941</v>
      </c>
      <c r="X51" s="482">
        <v>-0.22177190252114087</v>
      </c>
      <c r="Y51" s="482">
        <v>-0.22266902646515518</v>
      </c>
      <c r="Z51" s="482">
        <v>-0.22011245100293308</v>
      </c>
      <c r="AA51" s="482">
        <v>-0.21700320136733353</v>
      </c>
      <c r="AB51" s="482">
        <v>-0.21358886425150558</v>
      </c>
      <c r="AC51" s="482">
        <v>-0.21644618414575234</v>
      </c>
      <c r="AD51" s="482">
        <v>-0.21653003833489493</v>
      </c>
      <c r="AE51" s="482">
        <v>-0.21460084896534681</v>
      </c>
      <c r="AF51" s="482">
        <v>-0.21772580966353416</v>
      </c>
      <c r="AG51" s="482">
        <v>-0.22430737526156008</v>
      </c>
      <c r="AH51" s="482">
        <v>-0.21830056305043399</v>
      </c>
      <c r="AI51" s="482">
        <v>-0.22134300519246608</v>
      </c>
      <c r="AJ51" s="482">
        <v>-0.2179845942882821</v>
      </c>
      <c r="AK51" s="482">
        <v>-0.21344430255703628</v>
      </c>
      <c r="AL51" s="482">
        <v>-0.21344430255703628</v>
      </c>
      <c r="AM51" s="482">
        <v>-706831.28344430251</v>
      </c>
      <c r="AN51" s="482">
        <v>-706831.28344430251</v>
      </c>
      <c r="AO51" s="482">
        <v>-706831.28344430251</v>
      </c>
      <c r="AP51" s="482">
        <v>-706831.28344430251</v>
      </c>
      <c r="AQ51" s="482">
        <v>-706831.28344430251</v>
      </c>
      <c r="AR51" s="482">
        <v>-706831.28344430251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v>201310</v>
      </c>
      <c r="G54" s="484">
        <v>201311</v>
      </c>
      <c r="H54" s="484"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v>201502</v>
      </c>
      <c r="W54" s="484">
        <v>201503</v>
      </c>
      <c r="X54" s="484">
        <v>201504</v>
      </c>
      <c r="Y54" s="484">
        <v>201505</v>
      </c>
      <c r="Z54" s="484">
        <v>201506</v>
      </c>
      <c r="AA54" s="484">
        <v>201507</v>
      </c>
      <c r="AB54" s="484">
        <v>201508</v>
      </c>
      <c r="AC54" s="484">
        <v>201509</v>
      </c>
      <c r="AD54" s="484">
        <v>201510</v>
      </c>
      <c r="AE54" s="484">
        <v>201511</v>
      </c>
      <c r="AF54" s="484">
        <v>201512</v>
      </c>
      <c r="AG54" s="484">
        <v>201601</v>
      </c>
      <c r="AH54" s="484">
        <v>201602</v>
      </c>
      <c r="AI54" s="484">
        <v>201603</v>
      </c>
      <c r="AJ54" s="484">
        <v>201604</v>
      </c>
      <c r="AK54" s="484">
        <v>201605</v>
      </c>
      <c r="AL54" s="484">
        <v>201606</v>
      </c>
      <c r="AM54" s="484">
        <v>201607</v>
      </c>
      <c r="AN54" s="484">
        <v>201608</v>
      </c>
      <c r="AO54" s="484">
        <v>201609</v>
      </c>
      <c r="AP54" s="484">
        <v>201610</v>
      </c>
      <c r="AQ54" s="484">
        <v>201611</v>
      </c>
      <c r="AR54" s="484">
        <v>201612</v>
      </c>
      <c r="AX54" s="563"/>
    </row>
    <row r="55" spans="1:50">
      <c r="A55" s="483"/>
      <c r="B55" s="481" t="s">
        <v>37</v>
      </c>
      <c r="C55" s="491">
        <v>55409736</v>
      </c>
      <c r="D55" s="491">
        <v>90244565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v>19459801</v>
      </c>
      <c r="AG55" s="543">
        <v>20140968</v>
      </c>
      <c r="AH55" s="543">
        <v>14297044</v>
      </c>
      <c r="AI55" s="543">
        <v>12238194</v>
      </c>
      <c r="AJ55" s="543">
        <v>5348802</v>
      </c>
      <c r="AK55" s="543">
        <v>3384728</v>
      </c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v>68994</v>
      </c>
      <c r="D56" s="491">
        <v>80438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v>7942</v>
      </c>
      <c r="AG56" s="543">
        <v>17893</v>
      </c>
      <c r="AH56" s="543">
        <v>14593</v>
      </c>
      <c r="AI56" s="543">
        <v>18603</v>
      </c>
      <c r="AJ56" s="543">
        <v>12171</v>
      </c>
      <c r="AK56" s="543">
        <v>5734</v>
      </c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v>21454629</v>
      </c>
      <c r="D57" s="491">
        <v>33124081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v>6165932</v>
      </c>
      <c r="AG57" s="543">
        <v>6568112</v>
      </c>
      <c r="AH57" s="543">
        <v>5200734</v>
      </c>
      <c r="AI57" s="543">
        <v>4795258</v>
      </c>
      <c r="AJ57" s="543">
        <v>2668983</v>
      </c>
      <c r="AK57" s="543">
        <v>2221542</v>
      </c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v>0</v>
      </c>
      <c r="D58" s="491"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v>0</v>
      </c>
      <c r="AG58" s="543">
        <v>0</v>
      </c>
      <c r="AH58" s="543">
        <v>0</v>
      </c>
      <c r="AI58" s="543">
        <v>0</v>
      </c>
      <c r="AJ58" s="543">
        <v>0</v>
      </c>
      <c r="AK58" s="543">
        <v>0</v>
      </c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v>1655164</v>
      </c>
      <c r="D59" s="491">
        <v>2528342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v>331801</v>
      </c>
      <c r="AG59" s="543">
        <v>345863</v>
      </c>
      <c r="AH59" s="543">
        <v>408568</v>
      </c>
      <c r="AI59" s="543">
        <v>361566</v>
      </c>
      <c r="AJ59" s="543">
        <v>227877</v>
      </c>
      <c r="AK59" s="543">
        <v>311290</v>
      </c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v>307736</v>
      </c>
      <c r="D60" s="491">
        <v>430097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v>74705</v>
      </c>
      <c r="AG60" s="543">
        <v>83853</v>
      </c>
      <c r="AH60" s="543">
        <v>67179</v>
      </c>
      <c r="AI60" s="543">
        <v>59583</v>
      </c>
      <c r="AJ60" s="543">
        <v>54523</v>
      </c>
      <c r="AK60" s="543">
        <v>42598</v>
      </c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v>0</v>
      </c>
      <c r="D61" s="491"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v>0</v>
      </c>
      <c r="AG61" s="543">
        <v>0</v>
      </c>
      <c r="AH61" s="543">
        <v>0</v>
      </c>
      <c r="AI61" s="543">
        <v>0</v>
      </c>
      <c r="AJ61" s="543">
        <v>0</v>
      </c>
      <c r="AK61" s="543">
        <v>0</v>
      </c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v>535753</v>
      </c>
      <c r="D62" s="491">
        <v>661701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v>51167</v>
      </c>
      <c r="AG62" s="543">
        <v>203731</v>
      </c>
      <c r="AH62" s="543">
        <v>102322</v>
      </c>
      <c r="AI62" s="543">
        <v>89942</v>
      </c>
      <c r="AJ62" s="543">
        <v>82073</v>
      </c>
      <c r="AK62" s="543">
        <v>57685</v>
      </c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v>13864802</v>
      </c>
      <c r="D63" s="491">
        <v>20206044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v>3321068</v>
      </c>
      <c r="AG63" s="543">
        <v>3346687</v>
      </c>
      <c r="AH63" s="543">
        <v>2956295</v>
      </c>
      <c r="AI63" s="543">
        <v>2822744</v>
      </c>
      <c r="AJ63" s="543">
        <v>2379815</v>
      </c>
      <c r="AK63" s="543">
        <v>2359261</v>
      </c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v>93296814</v>
      </c>
      <c r="D64" s="542">
        <v>180899844</v>
      </c>
      <c r="E64" s="542">
        <v>6495675</v>
      </c>
      <c r="F64" s="542">
        <v>16361170</v>
      </c>
      <c r="G64" s="542">
        <v>24248041</v>
      </c>
      <c r="H64" s="542"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v>22001617</v>
      </c>
      <c r="W64" s="542">
        <v>17611817</v>
      </c>
      <c r="X64" s="542">
        <v>14163392</v>
      </c>
      <c r="Y64" s="542">
        <v>7782410</v>
      </c>
      <c r="Z64" s="542">
        <v>5881684</v>
      </c>
      <c r="AA64" s="542">
        <v>5669948</v>
      </c>
      <c r="AB64" s="542">
        <v>5554978</v>
      </c>
      <c r="AC64" s="542">
        <v>7484702</v>
      </c>
      <c r="AD64" s="542">
        <v>10158046</v>
      </c>
      <c r="AE64" s="542">
        <v>24566038</v>
      </c>
      <c r="AF64" s="542">
        <v>29412416</v>
      </c>
      <c r="AG64" s="542">
        <v>30707107</v>
      </c>
      <c r="AH64" s="542">
        <v>23046735</v>
      </c>
      <c r="AI64" s="542">
        <v>20385890</v>
      </c>
      <c r="AJ64" s="542">
        <v>10774244</v>
      </c>
      <c r="AK64" s="542">
        <v>8382838</v>
      </c>
      <c r="AL64" s="542">
        <v>0</v>
      </c>
      <c r="AM64" s="542">
        <v>0</v>
      </c>
      <c r="AN64" s="542">
        <v>0</v>
      </c>
      <c r="AO64" s="542">
        <v>0</v>
      </c>
      <c r="AP64" s="542">
        <v>0</v>
      </c>
      <c r="AQ64" s="542">
        <v>0</v>
      </c>
      <c r="AR64" s="542">
        <v>0</v>
      </c>
    </row>
    <row r="65" spans="1:51" ht="16.2" thickTop="1">
      <c r="A65" s="483"/>
      <c r="B65" s="481" t="s">
        <v>269</v>
      </c>
      <c r="C65" s="491">
        <v>93296814</v>
      </c>
      <c r="D65" s="491"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>
        <v>10774244</v>
      </c>
      <c r="AK65" s="491">
        <v>8382838</v>
      </c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v>201310</v>
      </c>
      <c r="G67" s="484">
        <v>201311</v>
      </c>
      <c r="H67" s="484"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v>201502</v>
      </c>
      <c r="W67" s="484">
        <v>201503</v>
      </c>
      <c r="X67" s="484">
        <v>201504</v>
      </c>
      <c r="Y67" s="484">
        <v>201505</v>
      </c>
      <c r="Z67" s="484">
        <v>201506</v>
      </c>
      <c r="AA67" s="484">
        <v>201507</v>
      </c>
      <c r="AB67" s="484">
        <v>201508</v>
      </c>
      <c r="AC67" s="484">
        <v>201509</v>
      </c>
      <c r="AD67" s="484">
        <v>201510</v>
      </c>
      <c r="AE67" s="484">
        <v>201511</v>
      </c>
      <c r="AF67" s="484">
        <v>201512</v>
      </c>
      <c r="AG67" s="484">
        <v>201601</v>
      </c>
      <c r="AH67" s="484">
        <v>201602</v>
      </c>
      <c r="AI67" s="484">
        <v>201603</v>
      </c>
      <c r="AJ67" s="484">
        <v>201604</v>
      </c>
      <c r="AK67" s="484">
        <v>201605</v>
      </c>
      <c r="AL67" s="484">
        <v>201606</v>
      </c>
      <c r="AM67" s="484">
        <v>201607</v>
      </c>
      <c r="AN67" s="484">
        <v>201608</v>
      </c>
      <c r="AO67" s="484">
        <v>201609</v>
      </c>
      <c r="AP67" s="484">
        <v>201610</v>
      </c>
      <c r="AQ67" s="484">
        <v>201611</v>
      </c>
      <c r="AR67" s="484"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v>201605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v>830.25022999999999</v>
      </c>
      <c r="AY76" s="500"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v>0</v>
      </c>
      <c r="AY77" s="500">
        <v>830.25022999999999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v>201310</v>
      </c>
      <c r="G78" s="484">
        <v>201311</v>
      </c>
      <c r="H78" s="484"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v>201502</v>
      </c>
      <c r="W78" s="484">
        <v>201503</v>
      </c>
      <c r="X78" s="484">
        <v>201504</v>
      </c>
      <c r="Y78" s="484">
        <v>201505</v>
      </c>
      <c r="Z78" s="484">
        <v>201506</v>
      </c>
      <c r="AA78" s="484">
        <v>201507</v>
      </c>
      <c r="AB78" s="484">
        <v>201508</v>
      </c>
      <c r="AC78" s="484">
        <v>201509</v>
      </c>
      <c r="AD78" s="484">
        <v>201510</v>
      </c>
      <c r="AE78" s="484">
        <v>201511</v>
      </c>
      <c r="AF78" s="484">
        <v>201512</v>
      </c>
      <c r="AG78" s="484">
        <v>201601</v>
      </c>
      <c r="AH78" s="484">
        <v>201602</v>
      </c>
      <c r="AI78" s="484">
        <v>201603</v>
      </c>
      <c r="AJ78" s="484">
        <v>201604</v>
      </c>
      <c r="AK78" s="484">
        <v>201605</v>
      </c>
      <c r="AL78" s="484">
        <v>201606</v>
      </c>
      <c r="AM78" s="484">
        <v>201607</v>
      </c>
      <c r="AN78" s="484">
        <v>201608</v>
      </c>
      <c r="AO78" s="484">
        <v>201609</v>
      </c>
      <c r="AP78" s="484">
        <v>201610</v>
      </c>
      <c r="AQ78" s="484">
        <v>201611</v>
      </c>
      <c r="AR78" s="484"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v>38932.729789999998</v>
      </c>
      <c r="G79" s="482">
        <v>8140.2385399999985</v>
      </c>
      <c r="H79" s="482"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v>-21380.93566000001</v>
      </c>
      <c r="AG79" s="482">
        <v>-18146.93566000001</v>
      </c>
      <c r="AH79" s="482">
        <v>-14523.147320000011</v>
      </c>
      <c r="AI79" s="482">
        <v>-11852.264220000012</v>
      </c>
      <c r="AJ79" s="482">
        <v>-9512.6003600000113</v>
      </c>
      <c r="AK79" s="482">
        <v>-8373.7282900000118</v>
      </c>
      <c r="AL79" s="482">
        <v>-7543.4780600000122</v>
      </c>
      <c r="AM79" s="482">
        <v>-7543.4780600000122</v>
      </c>
      <c r="AN79" s="482">
        <v>-7543.4780600000122</v>
      </c>
      <c r="AO79" s="482">
        <v>-7543.4780600000122</v>
      </c>
      <c r="AP79" s="482">
        <v>-7543.4780600000122</v>
      </c>
      <c r="AQ79" s="482">
        <v>-7543.4780600000122</v>
      </c>
      <c r="AR79" s="482">
        <v>-7543.4780600000122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v>10603.457599999998</v>
      </c>
      <c r="D80" s="494">
        <v>15654.457599999998</v>
      </c>
      <c r="E80" s="482">
        <v>-10606.31724</v>
      </c>
      <c r="F80" s="482"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v>3623.7883399999996</v>
      </c>
      <c r="AH80" s="563">
        <v>2670.8831</v>
      </c>
      <c r="AI80" s="563">
        <v>2339.6638599999997</v>
      </c>
      <c r="AJ80" s="563">
        <v>1138.8720699999999</v>
      </c>
      <c r="AK80" s="563">
        <v>830.25022999999999</v>
      </c>
      <c r="AL80" s="563">
        <v>0</v>
      </c>
      <c r="AM80" s="563">
        <v>0</v>
      </c>
      <c r="AN80" s="563">
        <v>0</v>
      </c>
      <c r="AO80" s="563">
        <v>0</v>
      </c>
      <c r="AP80" s="563">
        <v>0</v>
      </c>
      <c r="AQ80" s="563">
        <v>0</v>
      </c>
      <c r="AR80" s="563">
        <v>0</v>
      </c>
      <c r="AT80" s="516"/>
      <c r="AU80" s="530"/>
      <c r="AV80" s="517"/>
      <c r="AW80" s="517"/>
      <c r="AX80" s="517" t="s">
        <v>159</v>
      </c>
      <c r="AY80" s="518">
        <v>0</v>
      </c>
    </row>
    <row r="81" spans="2:44">
      <c r="B81" s="481" t="s">
        <v>148</v>
      </c>
      <c r="C81" s="482"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v>10603.457599999998</v>
      </c>
      <c r="D82" s="541"/>
      <c r="E82" s="541">
        <v>38932.729789999998</v>
      </c>
      <c r="F82" s="541">
        <v>8140.2385399999985</v>
      </c>
      <c r="G82" s="541">
        <v>-693.68146000000161</v>
      </c>
      <c r="H82" s="541"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v>-38138.117780000015</v>
      </c>
      <c r="W82" s="541">
        <v>-34282.961340000016</v>
      </c>
      <c r="X82" s="541">
        <v>-31253.873050000017</v>
      </c>
      <c r="Y82" s="541">
        <v>-29770.929110000015</v>
      </c>
      <c r="Z82" s="541">
        <v>-28708.282540000015</v>
      </c>
      <c r="AA82" s="541">
        <v>-27692.487530000013</v>
      </c>
      <c r="AB82" s="541">
        <v>-26711.886850000014</v>
      </c>
      <c r="AC82" s="541">
        <v>-25249.174790000012</v>
      </c>
      <c r="AD82" s="541">
        <v>-23171.93566000001</v>
      </c>
      <c r="AE82" s="541">
        <v>-21380.93566000001</v>
      </c>
      <c r="AF82" s="541">
        <v>-18146.93566000001</v>
      </c>
      <c r="AG82" s="541">
        <v>-14523.147320000011</v>
      </c>
      <c r="AH82" s="541">
        <v>-11852.264220000012</v>
      </c>
      <c r="AI82" s="541">
        <v>-9512.6003600000113</v>
      </c>
      <c r="AJ82" s="541">
        <v>-8373.7282900000118</v>
      </c>
      <c r="AK82" s="541">
        <v>-7543.4780600000122</v>
      </c>
      <c r="AL82" s="541">
        <v>-7543.4780600000122</v>
      </c>
      <c r="AM82" s="541">
        <v>-7543.4780600000122</v>
      </c>
      <c r="AN82" s="541">
        <v>-7543.4780600000122</v>
      </c>
      <c r="AO82" s="541">
        <v>-7543.4780600000122</v>
      </c>
      <c r="AP82" s="541">
        <v>-7543.4780600000122</v>
      </c>
      <c r="AQ82" s="541">
        <v>-7543.4780600000122</v>
      </c>
      <c r="AR82" s="541">
        <v>-7543.4780600000122</v>
      </c>
    </row>
    <row r="83" spans="2:44" ht="16.2" thickTop="1">
      <c r="B83" s="481" t="s">
        <v>260</v>
      </c>
      <c r="E83" s="482">
        <v>38932.730000000003</v>
      </c>
      <c r="F83" s="482">
        <v>8140.24</v>
      </c>
      <c r="G83" s="482">
        <v>-693.68</v>
      </c>
      <c r="H83" s="482"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v>-38138.129999999997</v>
      </c>
      <c r="W83" s="482">
        <v>-34282.97</v>
      </c>
      <c r="X83" s="482">
        <v>-31253.88</v>
      </c>
      <c r="Y83" s="482">
        <v>-29770.94</v>
      </c>
      <c r="Z83" s="482">
        <v>-28708.29</v>
      </c>
      <c r="AA83" s="482">
        <v>-27692.49</v>
      </c>
      <c r="AB83" s="482">
        <v>-26711.89</v>
      </c>
      <c r="AC83" s="482">
        <v>-25249.18</v>
      </c>
      <c r="AD83" s="482">
        <v>-23171.94</v>
      </c>
      <c r="AE83" s="482">
        <v>-21380.94</v>
      </c>
      <c r="AF83" s="482">
        <v>-18146.939999999999</v>
      </c>
      <c r="AG83" s="482">
        <v>-14523.15</v>
      </c>
      <c r="AH83" s="482">
        <v>-11852.27</v>
      </c>
      <c r="AI83" s="482">
        <v>-9512.61</v>
      </c>
      <c r="AJ83" s="482">
        <v>-8373.74</v>
      </c>
      <c r="AK83" s="482">
        <v>-7543.49</v>
      </c>
      <c r="AL83" s="482">
        <v>-7543.49</v>
      </c>
      <c r="AM83" s="482">
        <v>0</v>
      </c>
      <c r="AN83" s="482">
        <v>0</v>
      </c>
      <c r="AO83" s="482">
        <v>0</v>
      </c>
      <c r="AP83" s="482">
        <v>0</v>
      </c>
      <c r="AQ83" s="482">
        <v>0</v>
      </c>
      <c r="AR83" s="482">
        <v>0</v>
      </c>
    </row>
    <row r="84" spans="2:44">
      <c r="B84" s="481" t="s">
        <v>245</v>
      </c>
      <c r="E84" s="482">
        <v>-2.1000000560889021E-4</v>
      </c>
      <c r="F84" s="482">
        <v>-1.4600000013160752E-3</v>
      </c>
      <c r="G84" s="482">
        <v>-1.4600000016571357E-3</v>
      </c>
      <c r="H84" s="482"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v>1.2219999982335139E-2</v>
      </c>
      <c r="W84" s="482">
        <v>8.6599999849568121E-3</v>
      </c>
      <c r="X84" s="482">
        <v>6.9499999844992999E-3</v>
      </c>
      <c r="Y84" s="482">
        <v>1.0889999983191956E-2</v>
      </c>
      <c r="Z84" s="482">
        <v>7.4599999861675315E-3</v>
      </c>
      <c r="AA84" s="482">
        <v>2.469999988534255E-3</v>
      </c>
      <c r="AB84" s="482">
        <v>3.1499999859079253E-3</v>
      </c>
      <c r="AC84" s="482">
        <v>5.2099999884376302E-3</v>
      </c>
      <c r="AD84" s="482">
        <v>4.339999988587806E-3</v>
      </c>
      <c r="AE84" s="482">
        <v>4.339999988587806E-3</v>
      </c>
      <c r="AF84" s="482">
        <v>4.339999988587806E-3</v>
      </c>
      <c r="AG84" s="482">
        <v>2.6799999886861769E-3</v>
      </c>
      <c r="AH84" s="482">
        <v>5.7799999885901343E-3</v>
      </c>
      <c r="AI84" s="482">
        <v>9.6399999893037602E-3</v>
      </c>
      <c r="AJ84" s="482">
        <v>1.1709999987942865E-2</v>
      </c>
      <c r="AK84" s="482">
        <v>1.1939999987589545E-2</v>
      </c>
      <c r="AL84" s="482">
        <v>1.1939999987589545E-2</v>
      </c>
      <c r="AM84" s="482">
        <v>-7543.4780600000122</v>
      </c>
      <c r="AN84" s="482">
        <v>-7543.4780600000122</v>
      </c>
      <c r="AO84" s="482">
        <v>-7543.4780600000122</v>
      </c>
      <c r="AP84" s="482">
        <v>-7543.4780600000122</v>
      </c>
      <c r="AQ84" s="482">
        <v>-7543.4780600000122</v>
      </c>
      <c r="AR84" s="482">
        <v>-7543.4780600000122</v>
      </c>
    </row>
  </sheetData>
  <conditionalFormatting sqref="E29 K29:AS29 L65:AS65">
    <cfRule type="cellIs" dxfId="417" priority="23" operator="notEqual">
      <formula>E28</formula>
    </cfRule>
  </conditionalFormatting>
  <conditionalFormatting sqref="F29">
    <cfRule type="cellIs" dxfId="416" priority="22" operator="notEqual">
      <formula>F28</formula>
    </cfRule>
  </conditionalFormatting>
  <conditionalFormatting sqref="G29">
    <cfRule type="cellIs" dxfId="415" priority="21" operator="notEqual">
      <formula>G28</formula>
    </cfRule>
  </conditionalFormatting>
  <conditionalFormatting sqref="H29">
    <cfRule type="cellIs" dxfId="414" priority="20" operator="notEqual">
      <formula>H28</formula>
    </cfRule>
  </conditionalFormatting>
  <conditionalFormatting sqref="G65">
    <cfRule type="cellIs" dxfId="413" priority="17" operator="notEqual">
      <formula>G64</formula>
    </cfRule>
  </conditionalFormatting>
  <conditionalFormatting sqref="H65">
    <cfRule type="cellIs" dxfId="412" priority="16" operator="notEqual">
      <formula>H64</formula>
    </cfRule>
  </conditionalFormatting>
  <conditionalFormatting sqref="E65">
    <cfRule type="cellIs" dxfId="411" priority="19" operator="notEqual">
      <formula>E64</formula>
    </cfRule>
  </conditionalFormatting>
  <conditionalFormatting sqref="F65">
    <cfRule type="cellIs" dxfId="410" priority="18" operator="notEqual">
      <formula>F64</formula>
    </cfRule>
  </conditionalFormatting>
  <conditionalFormatting sqref="AY80 AY47 AY11">
    <cfRule type="cellIs" dxfId="409" priority="15" operator="notEqual">
      <formula>0</formula>
    </cfRule>
  </conditionalFormatting>
  <conditionalFormatting sqref="D65">
    <cfRule type="cellIs" dxfId="408" priority="14" operator="notEqual">
      <formula>D64</formula>
    </cfRule>
  </conditionalFormatting>
  <conditionalFormatting sqref="C65">
    <cfRule type="cellIs" dxfId="407" priority="13" operator="notEqual">
      <formula>C64</formula>
    </cfRule>
  </conditionalFormatting>
  <conditionalFormatting sqref="D29">
    <cfRule type="cellIs" dxfId="406" priority="12" operator="notEqual">
      <formula>D28</formula>
    </cfRule>
  </conditionalFormatting>
  <conditionalFormatting sqref="C29">
    <cfRule type="cellIs" dxfId="405" priority="11" operator="notEqual">
      <formula>C28</formula>
    </cfRule>
  </conditionalFormatting>
  <conditionalFormatting sqref="I29">
    <cfRule type="cellIs" dxfId="404" priority="10" operator="notEqual">
      <formula>I28</formula>
    </cfRule>
  </conditionalFormatting>
  <conditionalFormatting sqref="I65">
    <cfRule type="cellIs" dxfId="403" priority="9" operator="notEqual">
      <formula>I64</formula>
    </cfRule>
  </conditionalFormatting>
  <conditionalFormatting sqref="J29">
    <cfRule type="cellIs" dxfId="402" priority="8" operator="notEqual">
      <formula>J28</formula>
    </cfRule>
  </conditionalFormatting>
  <conditionalFormatting sqref="J65">
    <cfRule type="cellIs" dxfId="401" priority="7" operator="notEqual">
      <formula>J64</formula>
    </cfRule>
  </conditionalFormatting>
  <conditionalFormatting sqref="K65">
    <cfRule type="cellIs" dxfId="400" priority="6" operator="notEqual">
      <formula>K64</formula>
    </cfRule>
  </conditionalFormatting>
  <conditionalFormatting sqref="U29">
    <cfRule type="cellIs" dxfId="399" priority="5" operator="notEqual">
      <formula>U28</formula>
    </cfRule>
  </conditionalFormatting>
  <conditionalFormatting sqref="U65">
    <cfRule type="cellIs" dxfId="398" priority="4" operator="notEqual">
      <formula>U64</formula>
    </cfRule>
  </conditionalFormatting>
  <conditionalFormatting sqref="V29">
    <cfRule type="cellIs" dxfId="397" priority="3" operator="notEqual">
      <formula>V28</formula>
    </cfRule>
  </conditionalFormatting>
  <conditionalFormatting sqref="V65">
    <cfRule type="cellIs" dxfId="396" priority="2" operator="notEqual">
      <formula>V64</formula>
    </cfRule>
  </conditionalFormatting>
  <conditionalFormatting sqref="W65">
    <cfRule type="cellIs" dxfId="395" priority="1" operator="notEqual">
      <formula>W64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6"/>
  <cols>
    <col min="1" max="1" width="18.6640625" bestFit="1" customWidth="1"/>
    <col min="2" max="14" width="9.88671875" customWidth="1"/>
    <col min="16" max="16" width="2.44140625" customWidth="1"/>
    <col min="17" max="23" width="10.6640625" customWidth="1"/>
    <col min="24" max="24" width="5.6640625" customWidth="1"/>
  </cols>
  <sheetData>
    <row r="1" spans="1:34">
      <c r="C1" s="605" t="s">
        <v>193</v>
      </c>
      <c r="D1" s="605"/>
      <c r="E1" s="605"/>
      <c r="F1" s="605"/>
      <c r="G1" s="605"/>
      <c r="H1" s="605"/>
      <c r="I1" s="605"/>
      <c r="J1" s="605"/>
      <c r="K1" s="605"/>
      <c r="P1" s="607"/>
      <c r="Q1" s="607"/>
      <c r="R1" s="607"/>
      <c r="S1" s="607"/>
      <c r="T1" s="607"/>
      <c r="U1" s="607"/>
      <c r="V1" s="607"/>
      <c r="W1" s="607"/>
      <c r="X1" s="607"/>
    </row>
    <row r="2" spans="1:34" ht="19.8">
      <c r="C2" s="606" t="s">
        <v>319</v>
      </c>
      <c r="D2" s="606"/>
      <c r="E2" s="606"/>
      <c r="F2" s="606"/>
      <c r="G2" s="606"/>
      <c r="H2" s="606"/>
      <c r="I2" s="606"/>
      <c r="J2" s="606"/>
      <c r="K2" s="606"/>
      <c r="P2" s="605"/>
      <c r="Q2" s="605"/>
      <c r="R2" s="605"/>
      <c r="S2" s="605"/>
      <c r="T2" s="605"/>
      <c r="U2" s="605"/>
      <c r="V2" s="605"/>
      <c r="W2" s="605"/>
      <c r="X2" s="605"/>
      <c r="Z2" s="605"/>
      <c r="AA2" s="605"/>
      <c r="AB2" s="605"/>
      <c r="AC2" s="605"/>
      <c r="AD2" s="605"/>
      <c r="AE2" s="605"/>
      <c r="AF2" s="605"/>
      <c r="AG2" s="605"/>
      <c r="AH2" s="605"/>
    </row>
    <row r="3" spans="1:34" ht="19.8">
      <c r="C3" s="605" t="s">
        <v>195</v>
      </c>
      <c r="D3" s="605"/>
      <c r="E3" s="605"/>
      <c r="F3" s="605"/>
      <c r="G3" s="605"/>
      <c r="H3" s="605"/>
      <c r="I3" s="605"/>
      <c r="J3" s="605"/>
      <c r="K3" s="605"/>
      <c r="P3" s="606"/>
      <c r="Q3" s="606"/>
      <c r="R3" s="606"/>
      <c r="S3" s="606"/>
      <c r="T3" s="606"/>
      <c r="U3" s="606"/>
      <c r="V3" s="606"/>
      <c r="W3" s="606"/>
      <c r="X3" s="606"/>
      <c r="Z3" s="608"/>
      <c r="AA3" s="608"/>
      <c r="AB3" s="608"/>
      <c r="AC3" s="608"/>
      <c r="AD3" s="608"/>
      <c r="AE3" s="608"/>
      <c r="AF3" s="608"/>
      <c r="AG3" s="608"/>
      <c r="AH3" s="608"/>
    </row>
    <row r="4" spans="1:34">
      <c r="A4" t="s">
        <v>194</v>
      </c>
      <c r="B4" s="268">
        <v>41548</v>
      </c>
      <c r="C4" s="268">
        <f>EOMONTH(B4,1)</f>
        <v>41608</v>
      </c>
      <c r="D4" s="268">
        <f t="shared" ref="D4:N4" si="0">EOMONTH(C4,1)</f>
        <v>41639</v>
      </c>
      <c r="E4" s="268">
        <f t="shared" si="0"/>
        <v>41670</v>
      </c>
      <c r="F4" s="268">
        <f t="shared" si="0"/>
        <v>41698</v>
      </c>
      <c r="G4" s="268">
        <f t="shared" si="0"/>
        <v>41729</v>
      </c>
      <c r="H4" s="268">
        <f t="shared" si="0"/>
        <v>41759</v>
      </c>
      <c r="I4" s="268">
        <f t="shared" si="0"/>
        <v>41790</v>
      </c>
      <c r="J4" s="268">
        <f t="shared" si="0"/>
        <v>41820</v>
      </c>
      <c r="K4" s="268">
        <f t="shared" si="0"/>
        <v>41851</v>
      </c>
      <c r="L4" s="268">
        <f t="shared" si="0"/>
        <v>41882</v>
      </c>
      <c r="M4" s="268">
        <f t="shared" si="0"/>
        <v>41912</v>
      </c>
      <c r="N4" s="268">
        <f t="shared" si="0"/>
        <v>41943</v>
      </c>
      <c r="P4" s="605"/>
      <c r="Q4" s="605"/>
      <c r="R4" s="605"/>
      <c r="S4" s="605"/>
      <c r="T4" s="605"/>
      <c r="U4" s="605"/>
      <c r="V4" s="605"/>
      <c r="W4" s="605"/>
      <c r="X4" s="605"/>
      <c r="Z4" s="605"/>
      <c r="AA4" s="605"/>
      <c r="AB4" s="605"/>
      <c r="AC4" s="605"/>
      <c r="AD4" s="605"/>
      <c r="AE4" s="605"/>
      <c r="AF4" s="605"/>
      <c r="AG4" s="605"/>
    </row>
    <row r="6" spans="1:34">
      <c r="A6" s="269" t="s">
        <v>318</v>
      </c>
    </row>
    <row r="7" spans="1:34">
      <c r="A7" s="270"/>
      <c r="B7" s="271" t="str">
        <f t="shared" ref="B7:N7" si="1">TEXT(B4,"mmmmm-YY")</f>
        <v>O-13</v>
      </c>
      <c r="C7" s="271" t="str">
        <f t="shared" si="1"/>
        <v>N-13</v>
      </c>
      <c r="D7" s="550" t="str">
        <f t="shared" si="1"/>
        <v>D-13</v>
      </c>
      <c r="E7" s="271" t="str">
        <f t="shared" si="1"/>
        <v>J-14</v>
      </c>
      <c r="F7" s="271" t="str">
        <f t="shared" si="1"/>
        <v>F-14</v>
      </c>
      <c r="G7" s="550" t="str">
        <f t="shared" si="1"/>
        <v>M-14</v>
      </c>
      <c r="H7" s="550" t="str">
        <f t="shared" si="1"/>
        <v>A-14</v>
      </c>
      <c r="I7" s="550" t="str">
        <f t="shared" si="1"/>
        <v>M-14</v>
      </c>
      <c r="J7" s="550" t="str">
        <f t="shared" si="1"/>
        <v>J-14</v>
      </c>
      <c r="K7" s="550" t="str">
        <f t="shared" si="1"/>
        <v>J-14</v>
      </c>
      <c r="L7" s="550" t="str">
        <f t="shared" si="1"/>
        <v>A-14</v>
      </c>
      <c r="M7" s="550" t="str">
        <f t="shared" si="1"/>
        <v>S-14</v>
      </c>
      <c r="N7" s="550" t="str">
        <f t="shared" si="1"/>
        <v>O-14</v>
      </c>
    </row>
    <row r="8" spans="1:34">
      <c r="A8" s="549" t="s">
        <v>321</v>
      </c>
      <c r="B8" s="545">
        <f>0.33052*10</f>
        <v>3.3051999999999997</v>
      </c>
      <c r="C8" s="545">
        <v>3.6246661221178802</v>
      </c>
      <c r="D8" s="545">
        <v>3.6234780920677898</v>
      </c>
      <c r="E8" s="545">
        <f>-Jan!$H$53/Jan!$G$46*10</f>
        <v>2.5030999999999999</v>
      </c>
      <c r="F8" s="545">
        <f>-Feb!$H$53/Feb!$G$46*10</f>
        <v>2.5030999999999999</v>
      </c>
      <c r="G8" s="545">
        <f>-Mar!$H$53/Mar!$G$46*10</f>
        <v>2.5030999999999999</v>
      </c>
      <c r="H8" s="545">
        <f>-Mar!$H$53/Mar!$G$46*10</f>
        <v>2.5030999999999999</v>
      </c>
      <c r="I8" s="545">
        <f>-Mar!$H$53/Mar!$G$46*10</f>
        <v>2.5030999999999999</v>
      </c>
      <c r="J8" s="545">
        <f>-Mar!$H$53/Mar!$G$46*10</f>
        <v>2.5030999999999999</v>
      </c>
      <c r="K8" s="545">
        <f>-Mar!$H$53/Mar!$G$46*10</f>
        <v>2.5030999999999999</v>
      </c>
      <c r="L8" s="545">
        <f>-Mar!$H$53/Mar!$G$46*10</f>
        <v>2.5030999999999999</v>
      </c>
      <c r="M8" s="545">
        <f>-Mar!$H$53/Mar!$G$46*10</f>
        <v>2.5030999999999999</v>
      </c>
      <c r="N8" s="545">
        <f>-Mar!$H$53/Mar!$G$46*10</f>
        <v>2.5030999999999999</v>
      </c>
    </row>
    <row r="9" spans="1:34" s="549" customFormat="1">
      <c r="A9" t="s">
        <v>322</v>
      </c>
      <c r="B9" s="545">
        <f>N9</f>
        <v>3.5167999999999999</v>
      </c>
      <c r="C9" s="545">
        <v>3.8812999999999995</v>
      </c>
      <c r="D9" s="545">
        <v>3.6348000000000003</v>
      </c>
      <c r="E9" s="545">
        <v>3.6143999999999998</v>
      </c>
      <c r="F9" s="545">
        <v>3.6770000000000005</v>
      </c>
      <c r="G9" s="545">
        <v>3.9145000000000003</v>
      </c>
      <c r="H9" s="545">
        <v>3.3395999999999999</v>
      </c>
      <c r="I9" s="545">
        <v>3.3895</v>
      </c>
      <c r="J9" s="545">
        <v>3.3272000000000004</v>
      </c>
      <c r="K9" s="545">
        <v>3.3701999999999996</v>
      </c>
      <c r="L9" s="545">
        <v>3.3369</v>
      </c>
      <c r="M9" s="545">
        <v>3.3742000000000001</v>
      </c>
      <c r="N9" s="545">
        <v>3.5167999999999999</v>
      </c>
    </row>
    <row r="10" spans="1:34">
      <c r="A10" t="s">
        <v>320</v>
      </c>
      <c r="B10" s="545">
        <f>0.278008560641104*10</f>
        <v>2.7800856064110402</v>
      </c>
      <c r="C10" s="545">
        <v>3.4540440792083</v>
      </c>
      <c r="D10" s="545">
        <v>3.1876161555634601</v>
      </c>
      <c r="E10" s="545">
        <f>Jan!$K$14/Jan!$G$46*10</f>
        <v>2.4395569035632492</v>
      </c>
      <c r="F10" s="545">
        <f>Feb!$K$14/Feb!$G$46*10</f>
        <v>2.5557797391435928</v>
      </c>
      <c r="G10" s="545">
        <f>Mar!$K$14/Mar!$G$46*10</f>
        <v>2.1587765624336335</v>
      </c>
      <c r="H10" s="545"/>
      <c r="I10" s="545"/>
      <c r="J10" s="545"/>
      <c r="K10" s="545"/>
      <c r="L10" s="545"/>
      <c r="M10" s="545"/>
      <c r="N10" s="545"/>
    </row>
    <row r="11" spans="1:34">
      <c r="A11" s="549" t="s">
        <v>321</v>
      </c>
      <c r="B11" s="545">
        <f>0.0865086772229614*10</f>
        <v>0.86508677222961405</v>
      </c>
      <c r="C11" s="545">
        <v>0.98017103319810395</v>
      </c>
      <c r="D11" s="545">
        <v>0.99766447491792298</v>
      </c>
      <c r="E11" s="545">
        <f>(-Jan!$I$53/Jan!$G$33)*10</f>
        <v>1.0607510052965914</v>
      </c>
      <c r="F11" s="545">
        <f>-Feb!$I$53/Feb!$G$33*10</f>
        <v>1.0365639791666803</v>
      </c>
      <c r="G11" s="545">
        <f>-Mar!$I$53/Mar!$G$33*10</f>
        <v>1.0235884439874834</v>
      </c>
      <c r="H11" s="545"/>
      <c r="I11" s="545"/>
      <c r="J11" s="545"/>
      <c r="K11" s="545"/>
      <c r="L11" s="545"/>
      <c r="M11" s="545"/>
      <c r="N11" s="545"/>
    </row>
    <row r="12" spans="1:34" s="549" customFormat="1">
      <c r="A12" s="549" t="s">
        <v>322</v>
      </c>
      <c r="B12" s="545">
        <f>N12</f>
        <v>1.4529330378220591</v>
      </c>
      <c r="C12" s="545">
        <v>0.79431349782690841</v>
      </c>
      <c r="D12" s="545">
        <v>0.60296290558547094</v>
      </c>
      <c r="E12" s="545">
        <v>0.60895264158951812</v>
      </c>
      <c r="F12" s="545">
        <v>0.60656225946654285</v>
      </c>
      <c r="G12" s="545">
        <v>0.87532504655494603</v>
      </c>
      <c r="H12" s="545">
        <v>1.1232232940560019</v>
      </c>
      <c r="I12" s="545">
        <v>2.0020366178222502</v>
      </c>
      <c r="J12" s="545">
        <v>2.9050208439006555</v>
      </c>
      <c r="K12" s="545">
        <v>3.9176133126746118</v>
      </c>
      <c r="L12" s="545">
        <v>3.8752231593583324</v>
      </c>
      <c r="M12" s="545">
        <v>3.4387986026867114</v>
      </c>
      <c r="N12" s="545">
        <v>1.4529330378220591</v>
      </c>
    </row>
    <row r="13" spans="1:34">
      <c r="A13" s="549" t="s">
        <v>320</v>
      </c>
      <c r="B13" s="545">
        <f>0.102504522593617*10</f>
        <v>1.02504522593617</v>
      </c>
      <c r="C13" s="545">
        <v>0.65827334268652904</v>
      </c>
      <c r="D13" s="545">
        <v>0.51365176254981604</v>
      </c>
      <c r="E13" s="545">
        <f>(Jan!$I$14/Jan!$G$33)*10</f>
        <v>0.49493680338691637</v>
      </c>
      <c r="F13" s="545">
        <f>(Feb!$I$14/Feb!$G$33)*10</f>
        <v>0.6430838918415126</v>
      </c>
      <c r="G13" s="545">
        <f>(Mar!$I$14/Mar!$G$33)*10</f>
        <v>0.77700097317016792</v>
      </c>
      <c r="H13" s="545"/>
      <c r="I13" s="545"/>
      <c r="J13" s="545"/>
      <c r="K13" s="545"/>
      <c r="L13" s="545"/>
      <c r="M13" s="545"/>
      <c r="N13" s="545"/>
    </row>
    <row r="15" spans="1:34">
      <c r="A15" s="269" t="s">
        <v>317</v>
      </c>
    </row>
    <row r="16" spans="1:34">
      <c r="A16" s="270"/>
      <c r="B16" s="547" t="str">
        <f>TEXT(B4,"mmmmm-YY")</f>
        <v>O-13</v>
      </c>
      <c r="C16" s="548" t="str">
        <f t="shared" ref="C16:N16" si="2">TEXT(C4,"mmmmm-YY")</f>
        <v>N-13</v>
      </c>
      <c r="D16" s="271" t="str">
        <f t="shared" si="2"/>
        <v>D-13</v>
      </c>
      <c r="E16" s="271" t="str">
        <f t="shared" si="2"/>
        <v>J-14</v>
      </c>
      <c r="F16" s="271" t="str">
        <f t="shared" si="2"/>
        <v>F-14</v>
      </c>
      <c r="G16" s="271" t="str">
        <f t="shared" si="2"/>
        <v>M-14</v>
      </c>
      <c r="H16" s="271" t="str">
        <f t="shared" si="2"/>
        <v>A-14</v>
      </c>
      <c r="I16" s="271" t="str">
        <f t="shared" si="2"/>
        <v>M-14</v>
      </c>
      <c r="J16" s="271" t="str">
        <f t="shared" si="2"/>
        <v>J-14</v>
      </c>
      <c r="K16" s="271" t="str">
        <f t="shared" si="2"/>
        <v>J-14</v>
      </c>
      <c r="L16" s="271" t="str">
        <f t="shared" si="2"/>
        <v>A-14</v>
      </c>
      <c r="M16" s="271" t="str">
        <f t="shared" si="2"/>
        <v>S-14</v>
      </c>
      <c r="N16" s="271" t="str">
        <f t="shared" si="2"/>
        <v>O-14</v>
      </c>
    </row>
    <row r="17" spans="1:20">
      <c r="A17" s="549" t="s">
        <v>321</v>
      </c>
      <c r="B17" s="545">
        <v>3.7138086914005299</v>
      </c>
      <c r="C17" s="545">
        <v>3.71000032320786</v>
      </c>
      <c r="D17" s="545">
        <v>3.7124000000000001</v>
      </c>
      <c r="E17" s="545">
        <f>-Jan!$J$53/Jan!$K$44*10</f>
        <v>2.5031999999999996</v>
      </c>
      <c r="F17" s="545">
        <f>-Feb!$J$53/Feb!$K$44*10</f>
        <v>2.5031999999999996</v>
      </c>
      <c r="G17" s="545">
        <f>-Mar!$J$53/Mar!$K$44*10</f>
        <v>2.5031999999999996</v>
      </c>
      <c r="H17" s="545">
        <f>-Apr!$J$53/Apr!$K$44*10</f>
        <v>2.5031999999999996</v>
      </c>
      <c r="I17" s="545">
        <f>-May!$J$53/May!$K$44*10</f>
        <v>2.5031999999999992</v>
      </c>
      <c r="J17" s="545">
        <f>-Jun!$J$53/Jun!$K$44*10</f>
        <v>2.5031999999999996</v>
      </c>
      <c r="K17" s="545">
        <f>-Jul!$J$53/Jul!$K$44*10</f>
        <v>2.5031999999999996</v>
      </c>
      <c r="L17" s="545">
        <f>-Aug!$J$53/Aug!$K$44*10</f>
        <v>2.5031999999999996</v>
      </c>
      <c r="M17" s="545">
        <f>-Sep!$J$53/Sep!$K$44*10</f>
        <v>2.5031999999999992</v>
      </c>
      <c r="N17" s="545">
        <f>-Oct!$J$53/Oct!$K$44*10</f>
        <v>2.5031999999999996</v>
      </c>
    </row>
    <row r="18" spans="1:20" s="549" customFormat="1">
      <c r="A18" s="549" t="s">
        <v>322</v>
      </c>
      <c r="B18" s="545">
        <v>2.9957000000000003</v>
      </c>
      <c r="C18" s="545">
        <v>3.9822000000000002</v>
      </c>
      <c r="D18" s="545">
        <v>3.8203999999999998</v>
      </c>
      <c r="E18" s="545">
        <v>3.7982</v>
      </c>
      <c r="F18" s="545">
        <v>3.8423000000000003</v>
      </c>
      <c r="G18" s="545">
        <v>4.0292000000000003</v>
      </c>
      <c r="H18" s="545">
        <v>3.4569000000000001</v>
      </c>
      <c r="I18" s="545">
        <v>3.5224000000000002</v>
      </c>
      <c r="J18" s="545">
        <v>3.4592000000000001</v>
      </c>
      <c r="K18" s="545">
        <v>3.4888000000000003</v>
      </c>
      <c r="L18" s="545">
        <v>3.4600999999999997</v>
      </c>
      <c r="M18" s="545">
        <v>3.4959000000000002</v>
      </c>
      <c r="N18" s="545">
        <v>3.6281000000000003</v>
      </c>
    </row>
    <row r="19" spans="1:20">
      <c r="A19" s="549" t="s">
        <v>320</v>
      </c>
      <c r="B19" s="545">
        <v>2.76346512007138</v>
      </c>
      <c r="C19" s="545">
        <v>3.4542924833702302</v>
      </c>
      <c r="D19" s="545">
        <v>3.1868860970503601</v>
      </c>
      <c r="E19" s="545">
        <f>Jan!$L$14/Jan!$K$43*10</f>
        <v>2.4398172007358458</v>
      </c>
      <c r="F19" s="545">
        <f>Feb!$L$14/Feb!$K$43*10</f>
        <v>2.5559571446379401</v>
      </c>
      <c r="G19" s="545">
        <f>Mar!$L$14/Mar!$K$43*10</f>
        <v>2.1573098868061447</v>
      </c>
      <c r="H19" s="545">
        <f>Apr!$L$14/Apr!$K$43*10</f>
        <v>-0.18226965944918216</v>
      </c>
      <c r="I19" s="545">
        <f>May!$L$14/May!$K$43*10</f>
        <v>0.2290892038351553</v>
      </c>
      <c r="J19" s="545">
        <f>Jun!$L$14/Jun!$K$43*10</f>
        <v>-2.3422860024649603</v>
      </c>
      <c r="K19" s="545">
        <f>Jul!$L$14/Jul!$K$43*10</f>
        <v>-2.1414965574379936</v>
      </c>
      <c r="L19" s="545">
        <f>Aug!$L$14/Aug!$K$43*10</f>
        <v>0.28022256216704389</v>
      </c>
      <c r="M19" s="545">
        <f>Sep!$L$14/Sep!$K$43*10</f>
        <v>8.4046327285577441E-2</v>
      </c>
      <c r="N19" s="545">
        <f>Oct!$L$14/Oct!$K$43*10</f>
        <v>1.5115777146599974</v>
      </c>
    </row>
    <row r="20" spans="1:20">
      <c r="A20" s="549" t="s">
        <v>321</v>
      </c>
      <c r="B20" s="545">
        <v>1.0742522128918399</v>
      </c>
      <c r="C20" s="545">
        <v>1.0741263842636799</v>
      </c>
      <c r="D20" s="545">
        <v>1.0744</v>
      </c>
      <c r="E20" s="545">
        <f>-Jan!$K$53/Jan!$K$29*10</f>
        <v>1.0854999999999997</v>
      </c>
      <c r="F20" s="545">
        <f>-Feb!$K$53/Feb!$K$29*10</f>
        <v>1.0854999999999999</v>
      </c>
      <c r="G20" s="545">
        <f>-Mar!$K$53/Mar!$K$29*10</f>
        <v>1.0854999999999997</v>
      </c>
      <c r="H20" s="545">
        <f>-Apr!$K$53/Apr!$K$29*10</f>
        <v>1.0855000000000001</v>
      </c>
      <c r="I20" s="545">
        <f>-May!$K$53/May!$K$29*10</f>
        <v>1.0854999999999999</v>
      </c>
      <c r="J20" s="545">
        <f>-Jun!$K$53/Jun!$K$29*10</f>
        <v>1.0854999999999999</v>
      </c>
      <c r="K20" s="545">
        <f>-Jul!$K$53/Jul!$K$29*10</f>
        <v>1.0854999999999999</v>
      </c>
      <c r="L20" s="545">
        <f>-Aug!$K$53/Aug!$K$29*10</f>
        <v>1.0854999999999999</v>
      </c>
      <c r="M20" s="545">
        <f>-Sep!$K$53/Sep!$K$29*10</f>
        <v>1.0855000000000001</v>
      </c>
      <c r="N20" s="545">
        <f>-Oct!$K$53/Oct!$K$29*10</f>
        <v>1.0854999999999999</v>
      </c>
    </row>
    <row r="21" spans="1:20" s="549" customFormat="1">
      <c r="A21" s="549" t="s">
        <v>322</v>
      </c>
      <c r="B21" s="545">
        <v>1.2942886206113142</v>
      </c>
      <c r="C21" s="545">
        <v>0.74518730633512642</v>
      </c>
      <c r="D21" s="545">
        <v>0.58083452630008092</v>
      </c>
      <c r="E21" s="545">
        <v>0.60843027300764696</v>
      </c>
      <c r="F21" s="545">
        <v>0.68505702536755764</v>
      </c>
      <c r="G21" s="545">
        <v>0.81792088296424315</v>
      </c>
      <c r="H21" s="545">
        <v>1.0438035301560928</v>
      </c>
      <c r="I21" s="545">
        <v>1.8765356717896455</v>
      </c>
      <c r="J21" s="545">
        <v>2.5204558648798452</v>
      </c>
      <c r="K21" s="545">
        <v>3.0722913458699082</v>
      </c>
      <c r="L21" s="545">
        <v>3.0936566161461703</v>
      </c>
      <c r="M21" s="545">
        <v>2.484887676291045</v>
      </c>
      <c r="N21" s="545">
        <v>1.1747692347018237</v>
      </c>
    </row>
    <row r="22" spans="1:20">
      <c r="A22" s="549" t="s">
        <v>320</v>
      </c>
      <c r="B22" s="545">
        <v>1.2115295970631399</v>
      </c>
      <c r="C22" s="545">
        <v>0.708429666562987</v>
      </c>
      <c r="D22" s="545">
        <v>0.54697005486642902</v>
      </c>
      <c r="E22" s="545">
        <f>Jan!$J$14/Jan!$K$29*10</f>
        <v>0.53993756722070474</v>
      </c>
      <c r="F22" s="545">
        <f>Feb!$J$14/Feb!$K$29*10</f>
        <v>0.69905485345780294</v>
      </c>
      <c r="G22" s="545">
        <f>Mar!$J$14/Mar!$K$29*10</f>
        <v>0.81607940532155532</v>
      </c>
      <c r="H22" s="545">
        <f>Apr!$J$14/Apr!$K$29*10</f>
        <v>1.6086696090431736</v>
      </c>
      <c r="I22" s="545">
        <f>May!$J$14/May!$K$29*10</f>
        <v>2.040145084817504</v>
      </c>
      <c r="J22" s="545">
        <f>Jun!$J$14/Jun!$K$29*10</f>
        <v>2.5728895624419774</v>
      </c>
      <c r="K22" s="545">
        <f>Jul!$J$14/Jul!$K$29*10</f>
        <v>2.8024790024533304</v>
      </c>
      <c r="L22" s="545">
        <f>Aug!$J$14/Aug!$K$29*10</f>
        <v>2.9217304313702304</v>
      </c>
      <c r="M22" s="545">
        <f>Sep!$J$14/Sep!$K$29*10</f>
        <v>2.4012926979119267</v>
      </c>
      <c r="N22" s="545">
        <f>Oct!$J$14/Oct!$K$29*10</f>
        <v>1.7414939638509332</v>
      </c>
    </row>
    <row r="23" spans="1:20">
      <c r="C23" s="549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49"/>
      <c r="S23" s="549"/>
      <c r="T23" s="549"/>
    </row>
    <row r="24" spans="1:20">
      <c r="S24" s="549"/>
      <c r="T24" s="549"/>
    </row>
    <row r="25" spans="1:20">
      <c r="S25" s="549"/>
      <c r="T25" s="549"/>
    </row>
    <row r="26" spans="1:20">
      <c r="R26" s="549"/>
      <c r="S26" s="549"/>
      <c r="T26" s="549"/>
    </row>
    <row r="27" spans="1:20">
      <c r="R27" s="549"/>
      <c r="S27" s="549"/>
      <c r="T27" s="549"/>
    </row>
    <row r="28" spans="1:20">
      <c r="R28" s="549"/>
      <c r="S28" s="549"/>
      <c r="T28" s="549"/>
    </row>
    <row r="29" spans="1:20">
      <c r="R29" s="549"/>
      <c r="S29" s="549"/>
      <c r="T29" s="549"/>
    </row>
    <row r="30" spans="1:20">
      <c r="R30" s="549"/>
      <c r="S30" s="549"/>
      <c r="T30" s="549"/>
    </row>
    <row r="31" spans="1:20">
      <c r="R31" s="549"/>
      <c r="S31" s="549"/>
      <c r="T31" s="549"/>
    </row>
    <row r="32" spans="1:20">
      <c r="R32" s="549"/>
      <c r="S32" s="549"/>
      <c r="T32" s="549"/>
    </row>
    <row r="33" spans="18:30">
      <c r="R33" s="549"/>
      <c r="S33" s="549"/>
      <c r="T33" s="549"/>
    </row>
    <row r="34" spans="18:30">
      <c r="R34" s="549"/>
      <c r="S34" s="549"/>
      <c r="T34" s="549"/>
    </row>
    <row r="35" spans="18:30">
      <c r="R35" s="549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</row>
    <row r="36" spans="18:30"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</row>
    <row r="37" spans="18:30"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</row>
    <row r="38" spans="18:30"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</row>
    <row r="39" spans="18:30"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B39" s="549"/>
      <c r="AC39" s="549"/>
      <c r="AD39" s="549"/>
    </row>
    <row r="40" spans="18:30">
      <c r="R40" s="549"/>
      <c r="S40" s="549"/>
      <c r="T40" s="549"/>
      <c r="U40" s="549"/>
      <c r="V40" s="549"/>
      <c r="W40" s="549"/>
      <c r="X40" s="549"/>
      <c r="Y40" s="549"/>
      <c r="Z40" s="549"/>
      <c r="AA40" s="549"/>
      <c r="AB40" s="549"/>
      <c r="AC40" s="549"/>
      <c r="AD40" s="549"/>
    </row>
    <row r="41" spans="18:30">
      <c r="R41" s="549"/>
      <c r="S41" s="549"/>
      <c r="T41" s="549"/>
      <c r="U41" s="549"/>
      <c r="V41" s="549"/>
      <c r="W41" s="549"/>
      <c r="X41" s="549"/>
      <c r="Y41" s="549"/>
      <c r="Z41" s="549"/>
      <c r="AA41" s="549"/>
      <c r="AB41" s="549"/>
      <c r="AC41" s="549"/>
      <c r="AD41" s="549"/>
    </row>
    <row r="42" spans="18:30">
      <c r="R42" s="549"/>
      <c r="S42" s="549"/>
      <c r="T42" s="549"/>
      <c r="U42" s="549"/>
      <c r="V42" s="549"/>
      <c r="W42" s="549"/>
      <c r="X42" s="549"/>
      <c r="Y42" s="549"/>
      <c r="Z42" s="549"/>
      <c r="AA42" s="549"/>
      <c r="AB42" s="549"/>
      <c r="AC42" s="549"/>
      <c r="AD42" s="549"/>
    </row>
    <row r="43" spans="18:30" ht="14.4">
      <c r="S43" s="546"/>
    </row>
    <row r="44" spans="18:30" ht="14.4">
      <c r="S44" s="546"/>
    </row>
    <row r="45" spans="18:30" ht="14.4">
      <c r="S45" s="546"/>
    </row>
    <row r="46" spans="18:30" ht="14.4">
      <c r="S46" s="546"/>
    </row>
    <row r="47" spans="18:30" ht="14.4">
      <c r="S47" s="546"/>
    </row>
    <row r="48" spans="18:30" ht="14.4">
      <c r="S48" s="546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zoomScale="85" zoomScaleNormal="85" zoomScaleSheetLayoutView="85" workbookViewId="0">
      <selection activeCell="AE19" sqref="AE19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7" width="16.33203125" style="482" customWidth="1"/>
    <col min="38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v>201310</v>
      </c>
      <c r="G3" s="484">
        <v>201311</v>
      </c>
      <c r="H3" s="484"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v>201502</v>
      </c>
      <c r="W3" s="484">
        <v>201503</v>
      </c>
      <c r="X3" s="484">
        <v>201504</v>
      </c>
      <c r="Y3" s="484">
        <v>201505</v>
      </c>
      <c r="Z3" s="484">
        <v>201506</v>
      </c>
      <c r="AA3" s="484">
        <v>201507</v>
      </c>
      <c r="AB3" s="484">
        <v>201508</v>
      </c>
      <c r="AC3" s="484">
        <v>201509</v>
      </c>
      <c r="AD3" s="484">
        <v>201510</v>
      </c>
      <c r="AE3" s="484">
        <v>201511</v>
      </c>
      <c r="AF3" s="484">
        <v>201512</v>
      </c>
      <c r="AG3" s="484">
        <v>201601</v>
      </c>
      <c r="AH3" s="484">
        <v>201602</v>
      </c>
      <c r="AI3" s="484">
        <v>201603</v>
      </c>
      <c r="AJ3" s="484">
        <v>201604</v>
      </c>
      <c r="AK3" s="484">
        <v>201605</v>
      </c>
      <c r="AL3" s="484">
        <v>201606</v>
      </c>
      <c r="AM3" s="484">
        <v>201607</v>
      </c>
      <c r="AN3" s="484">
        <v>201608</v>
      </c>
      <c r="AO3" s="484">
        <v>201609</v>
      </c>
      <c r="AP3" s="484">
        <v>201610</v>
      </c>
      <c r="AQ3" s="484">
        <v>201611</v>
      </c>
      <c r="AR3" s="484"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201605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v>413477.3946999418</v>
      </c>
      <c r="G5" s="482">
        <v>-179650.44284699953</v>
      </c>
      <c r="H5" s="482"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v>-2684344.9824949973</v>
      </c>
      <c r="AG5" s="482">
        <v>-3634681.6735539967</v>
      </c>
      <c r="AH5" s="482">
        <v>-4349728.1832369966</v>
      </c>
      <c r="AI5" s="482">
        <v>-4647235.483478996</v>
      </c>
      <c r="AJ5" s="482">
        <v>-5147221.2688729959</v>
      </c>
      <c r="AK5" s="482">
        <v>-6002096.6110229967</v>
      </c>
      <c r="AL5" s="482">
        <v>-5979346.8341209972</v>
      </c>
      <c r="AM5" s="482">
        <v>-5992148.7796509983</v>
      </c>
      <c r="AN5" s="482">
        <v>-6075584.2010429977</v>
      </c>
      <c r="AO5" s="482">
        <v>-6169658.3491569972</v>
      </c>
      <c r="AP5" s="482">
        <v>-6468348.7034349982</v>
      </c>
      <c r="AQ5" s="482">
        <v>-6605970.974063999</v>
      </c>
      <c r="AR5" s="482">
        <v>-7250375.7278739996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v>0</v>
      </c>
    </row>
    <row r="6" spans="1:51" ht="16.2">
      <c r="B6" s="481" t="s">
        <v>254</v>
      </c>
      <c r="C6" s="482">
        <v>-4601068.6250009984</v>
      </c>
      <c r="D6" s="482"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v>-283989.88756899955</v>
      </c>
      <c r="AG6" s="482">
        <v>-74080.34529899992</v>
      </c>
      <c r="AH6" s="482">
        <v>46444.419911999721</v>
      </c>
      <c r="AI6" s="482">
        <v>-278768.33809999912</v>
      </c>
      <c r="AJ6" s="482">
        <v>-1055945.7369300006</v>
      </c>
      <c r="AK6" s="482">
        <v>-260946.80696600035</v>
      </c>
      <c r="AL6" s="482">
        <v>-526274.63333000056</v>
      </c>
      <c r="AM6" s="482">
        <v>-516382.38517199899</v>
      </c>
      <c r="AN6" s="482">
        <v>-511412.85420199909</v>
      </c>
      <c r="AO6" s="482">
        <v>-643347.30856800068</v>
      </c>
      <c r="AP6" s="482">
        <v>-390519.99427700008</v>
      </c>
      <c r="AQ6" s="482">
        <v>-105844.75449999981</v>
      </c>
      <c r="AR6" s="482"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v>4990.1899999999996</v>
      </c>
      <c r="AY6" s="500">
        <v>0</v>
      </c>
    </row>
    <row r="7" spans="1:51" ht="16.2">
      <c r="B7" s="481" t="s">
        <v>255</v>
      </c>
      <c r="C7" s="482">
        <v>90047.759621999809</v>
      </c>
      <c r="D7" s="482"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v>-663714.97348999989</v>
      </c>
      <c r="AG7" s="482">
        <v>-637640.7143839997</v>
      </c>
      <c r="AH7" s="482">
        <v>-340204.55015399994</v>
      </c>
      <c r="AI7" s="482">
        <v>-217138.12729400001</v>
      </c>
      <c r="AJ7" s="482">
        <v>205714.00478000002</v>
      </c>
      <c r="AK7" s="482">
        <v>288686.77386799984</v>
      </c>
      <c r="AL7" s="482">
        <v>518458.73779999977</v>
      </c>
      <c r="AM7" s="482">
        <v>437973.09378</v>
      </c>
      <c r="AN7" s="482">
        <v>422438.76608799992</v>
      </c>
      <c r="AO7" s="482">
        <v>349920.59428999986</v>
      </c>
      <c r="AP7" s="482">
        <v>258343.08364799991</v>
      </c>
      <c r="AQ7" s="482">
        <v>-532788.92931000004</v>
      </c>
      <c r="AR7" s="482"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v>22749.776901999492</v>
      </c>
      <c r="AY7" s="500">
        <v>0</v>
      </c>
    </row>
    <row r="8" spans="1:51" ht="16.2">
      <c r="B8" s="481" t="s">
        <v>258</v>
      </c>
      <c r="C8" s="482">
        <v>-58814.909999999996</v>
      </c>
      <c r="D8" s="482">
        <v>-13104.920000000007</v>
      </c>
      <c r="E8" s="482">
        <v>376.87</v>
      </c>
      <c r="F8" s="482">
        <v>52.13</v>
      </c>
      <c r="G8" s="482">
        <v>-394.85</v>
      </c>
      <c r="H8" s="537"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v>-2631.83</v>
      </c>
      <c r="AG8" s="489">
        <v>-3325.45</v>
      </c>
      <c r="AH8" s="489">
        <v>-3747.17</v>
      </c>
      <c r="AI8" s="489">
        <v>-4079.32</v>
      </c>
      <c r="AJ8" s="489">
        <v>-4643.6099999999997</v>
      </c>
      <c r="AK8" s="489">
        <v>-4990.1899999999996</v>
      </c>
      <c r="AL8" s="489">
        <v>-4986.05</v>
      </c>
      <c r="AM8" s="489">
        <v>-5026.13</v>
      </c>
      <c r="AN8" s="489">
        <v>-5100.0600000000004</v>
      </c>
      <c r="AO8" s="489">
        <v>-5263.64</v>
      </c>
      <c r="AP8" s="489">
        <v>-5445.36</v>
      </c>
      <c r="AQ8" s="489">
        <v>-5771.07</v>
      </c>
      <c r="AR8" s="489">
        <v>-6436.86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v>0</v>
      </c>
      <c r="AY8" s="462">
        <v>27739.966901999491</v>
      </c>
    </row>
    <row r="9" spans="1:51" ht="16.2">
      <c r="B9" s="481" t="s">
        <v>262</v>
      </c>
      <c r="C9" s="482"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">
        <v>11</v>
      </c>
      <c r="AU10" s="561">
        <v>191000</v>
      </c>
      <c r="AV10" s="561" t="s">
        <v>288</v>
      </c>
      <c r="AW10" s="561" t="s">
        <v>291</v>
      </c>
      <c r="AX10" s="464">
        <v>0</v>
      </c>
      <c r="AY10" s="473">
        <v>0</v>
      </c>
    </row>
    <row r="11" spans="1:51" ht="16.2" thickBot="1">
      <c r="B11" s="481" t="s">
        <v>264</v>
      </c>
      <c r="C11" s="482"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v>0</v>
      </c>
    </row>
    <row r="12" spans="1:51">
      <c r="B12" s="481" t="s">
        <v>148</v>
      </c>
      <c r="C12" s="482"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v>413477.3946999418</v>
      </c>
      <c r="F13" s="541">
        <v>-179650.44284699953</v>
      </c>
      <c r="G13" s="541">
        <v>-770749.33284699952</v>
      </c>
      <c r="H13" s="541"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v>312448.97088100051</v>
      </c>
      <c r="T13" s="541">
        <v>-411904.7279799963</v>
      </c>
      <c r="U13" s="541">
        <v>-645308.82581999747</v>
      </c>
      <c r="V13" s="541">
        <v>-754837.52375499834</v>
      </c>
      <c r="W13" s="541">
        <v>-287477.8915199968</v>
      </c>
      <c r="X13" s="541">
        <v>-1224292.1730279976</v>
      </c>
      <c r="Y13" s="541">
        <v>-1390232.6525299973</v>
      </c>
      <c r="Z13" s="541">
        <v>-1678662.999059998</v>
      </c>
      <c r="AA13" s="541">
        <v>-2022423.1820719973</v>
      </c>
      <c r="AB13" s="541">
        <v>-2418884.2503219969</v>
      </c>
      <c r="AC13" s="541">
        <v>-3067053.2533299979</v>
      </c>
      <c r="AD13" s="541">
        <v>-3722405.068684998</v>
      </c>
      <c r="AE13" s="541">
        <v>-2684344.9824949973</v>
      </c>
      <c r="AF13" s="541">
        <v>-3634681.6735539967</v>
      </c>
      <c r="AG13" s="541">
        <v>-4349728.1832369966</v>
      </c>
      <c r="AH13" s="541">
        <v>-4647235.483478996</v>
      </c>
      <c r="AI13" s="541">
        <v>-5147221.2688729959</v>
      </c>
      <c r="AJ13" s="541">
        <v>-6002096.6110229967</v>
      </c>
      <c r="AK13" s="541">
        <v>-5979346.8341209972</v>
      </c>
      <c r="AL13" s="541">
        <v>-5992148.7796509983</v>
      </c>
      <c r="AM13" s="541">
        <v>-6075584.2010429977</v>
      </c>
      <c r="AN13" s="541">
        <v>-6169658.3491569972</v>
      </c>
      <c r="AO13" s="541">
        <v>-6468348.7034349982</v>
      </c>
      <c r="AP13" s="541">
        <v>-6605970.974063999</v>
      </c>
      <c r="AQ13" s="541">
        <v>-7250375.7278739996</v>
      </c>
      <c r="AR13" s="541">
        <v>-8204517.4489329988</v>
      </c>
    </row>
    <row r="14" spans="1:51" ht="16.2" thickTop="1">
      <c r="B14" s="481" t="s">
        <v>260</v>
      </c>
      <c r="E14" s="482">
        <v>413477.41</v>
      </c>
      <c r="F14" s="482">
        <v>-179650.42</v>
      </c>
      <c r="G14" s="482">
        <v>-770749.31</v>
      </c>
      <c r="H14" s="482"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v>312448.96999999997</v>
      </c>
      <c r="T14" s="482">
        <v>-411904.73</v>
      </c>
      <c r="U14" s="482">
        <v>-645308.82999999996</v>
      </c>
      <c r="V14" s="482">
        <v>-754837.52</v>
      </c>
      <c r="W14" s="482">
        <v>-287477.89</v>
      </c>
      <c r="X14" s="482">
        <v>-1224292.17</v>
      </c>
      <c r="Y14" s="482">
        <v>-1390232.65</v>
      </c>
      <c r="Z14" s="482">
        <v>-1678663</v>
      </c>
      <c r="AA14" s="482">
        <v>-2022423.18</v>
      </c>
      <c r="AB14" s="482">
        <v>-2418884.25</v>
      </c>
      <c r="AC14" s="482">
        <v>-3067053.25</v>
      </c>
      <c r="AD14" s="482">
        <v>-3722405.07</v>
      </c>
      <c r="AE14" s="482">
        <v>-2684344.98</v>
      </c>
      <c r="AF14" s="482">
        <v>-3634681.67</v>
      </c>
      <c r="AG14" s="482">
        <v>-4349728.18</v>
      </c>
      <c r="AH14" s="482">
        <v>-4647235.4800000004</v>
      </c>
      <c r="AI14" s="482">
        <v>-5147221.2699999996</v>
      </c>
      <c r="AJ14" s="482">
        <v>-6002096.6100000003</v>
      </c>
      <c r="AK14" s="482">
        <v>-5979346.8300000001</v>
      </c>
      <c r="AL14" s="482">
        <v>-5979346.8300000001</v>
      </c>
      <c r="AM14" s="482">
        <v>0</v>
      </c>
      <c r="AN14" s="482">
        <v>0</v>
      </c>
      <c r="AO14" s="482">
        <v>0</v>
      </c>
      <c r="AP14" s="482">
        <v>0</v>
      </c>
      <c r="AQ14" s="482">
        <v>0</v>
      </c>
      <c r="AR14" s="482">
        <v>0</v>
      </c>
    </row>
    <row r="15" spans="1:51">
      <c r="B15" s="481" t="s">
        <v>245</v>
      </c>
      <c r="E15" s="482">
        <v>-1.5300058177672327E-2</v>
      </c>
      <c r="F15" s="482">
        <v>-2.2846999519970268E-2</v>
      </c>
      <c r="G15" s="482">
        <v>-2.2846999461762607E-2</v>
      </c>
      <c r="H15" s="482"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v>8.8100053835660219E-4</v>
      </c>
      <c r="T15" s="482">
        <v>2.0200036815367639E-3</v>
      </c>
      <c r="U15" s="482">
        <v>4.1800024919211864E-3</v>
      </c>
      <c r="V15" s="482">
        <v>-3.7549983244389296E-3</v>
      </c>
      <c r="W15" s="482">
        <v>-1.5199967892840505E-3</v>
      </c>
      <c r="X15" s="482">
        <v>-3.0279976781457663E-3</v>
      </c>
      <c r="Y15" s="482">
        <v>-2.5299973785877228E-3</v>
      </c>
      <c r="Z15" s="482">
        <v>9.4000203534960747E-4</v>
      </c>
      <c r="AA15" s="482">
        <v>-2.0719973836094141E-3</v>
      </c>
      <c r="AB15" s="482">
        <v>-3.2199686393141747E-4</v>
      </c>
      <c r="AC15" s="482">
        <v>-3.3299978822469711E-3</v>
      </c>
      <c r="AD15" s="482">
        <v>1.3150018639862537E-3</v>
      </c>
      <c r="AE15" s="482">
        <v>-2.4949973449110985E-3</v>
      </c>
      <c r="AF15" s="482">
        <v>-3.5539967939257622E-3</v>
      </c>
      <c r="AG15" s="482">
        <v>-3.2369969412684441E-3</v>
      </c>
      <c r="AH15" s="482">
        <v>-3.4789955243468285E-3</v>
      </c>
      <c r="AI15" s="482">
        <v>1.1270036920905113E-3</v>
      </c>
      <c r="AJ15" s="482">
        <v>-1.0229963809251785E-3</v>
      </c>
      <c r="AK15" s="482">
        <v>-4.1209971532225609E-3</v>
      </c>
      <c r="AL15" s="482">
        <v>-12801.949650998227</v>
      </c>
      <c r="AM15" s="482">
        <v>-6075584.2010429977</v>
      </c>
      <c r="AN15" s="482">
        <v>-6169658.3491569972</v>
      </c>
      <c r="AO15" s="482">
        <v>-6468348.7034349982</v>
      </c>
      <c r="AP15" s="482">
        <v>-6605970.974063999</v>
      </c>
      <c r="AQ15" s="482">
        <v>-7250375.7278739996</v>
      </c>
      <c r="AR15" s="482">
        <v>-8204517.4489329988</v>
      </c>
    </row>
    <row r="16" spans="1:51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v>201310</v>
      </c>
      <c r="G18" s="484">
        <v>201311</v>
      </c>
      <c r="H18" s="484"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v>201502</v>
      </c>
      <c r="W18" s="484">
        <v>201503</v>
      </c>
      <c r="X18" s="484">
        <v>201504</v>
      </c>
      <c r="Y18" s="484">
        <v>201505</v>
      </c>
      <c r="Z18" s="484">
        <v>201506</v>
      </c>
      <c r="AA18" s="484">
        <v>201507</v>
      </c>
      <c r="AB18" s="484">
        <v>201508</v>
      </c>
      <c r="AC18" s="484">
        <v>201509</v>
      </c>
      <c r="AD18" s="484">
        <v>201510</v>
      </c>
      <c r="AE18" s="484">
        <v>201511</v>
      </c>
      <c r="AF18" s="484">
        <v>201512</v>
      </c>
      <c r="AG18" s="484">
        <v>201601</v>
      </c>
      <c r="AH18" s="484">
        <v>201602</v>
      </c>
      <c r="AI18" s="484">
        <v>201603</v>
      </c>
      <c r="AJ18" s="484">
        <v>201604</v>
      </c>
      <c r="AK18" s="484">
        <v>201605</v>
      </c>
      <c r="AL18" s="484">
        <v>201606</v>
      </c>
      <c r="AM18" s="484">
        <v>201607</v>
      </c>
      <c r="AN18" s="484">
        <v>201608</v>
      </c>
      <c r="AO18" s="484">
        <v>201609</v>
      </c>
      <c r="AP18" s="484">
        <v>201610</v>
      </c>
      <c r="AQ18" s="484">
        <v>201611</v>
      </c>
      <c r="AR18" s="484">
        <v>201612</v>
      </c>
      <c r="AS18" s="484">
        <v>201613</v>
      </c>
      <c r="AU18" s="558"/>
    </row>
    <row r="19" spans="1:51">
      <c r="A19" s="483"/>
      <c r="B19" s="481" t="s">
        <v>37</v>
      </c>
      <c r="C19" s="491">
        <v>25689413</v>
      </c>
      <c r="D19" s="491">
        <v>42156473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v>990038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v>9218989</v>
      </c>
      <c r="AG19" s="491">
        <v>8841051</v>
      </c>
      <c r="AH19" s="491">
        <v>6461869</v>
      </c>
      <c r="AI19" s="491">
        <v>5909720</v>
      </c>
      <c r="AJ19" s="491">
        <v>2663108</v>
      </c>
      <c r="AK19" s="491">
        <v>1813665</v>
      </c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v>9772620</v>
      </c>
      <c r="D20" s="491">
        <v>14853411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v>964252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v>2701016</v>
      </c>
      <c r="AG20" s="491">
        <v>2843963</v>
      </c>
      <c r="AH20" s="491">
        <v>2339216</v>
      </c>
      <c r="AI20" s="491">
        <v>2149496</v>
      </c>
      <c r="AJ20" s="491">
        <v>1257156</v>
      </c>
      <c r="AK20" s="491">
        <v>1182789</v>
      </c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v>0</v>
      </c>
      <c r="D21" s="491"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v>0</v>
      </c>
      <c r="D22" s="491"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v>0</v>
      </c>
      <c r="D23" s="491"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v>0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v>0</v>
      </c>
      <c r="AG24" s="491">
        <v>0</v>
      </c>
      <c r="AH24" s="491">
        <v>0</v>
      </c>
      <c r="AI24" s="491">
        <v>0</v>
      </c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v>0</v>
      </c>
      <c r="D25" s="491"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v>0</v>
      </c>
      <c r="D26" s="491"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v>69054815</v>
      </c>
      <c r="D27" s="542">
        <v>79142017</v>
      </c>
      <c r="E27" s="542">
        <v>2507738</v>
      </c>
      <c r="F27" s="542">
        <v>5893546</v>
      </c>
      <c r="G27" s="542">
        <v>9508099</v>
      </c>
      <c r="H27" s="542"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v>11809937</v>
      </c>
      <c r="V27" s="542">
        <v>7940694</v>
      </c>
      <c r="W27" s="542">
        <v>7017973</v>
      </c>
      <c r="X27" s="542">
        <v>5254736</v>
      </c>
      <c r="Y27" s="542">
        <v>2699945</v>
      </c>
      <c r="Z27" s="542">
        <v>2074520</v>
      </c>
      <c r="AA27" s="542">
        <v>1954290</v>
      </c>
      <c r="AB27" s="542">
        <v>2252954</v>
      </c>
      <c r="AC27" s="542">
        <v>2632656</v>
      </c>
      <c r="AD27" s="542">
        <v>3869259</v>
      </c>
      <c r="AE27" s="542">
        <v>9627846</v>
      </c>
      <c r="AF27" s="542">
        <v>11920005</v>
      </c>
      <c r="AG27" s="542">
        <v>11685014</v>
      </c>
      <c r="AH27" s="542">
        <v>8801085</v>
      </c>
      <c r="AI27" s="542">
        <v>8059216</v>
      </c>
      <c r="AJ27" s="542">
        <v>3920264</v>
      </c>
      <c r="AK27" s="542">
        <v>2996454</v>
      </c>
      <c r="AL27" s="542">
        <v>0</v>
      </c>
      <c r="AM27" s="542">
        <v>0</v>
      </c>
      <c r="AN27" s="542">
        <v>0</v>
      </c>
      <c r="AO27" s="542">
        <v>0</v>
      </c>
      <c r="AP27" s="542">
        <v>0</v>
      </c>
      <c r="AQ27" s="542">
        <v>0</v>
      </c>
      <c r="AR27" s="542">
        <v>0</v>
      </c>
    </row>
    <row r="28" spans="1:51" ht="16.2" thickTop="1">
      <c r="A28" s="483"/>
      <c r="B28" s="481" t="s">
        <v>269</v>
      </c>
      <c r="C28" s="491">
        <v>69054815</v>
      </c>
      <c r="D28" s="491"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73">
        <v>3920264</v>
      </c>
      <c r="AK28" s="582">
        <v>2996454</v>
      </c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v>201310</v>
      </c>
      <c r="G30" s="484">
        <v>201311</v>
      </c>
      <c r="H30" s="484"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v>201502</v>
      </c>
      <c r="W30" s="484">
        <v>201503</v>
      </c>
      <c r="X30" s="484">
        <v>201504</v>
      </c>
      <c r="Y30" s="484">
        <v>201505</v>
      </c>
      <c r="Z30" s="484">
        <v>201506</v>
      </c>
      <c r="AA30" s="484">
        <v>201507</v>
      </c>
      <c r="AB30" s="484">
        <v>201508</v>
      </c>
      <c r="AC30" s="484">
        <v>201509</v>
      </c>
      <c r="AD30" s="484">
        <v>201510</v>
      </c>
      <c r="AE30" s="484">
        <v>201511</v>
      </c>
      <c r="AF30" s="484">
        <v>201512</v>
      </c>
      <c r="AG30" s="484">
        <v>201601</v>
      </c>
      <c r="AH30" s="484">
        <v>201602</v>
      </c>
      <c r="AI30" s="484">
        <v>201603</v>
      </c>
      <c r="AJ30" s="484">
        <v>201604</v>
      </c>
      <c r="AK30" s="484">
        <v>201605</v>
      </c>
      <c r="AL30" s="484">
        <v>201606</v>
      </c>
      <c r="AM30" s="484">
        <v>201607</v>
      </c>
      <c r="AN30" s="484">
        <v>201608</v>
      </c>
      <c r="AO30" s="484">
        <v>201609</v>
      </c>
      <c r="AP30" s="484">
        <v>201610</v>
      </c>
      <c r="AQ30" s="484">
        <v>201611</v>
      </c>
      <c r="AR30" s="484"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v>201310</v>
      </c>
      <c r="G40" s="484">
        <v>201311</v>
      </c>
      <c r="H40" s="484"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v>201502</v>
      </c>
      <c r="W40" s="484">
        <v>201503</v>
      </c>
      <c r="X40" s="484">
        <v>201504</v>
      </c>
      <c r="Y40" s="484">
        <v>201505</v>
      </c>
      <c r="Z40" s="484">
        <v>201506</v>
      </c>
      <c r="AA40" s="484">
        <v>201507</v>
      </c>
      <c r="AB40" s="484">
        <v>201508</v>
      </c>
      <c r="AC40" s="484">
        <v>201509</v>
      </c>
      <c r="AD40" s="484">
        <v>201510</v>
      </c>
      <c r="AE40" s="484">
        <v>201511</v>
      </c>
      <c r="AF40" s="484">
        <v>201512</v>
      </c>
      <c r="AG40" s="484">
        <v>201601</v>
      </c>
      <c r="AH40" s="484">
        <v>201602</v>
      </c>
      <c r="AI40" s="484">
        <v>201603</v>
      </c>
      <c r="AJ40" s="484">
        <v>201604</v>
      </c>
      <c r="AK40" s="484">
        <v>201605</v>
      </c>
      <c r="AL40" s="484">
        <v>201606</v>
      </c>
      <c r="AM40" s="484">
        <v>201607</v>
      </c>
      <c r="AN40" s="484">
        <v>201608</v>
      </c>
      <c r="AO40" s="484">
        <v>201609</v>
      </c>
      <c r="AP40" s="484">
        <v>201610</v>
      </c>
      <c r="AQ40" s="484">
        <v>201611</v>
      </c>
      <c r="AR40" s="484"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v>201605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v>-50127.534716029098</v>
      </c>
      <c r="F42" s="482">
        <v>-5563.1478626091184</v>
      </c>
      <c r="G42" s="482">
        <v>122203.74560073584</v>
      </c>
      <c r="H42" s="482"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v>-2186758.9002166959</v>
      </c>
      <c r="U42" s="482">
        <v>-1737468.3702166961</v>
      </c>
      <c r="V42" s="482">
        <v>-1379625.346046696</v>
      </c>
      <c r="W42" s="482">
        <v>-1139196.8415066958</v>
      </c>
      <c r="X42" s="482">
        <v>-927936.74257669575</v>
      </c>
      <c r="Y42" s="482"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v>-496357.29729955469</v>
      </c>
      <c r="AD42" s="482">
        <v>-416678.50147523766</v>
      </c>
      <c r="AE42" s="482">
        <v>-299312.54063388787</v>
      </c>
      <c r="AF42" s="482">
        <v>-1658528.5495927494</v>
      </c>
      <c r="AG42" s="482">
        <v>-1317584.0800507434</v>
      </c>
      <c r="AH42" s="482">
        <v>-983065.53286414407</v>
      </c>
      <c r="AI42" s="482">
        <v>-731100.32081221836</v>
      </c>
      <c r="AJ42" s="482">
        <v>-500233.0713481619</v>
      </c>
      <c r="AK42" s="482">
        <v>-388052.25664285204</v>
      </c>
      <c r="AL42" s="482">
        <v>-302311.59410241275</v>
      </c>
      <c r="AM42" s="482">
        <v>-302563.52043083141</v>
      </c>
      <c r="AN42" s="482">
        <v>-302815.65669785708</v>
      </c>
      <c r="AO42" s="482">
        <v>-303068.00307843863</v>
      </c>
      <c r="AP42" s="482">
        <v>-303320.55974767066</v>
      </c>
      <c r="AQ42" s="482">
        <v>-303573.32688079373</v>
      </c>
      <c r="AR42" s="482">
        <v>-303826.30465319438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v>0</v>
      </c>
    </row>
    <row r="43" spans="1:51" ht="16.2">
      <c r="B43" s="481" t="s">
        <v>23</v>
      </c>
      <c r="C43" s="482">
        <v>1018114.96743</v>
      </c>
      <c r="D43" s="491">
        <v>1636998.96743</v>
      </c>
      <c r="E43" s="482">
        <v>44587.581640000004</v>
      </c>
      <c r="F43" s="482">
        <v>-849.23</v>
      </c>
      <c r="G43" s="482">
        <v>-398.36</v>
      </c>
      <c r="H43" s="482"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v>241476.50453999999</v>
      </c>
      <c r="W43" s="482"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v>80059.068960000004</v>
      </c>
      <c r="AD43" s="482">
        <v>117664.16618999999</v>
      </c>
      <c r="AE43" s="482">
        <v>276700</v>
      </c>
      <c r="AF43" s="563">
        <v>342184</v>
      </c>
      <c r="AG43" s="563">
        <v>335476.75193999999</v>
      </c>
      <c r="AH43" s="563">
        <v>252679.15035000001</v>
      </c>
      <c r="AI43" s="563">
        <v>231380.09135999999</v>
      </c>
      <c r="AJ43" s="563">
        <v>112550.77944</v>
      </c>
      <c r="AK43" s="563">
        <v>86028.194340000002</v>
      </c>
      <c r="AL43" s="563">
        <v>0</v>
      </c>
      <c r="AM43" s="563">
        <v>0</v>
      </c>
      <c r="AN43" s="563">
        <v>0</v>
      </c>
      <c r="AO43" s="563">
        <v>0</v>
      </c>
      <c r="AP43" s="563">
        <v>0</v>
      </c>
      <c r="AQ43" s="563">
        <v>0</v>
      </c>
      <c r="AR43" s="563"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v>287.53179956071006</v>
      </c>
      <c r="AY43" s="500">
        <v>0</v>
      </c>
    </row>
    <row r="44" spans="1:51" ht="16.2">
      <c r="B44" s="481" t="s">
        <v>4</v>
      </c>
      <c r="C44" s="482">
        <v>-4610.3806196619325</v>
      </c>
      <c r="D44" s="491">
        <v>-6858.3236769058067</v>
      </c>
      <c r="E44" s="482">
        <v>-23.194786580024246</v>
      </c>
      <c r="F44" s="482">
        <v>93.835916403610199</v>
      </c>
      <c r="G44" s="482">
        <v>101.67047133394655</v>
      </c>
      <c r="H44" s="489"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v>-380.27313568296228</v>
      </c>
      <c r="AD44" s="489">
        <v>-298.20534865019806</v>
      </c>
      <c r="AE44" s="489">
        <v>-1514.5789588615733</v>
      </c>
      <c r="AF44" s="489">
        <v>-1239.530457993958</v>
      </c>
      <c r="AG44" s="489">
        <v>-958.20475340061967</v>
      </c>
      <c r="AH44" s="489">
        <v>-713.93829807428676</v>
      </c>
      <c r="AI44" s="489">
        <v>-512.8418959435154</v>
      </c>
      <c r="AJ44" s="489">
        <v>-369.96473469013495</v>
      </c>
      <c r="AK44" s="489">
        <v>-287.53179956071006</v>
      </c>
      <c r="AL44" s="489">
        <v>-251.92632841867731</v>
      </c>
      <c r="AM44" s="489">
        <v>-252.13626702569286</v>
      </c>
      <c r="AN44" s="489">
        <v>-252.34638058154758</v>
      </c>
      <c r="AO44" s="489">
        <v>-252.55666923203222</v>
      </c>
      <c r="AP44" s="489">
        <v>-252.7671331230589</v>
      </c>
      <c r="AQ44" s="489">
        <v>-252.97777240066145</v>
      </c>
      <c r="AR44" s="489">
        <v>-253.18858721099534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v>85740.662540439298</v>
      </c>
      <c r="AY44" s="500">
        <v>0</v>
      </c>
    </row>
    <row r="45" spans="1:51" ht="16.2">
      <c r="B45" s="481" t="s">
        <v>259</v>
      </c>
      <c r="C45" s="482"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v>0</v>
      </c>
      <c r="AY45" s="500">
        <v>86028.194340000002</v>
      </c>
    </row>
    <row r="46" spans="1:51" ht="16.2">
      <c r="B46" s="481" t="s">
        <v>148</v>
      </c>
      <c r="C46" s="482"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v>191000</v>
      </c>
      <c r="AV46" s="528" t="s">
        <v>288</v>
      </c>
      <c r="AW46" s="528" t="s">
        <v>291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v>-5563.1478626091184</v>
      </c>
      <c r="F47" s="541">
        <v>122203.74560073584</v>
      </c>
      <c r="G47" s="541">
        <v>121907.05607206978</v>
      </c>
      <c r="H47" s="541"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v>-2186758.9002166959</v>
      </c>
      <c r="T47" s="541">
        <v>-1737468.3702166961</v>
      </c>
      <c r="U47" s="541">
        <v>-1379625.346046696</v>
      </c>
      <c r="V47" s="541">
        <v>-1139196.8415066958</v>
      </c>
      <c r="W47" s="541">
        <v>-927936.74257669575</v>
      </c>
      <c r="X47" s="541">
        <v>-767403.9580847763</v>
      </c>
      <c r="Y47" s="541">
        <v>-685903.92338007619</v>
      </c>
      <c r="Z47" s="541">
        <v>-623363.07088572613</v>
      </c>
      <c r="AA47" s="541">
        <v>-564427.81872858922</v>
      </c>
      <c r="AB47" s="541">
        <v>-496357.29729955469</v>
      </c>
      <c r="AC47" s="541">
        <v>-416678.50147523766</v>
      </c>
      <c r="AD47" s="541">
        <v>-299312.54063388787</v>
      </c>
      <c r="AE47" s="541">
        <v>-1658528.5495927494</v>
      </c>
      <c r="AF47" s="541">
        <v>-1317584.0800507434</v>
      </c>
      <c r="AG47" s="541">
        <v>-983065.53286414407</v>
      </c>
      <c r="AH47" s="541">
        <v>-731100.32081221836</v>
      </c>
      <c r="AI47" s="541">
        <v>-500233.0713481619</v>
      </c>
      <c r="AJ47" s="541">
        <v>-388052.25664285204</v>
      </c>
      <c r="AK47" s="541">
        <v>-302311.59410241275</v>
      </c>
      <c r="AL47" s="541">
        <v>-302563.52043083141</v>
      </c>
      <c r="AM47" s="541">
        <v>-302815.65669785708</v>
      </c>
      <c r="AN47" s="541">
        <v>-303068.00307843863</v>
      </c>
      <c r="AO47" s="541">
        <v>-303320.55974767066</v>
      </c>
      <c r="AP47" s="541">
        <v>-303573.32688079373</v>
      </c>
      <c r="AQ47" s="541">
        <v>-303826.30465319438</v>
      </c>
      <c r="AR47" s="541">
        <v>-304079.4932404054</v>
      </c>
      <c r="AT47" s="501" t="s">
        <v>156</v>
      </c>
      <c r="AU47" s="529">
        <v>805110</v>
      </c>
      <c r="AV47" s="529" t="s">
        <v>288</v>
      </c>
      <c r="AW47" s="529" t="s">
        <v>291</v>
      </c>
      <c r="AX47" s="503">
        <v>0</v>
      </c>
      <c r="AY47" s="521">
        <v>0</v>
      </c>
    </row>
    <row r="48" spans="1:51" ht="16.8" thickTop="1" thickBot="1">
      <c r="B48" s="481" t="s">
        <v>260</v>
      </c>
      <c r="E48" s="482">
        <v>-5563.17</v>
      </c>
      <c r="F48" s="482">
        <v>122113.18</v>
      </c>
      <c r="G48" s="482">
        <v>121816.41</v>
      </c>
      <c r="H48" s="482"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v>-2186758.9</v>
      </c>
      <c r="T48" s="482">
        <v>-1737468.37</v>
      </c>
      <c r="U48" s="482">
        <v>-1379625.35</v>
      </c>
      <c r="V48" s="482">
        <v>-1139196.8400000001</v>
      </c>
      <c r="W48" s="482">
        <v>-927936.74</v>
      </c>
      <c r="X48" s="482">
        <v>-767403.96</v>
      </c>
      <c r="Y48" s="482">
        <v>-685903.92</v>
      </c>
      <c r="Z48" s="482">
        <v>-623363.06999999995</v>
      </c>
      <c r="AA48" s="482">
        <v>-564427.81999999995</v>
      </c>
      <c r="AB48" s="482">
        <v>-496357.3</v>
      </c>
      <c r="AC48" s="482">
        <v>-416678.5</v>
      </c>
      <c r="AD48" s="482">
        <v>-299312.53999999998</v>
      </c>
      <c r="AE48" s="482">
        <v>-1658528.55</v>
      </c>
      <c r="AF48" s="482">
        <v>-1317584.08</v>
      </c>
      <c r="AG48" s="482">
        <v>-983065.53</v>
      </c>
      <c r="AH48" s="482">
        <v>-731100.32</v>
      </c>
      <c r="AI48" s="482">
        <v>-500233.07</v>
      </c>
      <c r="AJ48" s="482">
        <v>-388052.25</v>
      </c>
      <c r="AK48" s="482">
        <v>-302311.59000000003</v>
      </c>
      <c r="AL48" s="482">
        <v>-302311.59000000003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  <c r="AT48" s="516"/>
      <c r="AU48" s="530"/>
      <c r="AV48" s="517"/>
      <c r="AW48" s="517"/>
      <c r="AX48" s="517" t="s">
        <v>159</v>
      </c>
      <c r="AY48" s="518">
        <v>0</v>
      </c>
    </row>
    <row r="49" spans="1:45">
      <c r="B49" s="481" t="s">
        <v>245</v>
      </c>
      <c r="E49" s="482">
        <v>2.2137390881653118E-2</v>
      </c>
      <c r="F49" s="482">
        <v>90.56560073584842</v>
      </c>
      <c r="G49" s="482">
        <v>90.646072069779621</v>
      </c>
      <c r="H49" s="482"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v>-2.1669594570994377E-4</v>
      </c>
      <c r="T49" s="482">
        <v>-2.1669594570994377E-4</v>
      </c>
      <c r="U49" s="482">
        <v>3.9533041417598724E-3</v>
      </c>
      <c r="V49" s="482">
        <v>-1.506695756688714E-3</v>
      </c>
      <c r="W49" s="482">
        <v>-2.5766957551240921E-3</v>
      </c>
      <c r="X49" s="482">
        <v>1.9152236636728048E-3</v>
      </c>
      <c r="Y49" s="482">
        <v>-3.3800761448219419E-3</v>
      </c>
      <c r="Z49" s="482">
        <v>-8.8572618551552296E-4</v>
      </c>
      <c r="AA49" s="482">
        <v>1.2714107288047671E-3</v>
      </c>
      <c r="AB49" s="482">
        <v>2.7004453004337847E-3</v>
      </c>
      <c r="AC49" s="482">
        <v>-1.4752376591786742E-3</v>
      </c>
      <c r="AD49" s="482">
        <v>-6.3388788839802146E-4</v>
      </c>
      <c r="AE49" s="482">
        <v>4.0725059807300568E-4</v>
      </c>
      <c r="AF49" s="482">
        <v>-5.0743343308568001E-5</v>
      </c>
      <c r="AG49" s="482">
        <v>-2.8641440439969301E-3</v>
      </c>
      <c r="AH49" s="482">
        <v>-8.1221840810030699E-4</v>
      </c>
      <c r="AI49" s="482">
        <v>-1.3481618952937424E-3</v>
      </c>
      <c r="AJ49" s="482">
        <v>-6.6428520367480814E-3</v>
      </c>
      <c r="AK49" s="482">
        <v>-4.1024127276614308E-3</v>
      </c>
      <c r="AL49" s="482">
        <v>-251.93043083138764</v>
      </c>
      <c r="AM49" s="482">
        <v>-302815.65669785708</v>
      </c>
      <c r="AN49" s="482">
        <v>-303068.00307843863</v>
      </c>
      <c r="AO49" s="482">
        <v>-303320.55974767066</v>
      </c>
      <c r="AP49" s="482">
        <v>-303573.32688079373</v>
      </c>
      <c r="AQ49" s="482">
        <v>-303826.30465319438</v>
      </c>
      <c r="AR49" s="482">
        <v>-304079.4932404054</v>
      </c>
      <c r="AS49" s="482"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v>201310</v>
      </c>
      <c r="G51" s="484">
        <v>201311</v>
      </c>
      <c r="H51" s="484"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v>201502</v>
      </c>
      <c r="W51" s="484">
        <v>201503</v>
      </c>
      <c r="X51" s="484">
        <v>201504</v>
      </c>
      <c r="Y51" s="484">
        <v>201505</v>
      </c>
      <c r="Z51" s="484">
        <v>201506</v>
      </c>
      <c r="AA51" s="484">
        <v>201507</v>
      </c>
      <c r="AB51" s="484">
        <v>201508</v>
      </c>
      <c r="AC51" s="484">
        <v>201509</v>
      </c>
      <c r="AD51" s="484">
        <v>201510</v>
      </c>
      <c r="AE51" s="484">
        <v>201511</v>
      </c>
      <c r="AF51" s="484">
        <v>201512</v>
      </c>
      <c r="AG51" s="484">
        <v>201601</v>
      </c>
      <c r="AH51" s="484">
        <v>201602</v>
      </c>
      <c r="AI51" s="484">
        <v>201603</v>
      </c>
      <c r="AJ51" s="484">
        <v>201604</v>
      </c>
      <c r="AK51" s="484">
        <v>201605</v>
      </c>
      <c r="AL51" s="484">
        <v>201606</v>
      </c>
      <c r="AM51" s="484">
        <v>201607</v>
      </c>
      <c r="AN51" s="484">
        <v>201608</v>
      </c>
      <c r="AO51" s="484">
        <v>201609</v>
      </c>
      <c r="AP51" s="484">
        <v>201610</v>
      </c>
      <c r="AQ51" s="484">
        <v>201611</v>
      </c>
      <c r="AR51" s="484">
        <v>201612</v>
      </c>
    </row>
    <row r="52" spans="1:45">
      <c r="A52" s="483"/>
      <c r="B52" s="481" t="s">
        <v>37</v>
      </c>
      <c r="C52" s="491">
        <v>48316153</v>
      </c>
      <c r="D52" s="491"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v>9218989</v>
      </c>
      <c r="AG52" s="491">
        <v>8841051</v>
      </c>
      <c r="AH52" s="491">
        <v>6461869</v>
      </c>
      <c r="AI52" s="491">
        <v>5909720</v>
      </c>
      <c r="AJ52" s="491">
        <v>2663108</v>
      </c>
      <c r="AK52" s="491">
        <v>1813665</v>
      </c>
      <c r="AL52" s="491"/>
      <c r="AM52" s="491"/>
      <c r="AN52" s="491"/>
      <c r="AO52" s="491"/>
      <c r="AP52" s="491"/>
      <c r="AQ52" s="491"/>
      <c r="AR52" s="491"/>
      <c r="AS52" s="491">
        <v>8841051</v>
      </c>
    </row>
    <row r="53" spans="1:45">
      <c r="A53" s="483"/>
      <c r="B53" s="481" t="s">
        <v>38</v>
      </c>
      <c r="C53" s="491">
        <v>20738662</v>
      </c>
      <c r="D53" s="491"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v>2701016</v>
      </c>
      <c r="AG53" s="491">
        <v>2843963</v>
      </c>
      <c r="AH53" s="491">
        <v>2339216</v>
      </c>
      <c r="AI53" s="491">
        <v>2149496</v>
      </c>
      <c r="AJ53" s="491">
        <v>1257156</v>
      </c>
      <c r="AK53" s="491">
        <v>1182789</v>
      </c>
      <c r="AL53" s="491">
        <v>2339216</v>
      </c>
      <c r="AM53" s="491">
        <v>2339216</v>
      </c>
      <c r="AN53" s="491">
        <v>2339216</v>
      </c>
      <c r="AO53" s="491">
        <v>2339216</v>
      </c>
      <c r="AP53" s="491">
        <v>2339216</v>
      </c>
      <c r="AQ53" s="491">
        <v>2339216</v>
      </c>
      <c r="AR53" s="491">
        <v>2339216</v>
      </c>
      <c r="AS53" s="491">
        <v>2843963</v>
      </c>
    </row>
    <row r="54" spans="1:45">
      <c r="A54" s="483"/>
      <c r="B54" s="481" t="s">
        <v>39</v>
      </c>
      <c r="C54" s="491">
        <v>252450</v>
      </c>
      <c r="D54" s="491"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v>6097</v>
      </c>
      <c r="AG54" s="491">
        <v>2754</v>
      </c>
      <c r="AH54" s="491">
        <v>2352</v>
      </c>
      <c r="AI54" s="491">
        <v>232</v>
      </c>
      <c r="AJ54" s="491">
        <v>11807</v>
      </c>
      <c r="AK54" s="491">
        <v>27568</v>
      </c>
      <c r="AL54" s="491"/>
      <c r="AM54" s="491"/>
      <c r="AN54" s="491"/>
      <c r="AO54" s="491"/>
      <c r="AP54" s="491"/>
      <c r="AQ54" s="491"/>
      <c r="AR54" s="491"/>
      <c r="AS54" s="491">
        <v>2754</v>
      </c>
    </row>
    <row r="55" spans="1:45">
      <c r="A55" s="483"/>
      <c r="B55" s="481" t="s">
        <v>40</v>
      </c>
      <c r="C55" s="491">
        <v>0</v>
      </c>
      <c r="D55" s="491"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v>0</v>
      </c>
      <c r="AG55" s="491">
        <v>0</v>
      </c>
      <c r="AH55" s="491">
        <v>0</v>
      </c>
      <c r="AI55" s="491">
        <v>0</v>
      </c>
      <c r="AJ55" s="491">
        <v>0</v>
      </c>
      <c r="AK55" s="491">
        <v>0</v>
      </c>
      <c r="AL55" s="491"/>
      <c r="AM55" s="491"/>
      <c r="AN55" s="491"/>
      <c r="AO55" s="491"/>
      <c r="AP55" s="491"/>
      <c r="AQ55" s="491"/>
      <c r="AR55" s="491"/>
      <c r="AS55" s="491">
        <v>0</v>
      </c>
    </row>
    <row r="56" spans="1:45" hidden="1">
      <c r="A56" s="483"/>
      <c r="B56" s="481" t="s">
        <v>41</v>
      </c>
      <c r="C56" s="491">
        <v>0</v>
      </c>
      <c r="D56" s="491"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v>0</v>
      </c>
      <c r="D57" s="491"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v>148273</v>
      </c>
      <c r="D58" s="491"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v>0</v>
      </c>
      <c r="AG58" s="491">
        <v>0</v>
      </c>
      <c r="AH58" s="491">
        <v>0</v>
      </c>
      <c r="AI58" s="491">
        <v>0</v>
      </c>
      <c r="AJ58" s="491">
        <v>0</v>
      </c>
      <c r="AK58" s="491">
        <v>0</v>
      </c>
      <c r="AL58" s="491"/>
      <c r="AM58" s="491"/>
      <c r="AN58" s="491"/>
      <c r="AO58" s="491"/>
      <c r="AP58" s="491"/>
      <c r="AQ58" s="491"/>
      <c r="AR58" s="491"/>
      <c r="AS58" s="491">
        <v>0</v>
      </c>
    </row>
    <row r="59" spans="1:45" hidden="1">
      <c r="A59" s="483"/>
      <c r="B59" s="481" t="s">
        <v>74</v>
      </c>
      <c r="C59" s="491">
        <v>0</v>
      </c>
      <c r="D59" s="491"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v>3938193</v>
      </c>
    </row>
    <row r="60" spans="1:45" ht="16.8" thickBot="1">
      <c r="A60" s="483"/>
      <c r="B60" s="481" t="s">
        <v>21</v>
      </c>
      <c r="C60" s="542">
        <v>69455538</v>
      </c>
      <c r="D60" s="542">
        <v>69276413</v>
      </c>
      <c r="E60" s="542" t="s">
        <v>272</v>
      </c>
      <c r="F60" s="542">
        <v>0</v>
      </c>
      <c r="G60" s="542">
        <v>9560411</v>
      </c>
      <c r="H60" s="542"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v>11853389</v>
      </c>
      <c r="V60" s="542">
        <v>7975879</v>
      </c>
      <c r="W60" s="542">
        <v>7051984</v>
      </c>
      <c r="X60" s="542">
        <v>5286030</v>
      </c>
      <c r="Y60" s="542">
        <v>2733897</v>
      </c>
      <c r="Z60" s="542">
        <v>2096440</v>
      </c>
      <c r="AA60" s="542">
        <v>1982316</v>
      </c>
      <c r="AB60" s="542">
        <v>2300576</v>
      </c>
      <c r="AC60" s="542">
        <v>2659390</v>
      </c>
      <c r="AD60" s="542">
        <v>3938193</v>
      </c>
      <c r="AE60" s="542">
        <v>9651342</v>
      </c>
      <c r="AF60" s="542">
        <v>11926102</v>
      </c>
      <c r="AG60" s="542">
        <v>11687768</v>
      </c>
      <c r="AH60" s="542">
        <v>8803437</v>
      </c>
      <c r="AI60" s="542">
        <v>8059448</v>
      </c>
      <c r="AJ60" s="542">
        <v>3932071</v>
      </c>
      <c r="AK60" s="542">
        <v>3024022</v>
      </c>
      <c r="AL60" s="542">
        <v>2339216</v>
      </c>
      <c r="AM60" s="542">
        <v>2339216</v>
      </c>
      <c r="AN60" s="542">
        <v>2339216</v>
      </c>
      <c r="AO60" s="542">
        <v>2339216</v>
      </c>
      <c r="AP60" s="542">
        <v>6277409</v>
      </c>
      <c r="AQ60" s="542">
        <v>2339216</v>
      </c>
      <c r="AR60" s="542">
        <v>2339216</v>
      </c>
      <c r="AS60" s="542">
        <v>11687768</v>
      </c>
    </row>
    <row r="61" spans="1:45" ht="16.2" thickTop="1">
      <c r="A61" s="483"/>
      <c r="B61" s="481" t="s">
        <v>269</v>
      </c>
      <c r="C61" s="491">
        <v>69455538</v>
      </c>
      <c r="D61" s="491"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73">
        <v>3932071</v>
      </c>
      <c r="AK61" s="582">
        <v>3024022</v>
      </c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v>201310</v>
      </c>
      <c r="G63" s="484">
        <v>201311</v>
      </c>
      <c r="H63" s="484"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v>201502</v>
      </c>
      <c r="W63" s="484">
        <v>201503</v>
      </c>
      <c r="X63" s="484">
        <v>201504</v>
      </c>
      <c r="Y63" s="484">
        <v>201505</v>
      </c>
      <c r="Z63" s="484">
        <v>201506</v>
      </c>
      <c r="AA63" s="484">
        <v>201507</v>
      </c>
      <c r="AB63" s="484">
        <v>201508</v>
      </c>
      <c r="AC63" s="484">
        <v>201509</v>
      </c>
      <c r="AD63" s="484">
        <v>201510</v>
      </c>
      <c r="AE63" s="484">
        <v>201511</v>
      </c>
      <c r="AF63" s="484">
        <v>201512</v>
      </c>
      <c r="AG63" s="484">
        <v>201601</v>
      </c>
      <c r="AH63" s="484">
        <v>201602</v>
      </c>
      <c r="AI63" s="484">
        <v>201603</v>
      </c>
      <c r="AJ63" s="484">
        <v>201604</v>
      </c>
      <c r="AK63" s="484">
        <v>201605</v>
      </c>
      <c r="AL63" s="484">
        <v>201606</v>
      </c>
      <c r="AM63" s="484">
        <v>201607</v>
      </c>
      <c r="AN63" s="484">
        <v>201608</v>
      </c>
      <c r="AO63" s="484">
        <v>201609</v>
      </c>
      <c r="AP63" s="484">
        <v>201610</v>
      </c>
      <c r="AQ63" s="484">
        <v>201611</v>
      </c>
      <c r="AR63" s="484"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v>201310</v>
      </c>
      <c r="G73" s="484">
        <v>201311</v>
      </c>
      <c r="H73" s="484"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v>201502</v>
      </c>
      <c r="W73" s="484">
        <v>201503</v>
      </c>
      <c r="X73" s="484">
        <v>201504</v>
      </c>
      <c r="Y73" s="484">
        <v>201505</v>
      </c>
      <c r="Z73" s="484">
        <v>201506</v>
      </c>
      <c r="AA73" s="484">
        <v>201507</v>
      </c>
      <c r="AB73" s="484">
        <v>201508</v>
      </c>
      <c r="AC73" s="484">
        <v>201509</v>
      </c>
      <c r="AD73" s="484">
        <v>201510</v>
      </c>
      <c r="AE73" s="484">
        <v>201511</v>
      </c>
      <c r="AF73" s="484">
        <v>201512</v>
      </c>
      <c r="AG73" s="484">
        <v>201601</v>
      </c>
      <c r="AH73" s="484">
        <v>201602</v>
      </c>
      <c r="AI73" s="484">
        <v>201603</v>
      </c>
      <c r="AJ73" s="484">
        <v>201604</v>
      </c>
      <c r="AK73" s="484">
        <v>201605</v>
      </c>
      <c r="AL73" s="484">
        <v>201606</v>
      </c>
      <c r="AM73" s="484">
        <v>201607</v>
      </c>
      <c r="AN73" s="484">
        <v>201608</v>
      </c>
      <c r="AO73" s="484">
        <v>201609</v>
      </c>
      <c r="AP73" s="484">
        <v>201610</v>
      </c>
      <c r="AQ73" s="484">
        <v>201611</v>
      </c>
      <c r="AR73" s="484"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v>201605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v>-11951.205399782522</v>
      </c>
      <c r="AC75" s="482">
        <v>-11961.164737615674</v>
      </c>
      <c r="AD75" s="482">
        <v>-11971.132374897021</v>
      </c>
      <c r="AE75" s="482">
        <v>-11981.108318542769</v>
      </c>
      <c r="AF75" s="482">
        <v>-11991.092575474888</v>
      </c>
      <c r="AG75" s="482">
        <v>-12001.085152621117</v>
      </c>
      <c r="AH75" s="482">
        <v>-12011.086056914968</v>
      </c>
      <c r="AI75" s="482">
        <v>-12021.09529529573</v>
      </c>
      <c r="AJ75" s="482">
        <v>-12031.112874708477</v>
      </c>
      <c r="AK75" s="482">
        <v>-12041.138802104068</v>
      </c>
      <c r="AL75" s="482">
        <v>-12051.173084439155</v>
      </c>
      <c r="AM75" s="482">
        <v>-12061.215728676189</v>
      </c>
      <c r="AN75" s="482">
        <v>-12071.266741783418</v>
      </c>
      <c r="AO75" s="482">
        <v>-12081.326130734904</v>
      </c>
      <c r="AP75" s="482">
        <v>-12091.393902510516</v>
      </c>
      <c r="AQ75" s="482">
        <v>-12101.470064095942</v>
      </c>
      <c r="AR75" s="482"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v>0</v>
      </c>
      <c r="AY75" s="520">
        <v>0</v>
      </c>
    </row>
    <row r="76" spans="1:51" ht="16.2">
      <c r="B76" s="481" t="s">
        <v>23</v>
      </c>
      <c r="C76" s="482">
        <v>4.9799999978858978E-3</v>
      </c>
      <c r="D76" s="491">
        <v>317123.09256000002</v>
      </c>
      <c r="E76" s="482">
        <v>0</v>
      </c>
      <c r="F76" s="482">
        <v>88526.8</v>
      </c>
      <c r="G76" s="482">
        <v>140835.72</v>
      </c>
      <c r="H76" s="482"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v>10.034282335086724</v>
      </c>
      <c r="AY76" s="500">
        <v>0</v>
      </c>
    </row>
    <row r="77" spans="1:51" ht="16.2">
      <c r="B77" s="481" t="s">
        <v>4</v>
      </c>
      <c r="C77" s="482">
        <v>-109.46219194583813</v>
      </c>
      <c r="D77" s="491">
        <v>-378.5328547840578</v>
      </c>
      <c r="E77" s="482">
        <v>-1303.5564083333331</v>
      </c>
      <c r="F77" s="482">
        <v>-1267.756538673611</v>
      </c>
      <c r="G77" s="482">
        <v>-1173.94</v>
      </c>
      <c r="H77" s="489"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v>-9.9593378331521034</v>
      </c>
      <c r="AC77" s="489">
        <v>-9.9676372813463967</v>
      </c>
      <c r="AD77" s="489">
        <v>-9.9759436457475186</v>
      </c>
      <c r="AE77" s="489">
        <v>-9.9842569321189742</v>
      </c>
      <c r="AF77" s="489">
        <v>-9.992577146229074</v>
      </c>
      <c r="AG77" s="489">
        <v>-10.000904293850931</v>
      </c>
      <c r="AH77" s="489">
        <v>-10.009238380762474</v>
      </c>
      <c r="AI77" s="489">
        <v>-10.017579412746443</v>
      </c>
      <c r="AJ77" s="489">
        <v>-10.025927395590397</v>
      </c>
      <c r="AK77" s="489">
        <v>-10.034282335086724</v>
      </c>
      <c r="AL77" s="489">
        <v>-10.042644237032629</v>
      </c>
      <c r="AM77" s="489">
        <v>-10.051013107230158</v>
      </c>
      <c r="AN77" s="489">
        <v>-10.059388951486183</v>
      </c>
      <c r="AO77" s="489">
        <v>-10.067771775612421</v>
      </c>
      <c r="AP77" s="489">
        <v>-10.07616158542543</v>
      </c>
      <c r="AQ77" s="489">
        <v>-10.084558386746618</v>
      </c>
      <c r="AR77" s="489"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v>0</v>
      </c>
      <c r="AY77" s="500">
        <v>10.034282335086724</v>
      </c>
    </row>
    <row r="78" spans="1:51" ht="16.2">
      <c r="B78" s="481" t="s">
        <v>148</v>
      </c>
      <c r="C78" s="482"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v>0</v>
      </c>
      <c r="AY78" s="500"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v>-11901.532960675278</v>
      </c>
      <c r="W79" s="541">
        <v>-11911.450904809175</v>
      </c>
      <c r="X79" s="541">
        <v>-11921.377113896517</v>
      </c>
      <c r="Y79" s="541">
        <v>-11931.311594824763</v>
      </c>
      <c r="Z79" s="541">
        <v>-11941.254354487117</v>
      </c>
      <c r="AA79" s="541">
        <v>-11951.205399782522</v>
      </c>
      <c r="AB79" s="541">
        <v>-11961.164737615674</v>
      </c>
      <c r="AC79" s="541">
        <v>-11971.132374897021</v>
      </c>
      <c r="AD79" s="541">
        <v>-11981.108318542769</v>
      </c>
      <c r="AE79" s="541">
        <v>-11991.092575474888</v>
      </c>
      <c r="AF79" s="541">
        <v>-12001.085152621117</v>
      </c>
      <c r="AG79" s="541">
        <v>-12011.086056914968</v>
      </c>
      <c r="AH79" s="541">
        <v>-12021.09529529573</v>
      </c>
      <c r="AI79" s="541">
        <v>-12031.112874708477</v>
      </c>
      <c r="AJ79" s="541">
        <v>-12041.138802104068</v>
      </c>
      <c r="AK79" s="541">
        <v>-12051.173084439155</v>
      </c>
      <c r="AL79" s="541">
        <v>-12061.215728676189</v>
      </c>
      <c r="AM79" s="541">
        <v>-12071.266741783418</v>
      </c>
      <c r="AN79" s="541">
        <v>-12081.326130734904</v>
      </c>
      <c r="AO79" s="541">
        <v>-12091.393902510516</v>
      </c>
      <c r="AP79" s="541">
        <v>-12101.470064095942</v>
      </c>
      <c r="AQ79" s="541">
        <v>-12111.554622482689</v>
      </c>
      <c r="AR79" s="541"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v>-11901.55</v>
      </c>
      <c r="W80" s="482">
        <v>-11911.47</v>
      </c>
      <c r="X80" s="482">
        <v>-11921.4</v>
      </c>
      <c r="Y80" s="482">
        <v>-11931.33</v>
      </c>
      <c r="Z80" s="482">
        <v>-11941.27</v>
      </c>
      <c r="AA80" s="482">
        <v>-11951.22</v>
      </c>
      <c r="AB80" s="482">
        <v>-11961.18</v>
      </c>
      <c r="AC80" s="482">
        <v>-11971.15</v>
      </c>
      <c r="AD80" s="482">
        <v>-11981.13</v>
      </c>
      <c r="AE80" s="482">
        <v>-11991.11</v>
      </c>
      <c r="AF80" s="482">
        <v>-12001.1</v>
      </c>
      <c r="AG80" s="482">
        <v>-12011.1</v>
      </c>
      <c r="AH80" s="482">
        <v>-12021.11</v>
      </c>
      <c r="AI80" s="482">
        <v>-12031.13</v>
      </c>
      <c r="AJ80" s="482">
        <v>-12041.16</v>
      </c>
      <c r="AK80" s="482">
        <v>-12051.19</v>
      </c>
      <c r="AL80" s="482">
        <v>-12051.19</v>
      </c>
      <c r="AM80" s="482">
        <v>0</v>
      </c>
      <c r="AN80" s="482">
        <v>0</v>
      </c>
      <c r="AO80" s="482">
        <v>0</v>
      </c>
      <c r="AP80" s="482">
        <v>0</v>
      </c>
      <c r="AQ80" s="482">
        <v>0</v>
      </c>
      <c r="AR80" s="482"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v>1.7039324720826698E-2</v>
      </c>
      <c r="W81" s="482">
        <v>1.9095190824373276E-2</v>
      </c>
      <c r="X81" s="482">
        <v>2.2886103482960607E-2</v>
      </c>
      <c r="Y81" s="482">
        <v>1.8405175236694049E-2</v>
      </c>
      <c r="Z81" s="482">
        <v>1.5645512883565971E-2</v>
      </c>
      <c r="AA81" s="482">
        <v>1.4600217476981925E-2</v>
      </c>
      <c r="AB81" s="482">
        <v>1.5262384325978928E-2</v>
      </c>
      <c r="AC81" s="482">
        <v>1.7625102978854557E-2</v>
      </c>
      <c r="AD81" s="482">
        <v>2.1681457230442902E-2</v>
      </c>
      <c r="AE81" s="482">
        <v>1.7424525112801348E-2</v>
      </c>
      <c r="AF81" s="482">
        <v>1.4847378883132478E-2</v>
      </c>
      <c r="AG81" s="482">
        <v>1.3943085032224189E-2</v>
      </c>
      <c r="AH81" s="482">
        <v>1.4704704270116054E-2</v>
      </c>
      <c r="AI81" s="482">
        <v>1.7125291522461339E-2</v>
      </c>
      <c r="AJ81" s="482">
        <v>2.1197895932346E-2</v>
      </c>
      <c r="AK81" s="482">
        <v>1.6915560845518485E-2</v>
      </c>
      <c r="AL81" s="482">
        <v>-10.02572867618801</v>
      </c>
      <c r="AM81" s="482">
        <v>-12071.266741783418</v>
      </c>
      <c r="AN81" s="482">
        <v>-12081.326130734904</v>
      </c>
      <c r="AO81" s="482">
        <v>-12091.393902510516</v>
      </c>
      <c r="AP81" s="482">
        <v>-12101.470064095942</v>
      </c>
      <c r="AQ81" s="482">
        <v>-12111.554622482689</v>
      </c>
      <c r="AR81" s="482">
        <v>-12121.647584668091</v>
      </c>
      <c r="AT81" s="516"/>
      <c r="AU81" s="530"/>
      <c r="AV81" s="517"/>
      <c r="AW81" s="517"/>
      <c r="AX81" s="517" t="s">
        <v>159</v>
      </c>
      <c r="AY81" s="518"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394" priority="26" operator="notEqual">
      <formula>E27</formula>
    </cfRule>
  </conditionalFormatting>
  <conditionalFormatting sqref="F28">
    <cfRule type="cellIs" dxfId="393" priority="25" operator="notEqual">
      <formula>F27</formula>
    </cfRule>
  </conditionalFormatting>
  <conditionalFormatting sqref="G28">
    <cfRule type="cellIs" dxfId="392" priority="24" operator="notEqual">
      <formula>G27</formula>
    </cfRule>
  </conditionalFormatting>
  <conditionalFormatting sqref="H28">
    <cfRule type="cellIs" dxfId="391" priority="23" operator="notEqual">
      <formula>H27</formula>
    </cfRule>
  </conditionalFormatting>
  <conditionalFormatting sqref="C28">
    <cfRule type="cellIs" dxfId="390" priority="22" operator="notEqual">
      <formula>C27</formula>
    </cfRule>
  </conditionalFormatting>
  <conditionalFormatting sqref="F61">
    <cfRule type="cellIs" dxfId="389" priority="21" operator="notEqual">
      <formula>F60</formula>
    </cfRule>
  </conditionalFormatting>
  <conditionalFormatting sqref="G61">
    <cfRule type="cellIs" dxfId="388" priority="20" operator="notEqual">
      <formula>G60</formula>
    </cfRule>
  </conditionalFormatting>
  <conditionalFormatting sqref="H61">
    <cfRule type="cellIs" dxfId="387" priority="19" operator="notEqual">
      <formula>H60</formula>
    </cfRule>
  </conditionalFormatting>
  <conditionalFormatting sqref="C61">
    <cfRule type="cellIs" dxfId="386" priority="18" operator="notEqual">
      <formula>C60</formula>
    </cfRule>
  </conditionalFormatting>
  <conditionalFormatting sqref="I61">
    <cfRule type="cellIs" dxfId="385" priority="17" operator="notEqual">
      <formula>I60</formula>
    </cfRule>
  </conditionalFormatting>
  <conditionalFormatting sqref="AY81 AY48 AY11">
    <cfRule type="cellIs" dxfId="384" priority="16" operator="notEqual">
      <formula>0</formula>
    </cfRule>
  </conditionalFormatting>
  <conditionalFormatting sqref="I28">
    <cfRule type="cellIs" dxfId="383" priority="15" operator="notEqual">
      <formula>I27</formula>
    </cfRule>
  </conditionalFormatting>
  <conditionalFormatting sqref="J28">
    <cfRule type="cellIs" dxfId="382" priority="14" operator="notEqual">
      <formula>J27</formula>
    </cfRule>
  </conditionalFormatting>
  <conditionalFormatting sqref="J61">
    <cfRule type="cellIs" dxfId="381" priority="13" operator="notEqual">
      <formula>J60</formula>
    </cfRule>
  </conditionalFormatting>
  <conditionalFormatting sqref="K28">
    <cfRule type="cellIs" dxfId="380" priority="12" operator="notEqual">
      <formula>K27</formula>
    </cfRule>
  </conditionalFormatting>
  <conditionalFormatting sqref="K61">
    <cfRule type="cellIs" dxfId="379" priority="11" operator="notEqual">
      <formula>K60</formula>
    </cfRule>
  </conditionalFormatting>
  <conditionalFormatting sqref="L28:M28">
    <cfRule type="cellIs" dxfId="378" priority="10" operator="notEqual">
      <formula>L27</formula>
    </cfRule>
  </conditionalFormatting>
  <conditionalFormatting sqref="N28">
    <cfRule type="cellIs" dxfId="377" priority="9" operator="notEqual">
      <formula>N27</formula>
    </cfRule>
  </conditionalFormatting>
  <conditionalFormatting sqref="U61">
    <cfRule type="cellIs" dxfId="376" priority="8" operator="notEqual">
      <formula>U60</formula>
    </cfRule>
  </conditionalFormatting>
  <conditionalFormatting sqref="U28:V28">
    <cfRule type="cellIs" dxfId="375" priority="7" operator="notEqual">
      <formula>U27</formula>
    </cfRule>
  </conditionalFormatting>
  <conditionalFormatting sqref="V28">
    <cfRule type="cellIs" dxfId="374" priority="6" operator="notEqual">
      <formula>V27</formula>
    </cfRule>
  </conditionalFormatting>
  <conditionalFormatting sqref="V61">
    <cfRule type="cellIs" dxfId="373" priority="5" operator="notEqual">
      <formula>V60</formula>
    </cfRule>
  </conditionalFormatting>
  <conditionalFormatting sqref="W28">
    <cfRule type="cellIs" dxfId="372" priority="4" operator="notEqual">
      <formula>W27</formula>
    </cfRule>
  </conditionalFormatting>
  <conditionalFormatting sqref="W61">
    <cfRule type="cellIs" dxfId="371" priority="3" operator="notEqual">
      <formula>W60</formula>
    </cfRule>
  </conditionalFormatting>
  <conditionalFormatting sqref="X28:Y28">
    <cfRule type="cellIs" dxfId="370" priority="2" operator="notEqual">
      <formula>X27</formula>
    </cfRule>
  </conditionalFormatting>
  <conditionalFormatting sqref="Z28">
    <cfRule type="cellIs" dxfId="369" priority="1" operator="notEqual">
      <formula>Z27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zoomScale="85" zoomScaleNormal="85" zoomScaleSheetLayoutView="85" workbookViewId="0">
      <selection activeCell="AJ14" sqref="AJ14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35" width="18.109375" style="482" customWidth="1"/>
    <col min="36" max="36" width="19" style="482" customWidth="1"/>
    <col min="37" max="44" width="16.33203125" style="482" hidden="1" customWidth="1"/>
    <col min="45" max="45" width="11.6640625" style="482" customWidth="1"/>
    <col min="46" max="46" width="37.88671875" style="482" bestFit="1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D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>AL3+1</f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>AQ3+1</f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>
        <v>3.4599999999999999E-2</v>
      </c>
      <c r="AK4" s="488"/>
      <c r="AL4" s="488"/>
      <c r="AM4" s="488"/>
      <c r="AN4" s="488"/>
      <c r="AO4" s="488"/>
      <c r="AP4" s="488"/>
      <c r="AQ4" s="488"/>
      <c r="AR4" s="488"/>
      <c r="AT4" s="544">
        <v>201604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2">AF13</f>
        <v>-6508323.8685397729</v>
      </c>
      <c r="AH5" s="482">
        <f t="shared" si="2"/>
        <v>-8439847.1132167727</v>
      </c>
      <c r="AI5" s="482">
        <f t="shared" si="2"/>
        <v>-9264796.9494047705</v>
      </c>
      <c r="AJ5" s="482">
        <f t="shared" si="2"/>
        <v>-10398819.535470769</v>
      </c>
      <c r="AK5" s="482">
        <f t="shared" si="2"/>
        <v>-12153304.785960769</v>
      </c>
      <c r="AL5" s="482">
        <f t="shared" si="2"/>
        <v>-12743001.892104771</v>
      </c>
      <c r="AM5" s="482">
        <f t="shared" si="2"/>
        <v>-14107478.834992768</v>
      </c>
      <c r="AN5" s="482">
        <f t="shared" si="2"/>
        <v>-15013370.49771677</v>
      </c>
      <c r="AO5" s="482">
        <f t="shared" si="2"/>
        <v>-14617991.66938277</v>
      </c>
      <c r="AP5" s="482">
        <f t="shared" si="2"/>
        <v>-15074076.372484772</v>
      </c>
      <c r="AQ5" s="482">
        <f t="shared" si="2"/>
        <v>-15149345.141035771</v>
      </c>
      <c r="AR5" s="482">
        <f t="shared" si="2"/>
        <v>-16760237.11722577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 t="shared" ref="C6:C12" si="3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</f>
        <v>32465.84</v>
      </c>
      <c r="AY6" s="500">
        <v>0</v>
      </c>
    </row>
    <row r="7" spans="1:51" ht="16.2">
      <c r="B7" s="481" t="s">
        <v>255</v>
      </c>
      <c r="C7" s="482">
        <f t="shared" si="3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1754485.2504900012</v>
      </c>
    </row>
    <row r="8" spans="1:51" ht="16.2">
      <c r="B8" s="481" t="s">
        <v>258</v>
      </c>
      <c r="C8" s="482">
        <f t="shared" si="3"/>
        <v>-103215.2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4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R8" si="5">ROUND(((AG5)*(AG4/12))+((SUM(AG6:AG7)/2)*(AG4/12)),2)</f>
        <v>-20214.939999999999</v>
      </c>
      <c r="AH8" s="489">
        <f t="shared" si="5"/>
        <v>-23942.62</v>
      </c>
      <c r="AI8" s="489">
        <f t="shared" si="5"/>
        <v>-26591.8</v>
      </c>
      <c r="AJ8" s="489">
        <f t="shared" si="5"/>
        <v>-32465.84</v>
      </c>
      <c r="AK8" s="489">
        <f t="shared" si="5"/>
        <v>0</v>
      </c>
      <c r="AL8" s="489">
        <f t="shared" si="5"/>
        <v>0</v>
      </c>
      <c r="AM8" s="489">
        <f t="shared" si="5"/>
        <v>0</v>
      </c>
      <c r="AN8" s="489">
        <f t="shared" si="5"/>
        <v>0</v>
      </c>
      <c r="AO8" s="489">
        <f t="shared" si="5"/>
        <v>0</v>
      </c>
      <c r="AP8" s="489">
        <f t="shared" si="5"/>
        <v>0</v>
      </c>
      <c r="AQ8" s="489">
        <f t="shared" si="5"/>
        <v>0</v>
      </c>
      <c r="AR8" s="489">
        <f t="shared" si="5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</f>
        <v>1722019.4104900011</v>
      </c>
      <c r="AY8" s="500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f>SUM(C5:C12)</f>
        <v>-12337211.467626994</v>
      </c>
      <c r="D13" s="541"/>
      <c r="E13" s="541">
        <f>SUM(E5:E12)</f>
        <v>2712780.2600000002</v>
      </c>
      <c r="F13" s="541">
        <f t="shared" ref="F13:H13" si="6">SUM(F5:F12)</f>
        <v>2255013.9900000002</v>
      </c>
      <c r="G13" s="541">
        <f>SUM(G5:G12)</f>
        <v>-33498.738666789999</v>
      </c>
      <c r="H13" s="541">
        <f t="shared" si="6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7">SUM(V5:V12)</f>
        <v>-1694440.0214187815</v>
      </c>
      <c r="W13" s="541">
        <f t="shared" si="7"/>
        <v>-683405.33395377884</v>
      </c>
      <c r="X13" s="541">
        <f t="shared" si="7"/>
        <v>-2769396.4708657796</v>
      </c>
      <c r="Y13" s="541">
        <f>SUM(Y5:Y12)</f>
        <v>-2940906.6891037785</v>
      </c>
      <c r="Z13" s="541">
        <f t="shared" ref="Z13:AE13" si="8">SUM(Z5:Z12)</f>
        <v>-3112721.2246137792</v>
      </c>
      <c r="AA13" s="541">
        <f t="shared" si="8"/>
        <v>-3464489.8670317773</v>
      </c>
      <c r="AB13" s="541">
        <f t="shared" si="8"/>
        <v>-3555298.2266717753</v>
      </c>
      <c r="AC13" s="541">
        <f t="shared" si="8"/>
        <v>-4755858.0107337767</v>
      </c>
      <c r="AD13" s="541">
        <f t="shared" si="8"/>
        <v>-5900360.3440987766</v>
      </c>
      <c r="AE13" s="541">
        <f t="shared" si="8"/>
        <v>-4407824.1695987741</v>
      </c>
      <c r="AF13" s="541">
        <f>SUM(AF5:AF12)</f>
        <v>-6508323.8685397729</v>
      </c>
      <c r="AG13" s="541">
        <f t="shared" ref="AG13:AR13" si="9">SUM(AG5:AG12)</f>
        <v>-8439847.1132167727</v>
      </c>
      <c r="AH13" s="541">
        <f t="shared" si="9"/>
        <v>-9264796.9494047705</v>
      </c>
      <c r="AI13" s="541">
        <f t="shared" si="9"/>
        <v>-10398819.535470769</v>
      </c>
      <c r="AJ13" s="541">
        <f t="shared" si="9"/>
        <v>-12153304.785960769</v>
      </c>
      <c r="AK13" s="541">
        <f t="shared" si="9"/>
        <v>-12743001.892104771</v>
      </c>
      <c r="AL13" s="541">
        <f t="shared" si="9"/>
        <v>-14107478.834992768</v>
      </c>
      <c r="AM13" s="541">
        <f t="shared" si="9"/>
        <v>-15013370.49771677</v>
      </c>
      <c r="AN13" s="541">
        <f t="shared" si="9"/>
        <v>-14617991.66938277</v>
      </c>
      <c r="AO13" s="541">
        <f t="shared" si="9"/>
        <v>-15074076.372484772</v>
      </c>
      <c r="AP13" s="541">
        <f t="shared" si="9"/>
        <v>-15149345.141035771</v>
      </c>
      <c r="AQ13" s="541">
        <f t="shared" si="9"/>
        <v>-16760237.11722577</v>
      </c>
      <c r="AR13" s="541">
        <f t="shared" si="9"/>
        <v>-18845535.336166766</v>
      </c>
    </row>
    <row r="14" spans="1:51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51">
      <c r="B15" s="481" t="s">
        <v>245</v>
      </c>
      <c r="E15" s="482">
        <f t="shared" ref="E15:H15" si="10">E13-E14</f>
        <v>1.0000000242143869E-2</v>
      </c>
      <c r="F15" s="482">
        <f t="shared" si="10"/>
        <v>1.0000000242143869E-2</v>
      </c>
      <c r="G15" s="482">
        <f t="shared" si="10"/>
        <v>1.1333210000884719E-2</v>
      </c>
      <c r="H15" s="482">
        <f t="shared" si="10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E15" si="11">V13-V14</f>
        <v>-1.418781466782093E-3</v>
      </c>
      <c r="W15" s="482">
        <f t="shared" si="11"/>
        <v>-3.9537788834422827E-3</v>
      </c>
      <c r="X15" s="482">
        <f t="shared" si="11"/>
        <v>-8.6577935144305229E-4</v>
      </c>
      <c r="Y15" s="482">
        <f t="shared" si="11"/>
        <v>8.9622149243950844E-4</v>
      </c>
      <c r="Z15" s="482">
        <f t="shared" si="11"/>
        <v>5.3862207569181919E-3</v>
      </c>
      <c r="AA15" s="482">
        <f t="shared" si="11"/>
        <v>2.9682228341698647E-3</v>
      </c>
      <c r="AB15" s="482">
        <f t="shared" si="11"/>
        <v>3.3282246440649033E-3</v>
      </c>
      <c r="AC15" s="482">
        <f t="shared" si="11"/>
        <v>-7.3377694934606552E-4</v>
      </c>
      <c r="AD15" s="482">
        <f t="shared" si="11"/>
        <v>-4.0987767279148102E-3</v>
      </c>
      <c r="AE15" s="482">
        <f t="shared" si="11"/>
        <v>4.0122587233781815E-4</v>
      </c>
      <c r="AF15" s="482">
        <f>AF13-AF14</f>
        <v>1.4602271839976311E-3</v>
      </c>
      <c r="AG15" s="482">
        <f>AG13-AG14</f>
        <v>-7556.9932167734951</v>
      </c>
      <c r="AH15" s="482">
        <f>AH13-AH14</f>
        <v>5.9522874653339386E-4</v>
      </c>
      <c r="AI15" s="482">
        <f>AI13-AI14</f>
        <v>4.5292302966117859E-3</v>
      </c>
      <c r="AJ15" s="482">
        <f>AJ13-AJ14</f>
        <v>4.0392298251390457E-3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D18" si="12">U18+1</f>
        <v>201502</v>
      </c>
      <c r="W18" s="484">
        <f t="shared" si="12"/>
        <v>201503</v>
      </c>
      <c r="X18" s="484">
        <f t="shared" si="12"/>
        <v>201504</v>
      </c>
      <c r="Y18" s="484">
        <f t="shared" si="12"/>
        <v>201505</v>
      </c>
      <c r="Z18" s="484">
        <f t="shared" si="12"/>
        <v>201506</v>
      </c>
      <c r="AA18" s="484">
        <f t="shared" si="12"/>
        <v>201507</v>
      </c>
      <c r="AB18" s="484">
        <f t="shared" si="12"/>
        <v>201508</v>
      </c>
      <c r="AC18" s="484">
        <f t="shared" si="12"/>
        <v>201509</v>
      </c>
      <c r="AD18" s="484">
        <f t="shared" si="12"/>
        <v>201510</v>
      </c>
      <c r="AE18" s="484">
        <f>AD18+1</f>
        <v>201511</v>
      </c>
      <c r="AF18" s="484">
        <f t="shared" ref="AF18" si="13">AE18+1</f>
        <v>201512</v>
      </c>
      <c r="AG18" s="484">
        <v>201601</v>
      </c>
      <c r="AH18" s="484">
        <f>AG18+1</f>
        <v>201602</v>
      </c>
      <c r="AI18" s="484">
        <f t="shared" ref="AI18:AR18" si="14">AH18+1</f>
        <v>201603</v>
      </c>
      <c r="AJ18" s="484">
        <f t="shared" si="14"/>
        <v>201604</v>
      </c>
      <c r="AK18" s="484">
        <f t="shared" si="14"/>
        <v>201605</v>
      </c>
      <c r="AL18" s="484">
        <f t="shared" si="14"/>
        <v>201606</v>
      </c>
      <c r="AM18" s="484">
        <f t="shared" si="14"/>
        <v>201607</v>
      </c>
      <c r="AN18" s="484">
        <f t="shared" si="14"/>
        <v>201608</v>
      </c>
      <c r="AO18" s="484">
        <f t="shared" si="14"/>
        <v>201609</v>
      </c>
      <c r="AP18" s="484">
        <f t="shared" si="14"/>
        <v>201610</v>
      </c>
      <c r="AQ18" s="484">
        <f t="shared" si="14"/>
        <v>201611</v>
      </c>
      <c r="AR18" s="484">
        <f t="shared" si="14"/>
        <v>201612</v>
      </c>
    </row>
    <row r="19" spans="1:45">
      <c r="A19" s="483"/>
      <c r="B19" s="481" t="s">
        <v>37</v>
      </c>
      <c r="C19" s="491">
        <f>SUM(AG19:AR19)</f>
        <v>52025008</v>
      </c>
      <c r="D19" s="491">
        <f>SUM(AE19:AP19)</f>
        <v>86859837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>
        <f>Mar!$G23</f>
        <v>12238194</v>
      </c>
      <c r="AJ19" s="543">
        <f>Apr!$G23</f>
        <v>5348802</v>
      </c>
      <c r="AK19" s="543"/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15">SUM(AG20:AR20)</f>
        <v>63260</v>
      </c>
      <c r="D20" s="491">
        <f>SUM(AE20:AP20)</f>
        <v>74704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>
        <f>Mar!$G24</f>
        <v>18603</v>
      </c>
      <c r="AJ20" s="543">
        <f>Apr!$G24</f>
        <v>12171</v>
      </c>
      <c r="AK20" s="543"/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15"/>
        <v>19233087</v>
      </c>
      <c r="D21" s="491">
        <f t="shared" ref="D21:D27" si="16">SUM(AE21:AP21)</f>
        <v>30902539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>
        <f>Mar!$G25</f>
        <v>4795258</v>
      </c>
      <c r="AJ21" s="543">
        <f>Apr!$G25</f>
        <v>2668983</v>
      </c>
      <c r="AK21" s="543"/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f t="shared" si="15"/>
        <v>1343874</v>
      </c>
      <c r="D23" s="491">
        <f t="shared" si="16"/>
        <v>2217052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>
        <f>Mar!$G27</f>
        <v>361566</v>
      </c>
      <c r="AJ23" s="543">
        <f>Apr!$G27</f>
        <v>227877</v>
      </c>
      <c r="AK23" s="543"/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f t="shared" si="15"/>
        <v>0</v>
      </c>
      <c r="D24" s="491">
        <f t="shared" si="16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f t="shared" si="15"/>
        <v>0</v>
      </c>
      <c r="D25" s="491">
        <f t="shared" si="16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>
        <f>Mar!$G29</f>
        <v>0</v>
      </c>
      <c r="AJ25" s="543">
        <f>Apr!$G29</f>
        <v>0</v>
      </c>
      <c r="AK25" s="543"/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f t="shared" si="15"/>
        <v>0</v>
      </c>
      <c r="D26" s="491">
        <f t="shared" si="16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f t="shared" si="15"/>
        <v>11505541</v>
      </c>
      <c r="D27" s="491">
        <f t="shared" si="16"/>
        <v>17846783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>
        <f>Mar!$G31</f>
        <v>2822744</v>
      </c>
      <c r="AJ27" s="543">
        <f>Apr!$G31</f>
        <v>2379815</v>
      </c>
      <c r="AK27" s="543"/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84170770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17">SUM(G19:G27)</f>
        <v>24054373</v>
      </c>
      <c r="H28" s="542">
        <f t="shared" si="17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18">SUM(V19:V27)</f>
        <v>21809394</v>
      </c>
      <c r="W28" s="542">
        <f t="shared" si="18"/>
        <v>17454090</v>
      </c>
      <c r="X28" s="542">
        <f t="shared" si="18"/>
        <v>14032685</v>
      </c>
      <c r="Y28" s="542">
        <f t="shared" si="18"/>
        <v>7651890</v>
      </c>
      <c r="Z28" s="542">
        <f t="shared" si="18"/>
        <v>5795038</v>
      </c>
      <c r="AA28" s="542">
        <f t="shared" si="18"/>
        <v>5628267</v>
      </c>
      <c r="AB28" s="542">
        <f t="shared" si="18"/>
        <v>5459507</v>
      </c>
      <c r="AC28" s="542">
        <f t="shared" si="18"/>
        <v>7409442</v>
      </c>
      <c r="AD28" s="542">
        <f t="shared" si="18"/>
        <v>10025335</v>
      </c>
      <c r="AE28" s="542">
        <f t="shared" si="18"/>
        <v>24443601</v>
      </c>
      <c r="AF28" s="542">
        <f t="shared" si="18"/>
        <v>29286544</v>
      </c>
      <c r="AG28" s="542">
        <f>SUM(AG19:AG27)</f>
        <v>30419523</v>
      </c>
      <c r="AH28" s="542">
        <f t="shared" si="18"/>
        <v>22877234</v>
      </c>
      <c r="AI28" s="542">
        <f t="shared" si="18"/>
        <v>20236365</v>
      </c>
      <c r="AJ28" s="542">
        <f t="shared" si="18"/>
        <v>10637648</v>
      </c>
      <c r="AK28" s="542">
        <f t="shared" si="18"/>
        <v>0</v>
      </c>
      <c r="AL28" s="542">
        <f t="shared" si="18"/>
        <v>0</v>
      </c>
      <c r="AM28" s="542">
        <f t="shared" si="18"/>
        <v>0</v>
      </c>
      <c r="AN28" s="542">
        <f t="shared" si="18"/>
        <v>0</v>
      </c>
      <c r="AO28" s="542">
        <f t="shared" si="18"/>
        <v>0</v>
      </c>
      <c r="AP28" s="542">
        <f t="shared" si="18"/>
        <v>0</v>
      </c>
      <c r="AQ28" s="542">
        <f t="shared" si="18"/>
        <v>0</v>
      </c>
      <c r="AR28" s="542">
        <f t="shared" si="18"/>
        <v>0</v>
      </c>
    </row>
    <row r="29" spans="1:45" ht="16.2" thickTop="1">
      <c r="A29" s="483"/>
      <c r="B29" s="481" t="s">
        <v>269</v>
      </c>
      <c r="C29" s="491">
        <f>SUM(AG29:AR29)</f>
        <v>84170770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>
        <v>10637648</v>
      </c>
      <c r="AK29" s="491"/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:AD31" si="19">U31+1</f>
        <v>201502</v>
      </c>
      <c r="W31" s="484">
        <f t="shared" si="19"/>
        <v>201503</v>
      </c>
      <c r="X31" s="484">
        <f t="shared" si="19"/>
        <v>201504</v>
      </c>
      <c r="Y31" s="484">
        <f t="shared" si="19"/>
        <v>201505</v>
      </c>
      <c r="Z31" s="484">
        <f t="shared" si="19"/>
        <v>201506</v>
      </c>
      <c r="AA31" s="484">
        <f t="shared" si="19"/>
        <v>201507</v>
      </c>
      <c r="AB31" s="484">
        <f t="shared" si="19"/>
        <v>201508</v>
      </c>
      <c r="AC31" s="484">
        <f t="shared" si="19"/>
        <v>201509</v>
      </c>
      <c r="AD31" s="484">
        <f t="shared" si="19"/>
        <v>201510</v>
      </c>
      <c r="AE31" s="484">
        <f>AD31+1</f>
        <v>201511</v>
      </c>
      <c r="AF31" s="484">
        <f t="shared" ref="AF31" si="20">AE31+1</f>
        <v>201512</v>
      </c>
      <c r="AG31" s="484">
        <v>201601</v>
      </c>
      <c r="AH31" s="484">
        <f>AG31+1</f>
        <v>201602</v>
      </c>
      <c r="AI31" s="484">
        <f t="shared" ref="AI31:AR31" si="21">AH31+1</f>
        <v>201603</v>
      </c>
      <c r="AJ31" s="484">
        <f t="shared" si="21"/>
        <v>201604</v>
      </c>
      <c r="AK31" s="484">
        <f t="shared" si="21"/>
        <v>201605</v>
      </c>
      <c r="AL31" s="484">
        <f t="shared" si="21"/>
        <v>201606</v>
      </c>
      <c r="AM31" s="484">
        <f t="shared" si="21"/>
        <v>201607</v>
      </c>
      <c r="AN31" s="484">
        <f t="shared" si="21"/>
        <v>201608</v>
      </c>
      <c r="AO31" s="484">
        <f t="shared" si="21"/>
        <v>201609</v>
      </c>
      <c r="AP31" s="484">
        <f t="shared" si="21"/>
        <v>201610</v>
      </c>
      <c r="AQ31" s="484">
        <f t="shared" si="21"/>
        <v>201611</v>
      </c>
      <c r="AR31" s="484">
        <f t="shared" si="21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201604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:AD42" si="22">U42+1</f>
        <v>201502</v>
      </c>
      <c r="W42" s="484">
        <f t="shared" si="22"/>
        <v>201503</v>
      </c>
      <c r="X42" s="484">
        <f t="shared" si="22"/>
        <v>201504</v>
      </c>
      <c r="Y42" s="484">
        <f t="shared" si="22"/>
        <v>201505</v>
      </c>
      <c r="Z42" s="484">
        <f t="shared" si="22"/>
        <v>201506</v>
      </c>
      <c r="AA42" s="484">
        <f t="shared" si="22"/>
        <v>201507</v>
      </c>
      <c r="AB42" s="484">
        <f t="shared" si="22"/>
        <v>201508</v>
      </c>
      <c r="AC42" s="484">
        <f t="shared" si="22"/>
        <v>201509</v>
      </c>
      <c r="AD42" s="484">
        <f t="shared" si="22"/>
        <v>201510</v>
      </c>
      <c r="AE42" s="484">
        <f>AD42+1</f>
        <v>201511</v>
      </c>
      <c r="AF42" s="484">
        <f t="shared" ref="AF42" si="23">AE42+1</f>
        <v>201512</v>
      </c>
      <c r="AG42" s="484">
        <v>201601</v>
      </c>
      <c r="AH42" s="484">
        <f>AG42+1</f>
        <v>201602</v>
      </c>
      <c r="AI42" s="484">
        <f t="shared" ref="AI42:AR42" si="24">AH42+1</f>
        <v>201603</v>
      </c>
      <c r="AJ42" s="484">
        <f t="shared" si="24"/>
        <v>201604</v>
      </c>
      <c r="AK42" s="484">
        <f t="shared" si="24"/>
        <v>201605</v>
      </c>
      <c r="AL42" s="484">
        <f t="shared" si="24"/>
        <v>201606</v>
      </c>
      <c r="AM42" s="484">
        <f t="shared" si="24"/>
        <v>201607</v>
      </c>
      <c r="AN42" s="484">
        <f t="shared" si="24"/>
        <v>201608</v>
      </c>
      <c r="AO42" s="484">
        <f t="shared" si="24"/>
        <v>201609</v>
      </c>
      <c r="AP42" s="484">
        <f t="shared" si="24"/>
        <v>201610</v>
      </c>
      <c r="AQ42" s="484">
        <f t="shared" si="24"/>
        <v>201611</v>
      </c>
      <c r="AR42" s="484">
        <f t="shared" si="24"/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2608.3999015891645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>
        <v>3.4599999999999999E-2</v>
      </c>
      <c r="AK43" s="488"/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170635.19335841082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:AR44" si="25">AE49</f>
        <v>-2966848.8846008489</v>
      </c>
      <c r="AG44" s="482">
        <f t="shared" si="25"/>
        <v>-2400830.7877258095</v>
      </c>
      <c r="AH44" s="482">
        <f t="shared" si="25"/>
        <v>-1799942.4443073752</v>
      </c>
      <c r="AI44" s="482">
        <f t="shared" si="25"/>
        <v>-1367080.388300563</v>
      </c>
      <c r="AJ44" s="482">
        <f t="shared" si="25"/>
        <v>-991269.16134300514</v>
      </c>
      <c r="AK44" s="482">
        <f t="shared" si="25"/>
        <v>-820633.96798459429</v>
      </c>
      <c r="AL44" s="482">
        <f t="shared" si="25"/>
        <v>-820633.96798459429</v>
      </c>
      <c r="AM44" s="482">
        <f t="shared" si="25"/>
        <v>-820633.96798459429</v>
      </c>
      <c r="AN44" s="482">
        <f t="shared" si="25"/>
        <v>-820633.96798459429</v>
      </c>
      <c r="AO44" s="482">
        <f t="shared" si="25"/>
        <v>-820633.96798459429</v>
      </c>
      <c r="AP44" s="482">
        <f t="shared" si="25"/>
        <v>-820633.96798459429</v>
      </c>
      <c r="AQ44" s="482">
        <f t="shared" si="25"/>
        <v>-820633.96798459429</v>
      </c>
      <c r="AR44" s="482">
        <f t="shared" si="25"/>
        <v>-820633.96798459429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173243.59325999999</v>
      </c>
    </row>
    <row r="45" spans="1:51" ht="16.2">
      <c r="B45" s="481" t="s">
        <v>23</v>
      </c>
      <c r="C45" s="482">
        <f>SUM(AG45:AR45)</f>
        <v>1595958.2304599998</v>
      </c>
      <c r="D45" s="494">
        <f>SUM(AE45:AP45)</f>
        <v>2626331.2304599998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26">SUMPRODUCT(AH19:AH27,AH32:AH40)</f>
        <v>437144.93303000001</v>
      </c>
      <c r="AI45" s="482">
        <f t="shared" si="26"/>
        <v>379000.50648999994</v>
      </c>
      <c r="AJ45" s="482">
        <f t="shared" si="26"/>
        <v>173243.59325999999</v>
      </c>
      <c r="AK45" s="482">
        <f t="shared" si="26"/>
        <v>0</v>
      </c>
      <c r="AL45" s="482">
        <f t="shared" si="26"/>
        <v>0</v>
      </c>
      <c r="AM45" s="482">
        <f t="shared" si="26"/>
        <v>0</v>
      </c>
      <c r="AN45" s="482">
        <f t="shared" si="26"/>
        <v>0</v>
      </c>
      <c r="AO45" s="482">
        <f t="shared" si="26"/>
        <v>0</v>
      </c>
      <c r="AP45" s="482">
        <f t="shared" si="26"/>
        <v>0</v>
      </c>
      <c r="AQ45" s="482">
        <f t="shared" si="26"/>
        <v>0</v>
      </c>
      <c r="AR45" s="482">
        <f t="shared" si="26"/>
        <v>0</v>
      </c>
      <c r="AT45" s="153" t="s">
        <v>156</v>
      </c>
      <c r="AU45" s="209">
        <f>AU43</f>
        <v>191000</v>
      </c>
      <c r="AV45" s="209" t="str">
        <f t="shared" ref="AV45:AW46" si="27">AV43</f>
        <v>GD</v>
      </c>
      <c r="AW45" s="209" t="str">
        <f t="shared" si="27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28">SUM(AG46:AR46)</f>
        <v>-15761.410718784729</v>
      </c>
      <c r="D46" s="494">
        <f t="shared" ref="D46" si="29">SUM(AE46:AP46)</f>
        <v>-31729.201914555888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30">((AG44+AG47)*(AG43/12))+(((AG45+AG48)/2)*(AG43/12))</f>
        <v>-5680.8542615657343</v>
      </c>
      <c r="AH46" s="489">
        <f t="shared" si="30"/>
        <v>-4282.8770231876824</v>
      </c>
      <c r="AI46" s="489">
        <f t="shared" si="30"/>
        <v>-3189.27953244215</v>
      </c>
      <c r="AJ46" s="489">
        <f t="shared" si="30"/>
        <v>-2608.3999015891645</v>
      </c>
      <c r="AK46" s="489">
        <f t="shared" si="30"/>
        <v>0</v>
      </c>
      <c r="AL46" s="489">
        <f t="shared" si="30"/>
        <v>0</v>
      </c>
      <c r="AM46" s="489">
        <f t="shared" si="30"/>
        <v>0</v>
      </c>
      <c r="AN46" s="489">
        <f t="shared" si="30"/>
        <v>0</v>
      </c>
      <c r="AO46" s="489">
        <f t="shared" si="30"/>
        <v>0</v>
      </c>
      <c r="AP46" s="489">
        <f t="shared" si="30"/>
        <v>0</v>
      </c>
      <c r="AQ46" s="489">
        <f t="shared" si="30"/>
        <v>0</v>
      </c>
      <c r="AR46" s="489">
        <f t="shared" si="30"/>
        <v>0</v>
      </c>
      <c r="AT46" s="154" t="str">
        <f>AT45</f>
        <v>Large Customer Refund</v>
      </c>
      <c r="AU46" s="561">
        <f>AU44</f>
        <v>805110</v>
      </c>
      <c r="AV46" s="561" t="str">
        <f t="shared" si="27"/>
        <v>GD</v>
      </c>
      <c r="AW46" s="561" t="str">
        <f t="shared" si="27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28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28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1580196.8197412151</v>
      </c>
      <c r="D49" s="541"/>
      <c r="E49" s="541">
        <f>SUM(E44:E48)</f>
        <v>-46035.360287444513</v>
      </c>
      <c r="F49" s="541">
        <f t="shared" ref="F49:H49" si="31">SUM(F44:F48)</f>
        <v>404885.58467682183</v>
      </c>
      <c r="G49" s="541">
        <f t="shared" si="31"/>
        <v>1486369.5928734979</v>
      </c>
      <c r="H49" s="541">
        <f t="shared" si="31"/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R49" si="32">SUM(V44:V48)</f>
        <v>-978605.01769356499</v>
      </c>
      <c r="W49" s="541">
        <f t="shared" si="32"/>
        <v>-801445.32791263924</v>
      </c>
      <c r="X49" s="541">
        <f t="shared" si="32"/>
        <v>-669275.24177190254</v>
      </c>
      <c r="Y49" s="541">
        <f t="shared" si="32"/>
        <v>-610882.24266902648</v>
      </c>
      <c r="Z49" s="541">
        <f t="shared" si="32"/>
        <v>-574943.04011245095</v>
      </c>
      <c r="AA49" s="541">
        <f t="shared" si="32"/>
        <v>-537511.27700320142</v>
      </c>
      <c r="AB49" s="541">
        <f t="shared" si="32"/>
        <v>-503286.03358886426</v>
      </c>
      <c r="AC49" s="541">
        <f t="shared" si="32"/>
        <v>-446057.56644618412</v>
      </c>
      <c r="AD49" s="541">
        <f t="shared" si="32"/>
        <v>-360318.05653003836</v>
      </c>
      <c r="AE49" s="541">
        <f t="shared" si="32"/>
        <v>-2966848.8846008489</v>
      </c>
      <c r="AF49" s="541">
        <f t="shared" si="32"/>
        <v>-2400830.7877258095</v>
      </c>
      <c r="AG49" s="541">
        <f t="shared" si="32"/>
        <v>-1799942.4443073752</v>
      </c>
      <c r="AH49" s="541">
        <f t="shared" si="32"/>
        <v>-1367080.388300563</v>
      </c>
      <c r="AI49" s="541">
        <f t="shared" si="32"/>
        <v>-991269.16134300514</v>
      </c>
      <c r="AJ49" s="541">
        <f t="shared" si="32"/>
        <v>-820633.96798459429</v>
      </c>
      <c r="AK49" s="541">
        <f t="shared" si="32"/>
        <v>-820633.96798459429</v>
      </c>
      <c r="AL49" s="541">
        <f t="shared" si="32"/>
        <v>-820633.96798459429</v>
      </c>
      <c r="AM49" s="541">
        <f t="shared" si="32"/>
        <v>-820633.96798459429</v>
      </c>
      <c r="AN49" s="541">
        <f t="shared" si="32"/>
        <v>-820633.96798459429</v>
      </c>
      <c r="AO49" s="541">
        <f t="shared" si="32"/>
        <v>-820633.96798459429</v>
      </c>
      <c r="AP49" s="541">
        <f t="shared" si="32"/>
        <v>-820633.96798459429</v>
      </c>
      <c r="AQ49" s="541">
        <f t="shared" si="32"/>
        <v>-820633.96798459429</v>
      </c>
      <c r="AR49" s="541">
        <f t="shared" si="32"/>
        <v>-820633.96798459429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33">E49-E50</f>
        <v>-0.22028744451381499</v>
      </c>
      <c r="F51" s="482">
        <f t="shared" si="33"/>
        <v>-0.22532317816512659</v>
      </c>
      <c r="G51" s="482">
        <f t="shared" si="33"/>
        <v>-0.22712650219909847</v>
      </c>
      <c r="H51" s="482">
        <f t="shared" si="33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R51" si="34">V49-V50</f>
        <v>-0.21769356494769454</v>
      </c>
      <c r="W51" s="482">
        <f t="shared" si="34"/>
        <v>-0.21791263925842941</v>
      </c>
      <c r="X51" s="482">
        <f t="shared" si="34"/>
        <v>-0.22177190252114087</v>
      </c>
      <c r="Y51" s="482">
        <f t="shared" si="34"/>
        <v>-0.22266902646515518</v>
      </c>
      <c r="Z51" s="482">
        <f t="shared" si="34"/>
        <v>-0.22011245100293308</v>
      </c>
      <c r="AA51" s="482">
        <f t="shared" si="34"/>
        <v>-0.21700320136733353</v>
      </c>
      <c r="AB51" s="482">
        <f t="shared" si="34"/>
        <v>-0.21358886425150558</v>
      </c>
      <c r="AC51" s="482">
        <f t="shared" si="34"/>
        <v>-0.21644618414575234</v>
      </c>
      <c r="AD51" s="482">
        <f t="shared" si="34"/>
        <v>-0.21653003833489493</v>
      </c>
      <c r="AE51" s="482">
        <f t="shared" si="34"/>
        <v>-0.21460084896534681</v>
      </c>
      <c r="AF51" s="482">
        <f t="shared" si="34"/>
        <v>-0.21772580966353416</v>
      </c>
      <c r="AG51" s="482">
        <f t="shared" si="34"/>
        <v>-0.22430737526156008</v>
      </c>
      <c r="AH51" s="482">
        <f t="shared" si="34"/>
        <v>-0.21830056305043399</v>
      </c>
      <c r="AI51" s="482">
        <f t="shared" si="34"/>
        <v>-0.22134300519246608</v>
      </c>
      <c r="AJ51" s="482">
        <f t="shared" si="34"/>
        <v>-0.2179845942882821</v>
      </c>
      <c r="AK51" s="482">
        <f t="shared" si="34"/>
        <v>-113802.89798459434</v>
      </c>
      <c r="AL51" s="482">
        <f t="shared" si="34"/>
        <v>-204893.3579845943</v>
      </c>
      <c r="AM51" s="482">
        <f t="shared" si="34"/>
        <v>-204893.3579845943</v>
      </c>
      <c r="AN51" s="482">
        <f t="shared" si="34"/>
        <v>-204893.3579845943</v>
      </c>
      <c r="AO51" s="482">
        <f t="shared" si="34"/>
        <v>-820633.96798459429</v>
      </c>
      <c r="AP51" s="482">
        <f t="shared" si="34"/>
        <v>-820633.96798459429</v>
      </c>
      <c r="AQ51" s="482">
        <f t="shared" si="34"/>
        <v>-820633.96798459429</v>
      </c>
      <c r="AR51" s="482">
        <f t="shared" si="34"/>
        <v>-820633.96798459429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:AD54" si="35">U54+1</f>
        <v>201502</v>
      </c>
      <c r="W54" s="484">
        <f t="shared" si="35"/>
        <v>201503</v>
      </c>
      <c r="X54" s="484">
        <f t="shared" si="35"/>
        <v>201504</v>
      </c>
      <c r="Y54" s="484">
        <f t="shared" si="35"/>
        <v>201505</v>
      </c>
      <c r="Z54" s="484">
        <f t="shared" si="35"/>
        <v>201506</v>
      </c>
      <c r="AA54" s="484">
        <f t="shared" si="35"/>
        <v>201507</v>
      </c>
      <c r="AB54" s="484">
        <f t="shared" si="35"/>
        <v>201508</v>
      </c>
      <c r="AC54" s="484">
        <f t="shared" si="35"/>
        <v>201509</v>
      </c>
      <c r="AD54" s="484">
        <f t="shared" si="35"/>
        <v>201510</v>
      </c>
      <c r="AE54" s="484">
        <f>AD54+1</f>
        <v>201511</v>
      </c>
      <c r="AF54" s="484">
        <f t="shared" ref="AF54" si="36">AE54+1</f>
        <v>201512</v>
      </c>
      <c r="AG54" s="484">
        <v>201601</v>
      </c>
      <c r="AH54" s="484">
        <f>AG54+1</f>
        <v>201602</v>
      </c>
      <c r="AI54" s="484">
        <f t="shared" ref="AI54:AR54" si="37">AH54+1</f>
        <v>201603</v>
      </c>
      <c r="AJ54" s="484">
        <f t="shared" si="37"/>
        <v>201604</v>
      </c>
      <c r="AK54" s="484">
        <f t="shared" si="37"/>
        <v>201605</v>
      </c>
      <c r="AL54" s="484">
        <f t="shared" si="37"/>
        <v>201606</v>
      </c>
      <c r="AM54" s="484">
        <f t="shared" si="37"/>
        <v>201607</v>
      </c>
      <c r="AN54" s="484">
        <f t="shared" si="37"/>
        <v>201608</v>
      </c>
      <c r="AO54" s="484">
        <f t="shared" si="37"/>
        <v>201609</v>
      </c>
      <c r="AP54" s="484">
        <f t="shared" si="37"/>
        <v>201610</v>
      </c>
      <c r="AQ54" s="484">
        <f t="shared" si="37"/>
        <v>201611</v>
      </c>
      <c r="AR54" s="484">
        <f t="shared" si="37"/>
        <v>201612</v>
      </c>
      <c r="AX54" s="563"/>
    </row>
    <row r="55" spans="1:50">
      <c r="A55" s="483"/>
      <c r="B55" s="481" t="s">
        <v>37</v>
      </c>
      <c r="C55" s="491">
        <f>SUM(AG55:AR55)</f>
        <v>52025008</v>
      </c>
      <c r="D55" s="491">
        <f>SUM(AE55:AP55)</f>
        <v>86859837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>
        <f>Mar!$G23</f>
        <v>12238194</v>
      </c>
      <c r="AJ55" s="543">
        <f>Apr!$G23</f>
        <v>5348802</v>
      </c>
      <c r="AK55" s="543"/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38">SUM(AG56:AR56)</f>
        <v>63260</v>
      </c>
      <c r="D56" s="491">
        <f t="shared" ref="D56:D63" si="39">SUM(AE56:AP56)</f>
        <v>74704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>
        <f>Mar!$G24</f>
        <v>18603</v>
      </c>
      <c r="AJ56" s="543">
        <f>Apr!$G24</f>
        <v>12171</v>
      </c>
      <c r="AK56" s="543"/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38"/>
        <v>19233087</v>
      </c>
      <c r="D57" s="491">
        <f t="shared" si="39"/>
        <v>30902539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>
        <f>Mar!$G25</f>
        <v>4795258</v>
      </c>
      <c r="AJ57" s="543">
        <f>Apr!$G25</f>
        <v>2668983</v>
      </c>
      <c r="AK57" s="543"/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38"/>
        <v>0</v>
      </c>
      <c r="D58" s="491">
        <f t="shared" si="39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>
        <f>Mar!$G26</f>
        <v>0</v>
      </c>
      <c r="AJ58" s="543">
        <f>Apr!$G26</f>
        <v>0</v>
      </c>
      <c r="AK58" s="543"/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38"/>
        <v>1343874</v>
      </c>
      <c r="D59" s="491">
        <f t="shared" si="39"/>
        <v>2217052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>
        <f>Mar!$G27</f>
        <v>361566</v>
      </c>
      <c r="AJ59" s="543">
        <f>Apr!$G27</f>
        <v>227877</v>
      </c>
      <c r="AK59" s="543"/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38"/>
        <v>265138</v>
      </c>
      <c r="D60" s="491">
        <f t="shared" si="39"/>
        <v>387499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>
        <f>Mar!$G28</f>
        <v>59583</v>
      </c>
      <c r="AJ60" s="543">
        <f>Apr!$G28</f>
        <v>54523</v>
      </c>
      <c r="AK60" s="543"/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38"/>
        <v>0</v>
      </c>
      <c r="D61" s="491">
        <f t="shared" si="39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>
        <f>Mar!$G29</f>
        <v>0</v>
      </c>
      <c r="AJ61" s="543">
        <f>Apr!$G29</f>
        <v>0</v>
      </c>
      <c r="AK61" s="543"/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38"/>
        <v>478068</v>
      </c>
      <c r="D62" s="491">
        <f t="shared" si="39"/>
        <v>604016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>
        <f>Mar!$G30</f>
        <v>89942</v>
      </c>
      <c r="AJ62" s="543">
        <f>Apr!$G30</f>
        <v>82073</v>
      </c>
      <c r="AK62" s="543"/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38"/>
        <v>11505541</v>
      </c>
      <c r="D63" s="491">
        <f t="shared" si="39"/>
        <v>17846783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>
        <f>Mar!$G31</f>
        <v>2822744</v>
      </c>
      <c r="AJ63" s="543">
        <f>Apr!$G31</f>
        <v>2379815</v>
      </c>
      <c r="AK63" s="543"/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84913976</v>
      </c>
      <c r="D64" s="542">
        <f t="shared" ref="D64:D65" si="40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:H64" si="41">SUM(G55:G63)</f>
        <v>24248041</v>
      </c>
      <c r="H64" s="542">
        <f t="shared" si="41"/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:AR64" si="42">SUM(V55:V63)</f>
        <v>22001617</v>
      </c>
      <c r="W64" s="542">
        <f t="shared" si="42"/>
        <v>17611817</v>
      </c>
      <c r="X64" s="542">
        <f t="shared" si="42"/>
        <v>14163392</v>
      </c>
      <c r="Y64" s="542">
        <f t="shared" si="42"/>
        <v>7782410</v>
      </c>
      <c r="Z64" s="542">
        <f t="shared" si="42"/>
        <v>5881684</v>
      </c>
      <c r="AA64" s="542">
        <f t="shared" si="42"/>
        <v>5669948</v>
      </c>
      <c r="AB64" s="542">
        <f t="shared" si="42"/>
        <v>5554978</v>
      </c>
      <c r="AC64" s="542">
        <f t="shared" si="42"/>
        <v>7484702</v>
      </c>
      <c r="AD64" s="542">
        <f t="shared" si="42"/>
        <v>10158046</v>
      </c>
      <c r="AE64" s="542">
        <f t="shared" si="42"/>
        <v>24566038</v>
      </c>
      <c r="AF64" s="542">
        <f t="shared" si="42"/>
        <v>29412416</v>
      </c>
      <c r="AG64" s="542">
        <f t="shared" si="42"/>
        <v>30707107</v>
      </c>
      <c r="AH64" s="542">
        <f t="shared" si="42"/>
        <v>23046735</v>
      </c>
      <c r="AI64" s="542">
        <f t="shared" si="42"/>
        <v>20385890</v>
      </c>
      <c r="AJ64" s="542">
        <f t="shared" si="42"/>
        <v>10774244</v>
      </c>
      <c r="AK64" s="542">
        <f t="shared" si="42"/>
        <v>0</v>
      </c>
      <c r="AL64" s="542">
        <f t="shared" si="42"/>
        <v>0</v>
      </c>
      <c r="AM64" s="542">
        <f t="shared" si="42"/>
        <v>0</v>
      </c>
      <c r="AN64" s="542">
        <f t="shared" si="42"/>
        <v>0</v>
      </c>
      <c r="AO64" s="542">
        <f t="shared" si="42"/>
        <v>0</v>
      </c>
      <c r="AP64" s="542">
        <f t="shared" si="42"/>
        <v>0</v>
      </c>
      <c r="AQ64" s="542">
        <f t="shared" si="42"/>
        <v>0</v>
      </c>
      <c r="AR64" s="542">
        <f t="shared" si="42"/>
        <v>0</v>
      </c>
    </row>
    <row r="65" spans="1:51" ht="16.2" thickTop="1">
      <c r="A65" s="483"/>
      <c r="B65" s="481" t="s">
        <v>269</v>
      </c>
      <c r="C65" s="491">
        <f>SUM(AG65:AR65)</f>
        <v>84913976</v>
      </c>
      <c r="D65" s="491">
        <f t="shared" si="40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>
        <v>10774244</v>
      </c>
      <c r="AK65" s="491"/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:AD67" si="43">U67+1</f>
        <v>201502</v>
      </c>
      <c r="W67" s="484">
        <f t="shared" si="43"/>
        <v>201503</v>
      </c>
      <c r="X67" s="484">
        <f t="shared" si="43"/>
        <v>201504</v>
      </c>
      <c r="Y67" s="484">
        <f t="shared" si="43"/>
        <v>201505</v>
      </c>
      <c r="Z67" s="484">
        <f t="shared" si="43"/>
        <v>201506</v>
      </c>
      <c r="AA67" s="484">
        <f t="shared" si="43"/>
        <v>201507</v>
      </c>
      <c r="AB67" s="484">
        <f t="shared" si="43"/>
        <v>201508</v>
      </c>
      <c r="AC67" s="484">
        <f t="shared" si="43"/>
        <v>201509</v>
      </c>
      <c r="AD67" s="484">
        <f t="shared" si="43"/>
        <v>201510</v>
      </c>
      <c r="AE67" s="484">
        <f>AD67+1</f>
        <v>201511</v>
      </c>
      <c r="AF67" s="484">
        <f t="shared" ref="AF67" si="44">AE67+1</f>
        <v>201512</v>
      </c>
      <c r="AG67" s="484">
        <v>201601</v>
      </c>
      <c r="AH67" s="484">
        <f>AG67+1</f>
        <v>201602</v>
      </c>
      <c r="AI67" s="484">
        <f t="shared" ref="AI67:AR67" si="45">AH67+1</f>
        <v>201603</v>
      </c>
      <c r="AJ67" s="484">
        <f t="shared" si="45"/>
        <v>201604</v>
      </c>
      <c r="AK67" s="484">
        <f t="shared" si="45"/>
        <v>201605</v>
      </c>
      <c r="AL67" s="484">
        <f t="shared" si="45"/>
        <v>201606</v>
      </c>
      <c r="AM67" s="484">
        <f t="shared" si="45"/>
        <v>201607</v>
      </c>
      <c r="AN67" s="484">
        <f t="shared" si="45"/>
        <v>201608</v>
      </c>
      <c r="AO67" s="484">
        <f t="shared" si="45"/>
        <v>201609</v>
      </c>
      <c r="AP67" s="484">
        <f t="shared" si="45"/>
        <v>201610</v>
      </c>
      <c r="AQ67" s="484">
        <f t="shared" si="45"/>
        <v>201611</v>
      </c>
      <c r="AR67" s="484">
        <f t="shared" si="45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201604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1138.8720699999999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1138.8720699999999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:AD78" si="46">U78+1</f>
        <v>201502</v>
      </c>
      <c r="W78" s="484">
        <f t="shared" si="46"/>
        <v>201503</v>
      </c>
      <c r="X78" s="484">
        <f t="shared" si="46"/>
        <v>201504</v>
      </c>
      <c r="Y78" s="484">
        <f t="shared" si="46"/>
        <v>201505</v>
      </c>
      <c r="Z78" s="484">
        <f t="shared" si="46"/>
        <v>201506</v>
      </c>
      <c r="AA78" s="484">
        <f t="shared" si="46"/>
        <v>201507</v>
      </c>
      <c r="AB78" s="484">
        <f t="shared" si="46"/>
        <v>201508</v>
      </c>
      <c r="AC78" s="484">
        <f t="shared" si="46"/>
        <v>201509</v>
      </c>
      <c r="AD78" s="484">
        <f t="shared" si="46"/>
        <v>201510</v>
      </c>
      <c r="AE78" s="484">
        <f>AD78+1</f>
        <v>201511</v>
      </c>
      <c r="AF78" s="484">
        <f t="shared" ref="AF78" si="47">AE78+1</f>
        <v>201512</v>
      </c>
      <c r="AG78" s="484">
        <v>201601</v>
      </c>
      <c r="AH78" s="484">
        <f>AG78+1</f>
        <v>201602</v>
      </c>
      <c r="AI78" s="484">
        <f t="shared" ref="AI78:AR78" si="48">AH78+1</f>
        <v>201603</v>
      </c>
      <c r="AJ78" s="484">
        <f t="shared" si="48"/>
        <v>201604</v>
      </c>
      <c r="AK78" s="484">
        <f t="shared" si="48"/>
        <v>201605</v>
      </c>
      <c r="AL78" s="484">
        <f t="shared" si="48"/>
        <v>201606</v>
      </c>
      <c r="AM78" s="484">
        <f t="shared" si="48"/>
        <v>201607</v>
      </c>
      <c r="AN78" s="484">
        <f t="shared" si="48"/>
        <v>201608</v>
      </c>
      <c r="AO78" s="484">
        <f t="shared" si="48"/>
        <v>201609</v>
      </c>
      <c r="AP78" s="484">
        <f t="shared" si="48"/>
        <v>201610</v>
      </c>
      <c r="AQ78" s="484">
        <f t="shared" si="48"/>
        <v>201611</v>
      </c>
      <c r="AR78" s="484">
        <f t="shared" si="48"/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49">AF82</f>
        <v>-18146.93566000001</v>
      </c>
      <c r="AH79" s="482">
        <f t="shared" si="49"/>
        <v>-14523.147320000011</v>
      </c>
      <c r="AI79" s="482">
        <f t="shared" si="49"/>
        <v>-11852.264220000012</v>
      </c>
      <c r="AJ79" s="482">
        <f t="shared" si="49"/>
        <v>-9512.6003600000113</v>
      </c>
      <c r="AK79" s="482">
        <f t="shared" si="49"/>
        <v>-8373.7282900000118</v>
      </c>
      <c r="AL79" s="482">
        <f t="shared" si="49"/>
        <v>-8373.7282900000118</v>
      </c>
      <c r="AM79" s="482">
        <f t="shared" si="49"/>
        <v>-8373.7282900000118</v>
      </c>
      <c r="AN79" s="482">
        <f t="shared" si="49"/>
        <v>-8373.7282900000118</v>
      </c>
      <c r="AO79" s="482">
        <f t="shared" si="49"/>
        <v>-8373.7282900000118</v>
      </c>
      <c r="AP79" s="482">
        <f t="shared" si="49"/>
        <v>-8373.7282900000118</v>
      </c>
      <c r="AQ79" s="482">
        <f t="shared" si="49"/>
        <v>-8373.7282900000118</v>
      </c>
      <c r="AR79" s="482">
        <f t="shared" si="49"/>
        <v>-8373.7282900000118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9773.2073699999983</v>
      </c>
      <c r="D80" s="494">
        <f>SUM(AE80:AP80)</f>
        <v>14824.207369999998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50">SUMPRODUCT(AH55:AH63,AH68:AH76)</f>
        <v>2670.8831</v>
      </c>
      <c r="AI80" s="563">
        <f t="shared" si="50"/>
        <v>2339.6638599999997</v>
      </c>
      <c r="AJ80" s="563">
        <f t="shared" si="50"/>
        <v>1138.8720699999999</v>
      </c>
      <c r="AK80" s="563">
        <f t="shared" si="50"/>
        <v>0</v>
      </c>
      <c r="AL80" s="563">
        <f t="shared" si="50"/>
        <v>0</v>
      </c>
      <c r="AM80" s="563">
        <f t="shared" si="50"/>
        <v>0</v>
      </c>
      <c r="AN80" s="563">
        <f t="shared" si="50"/>
        <v>0</v>
      </c>
      <c r="AO80" s="563">
        <f t="shared" si="50"/>
        <v>0</v>
      </c>
      <c r="AP80" s="563">
        <f t="shared" si="50"/>
        <v>0</v>
      </c>
      <c r="AQ80" s="563">
        <f t="shared" si="50"/>
        <v>0</v>
      </c>
      <c r="AR80" s="563">
        <f t="shared" si="50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9773.2073699999983</v>
      </c>
      <c r="D82" s="541"/>
      <c r="E82" s="541">
        <f t="shared" ref="E82:H82" si="51">SUM(E79:E81)</f>
        <v>38932.729789999998</v>
      </c>
      <c r="F82" s="541">
        <f t="shared" si="51"/>
        <v>8140.2385399999985</v>
      </c>
      <c r="G82" s="541">
        <f t="shared" si="51"/>
        <v>-693.68146000000161</v>
      </c>
      <c r="H82" s="541">
        <f t="shared" si="51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52">SUM(V79:V81)</f>
        <v>-38138.117780000015</v>
      </c>
      <c r="W82" s="541">
        <f t="shared" si="52"/>
        <v>-34282.961340000016</v>
      </c>
      <c r="X82" s="541">
        <f t="shared" si="52"/>
        <v>-31253.873050000017</v>
      </c>
      <c r="Y82" s="541">
        <f t="shared" si="52"/>
        <v>-29770.929110000015</v>
      </c>
      <c r="Z82" s="541">
        <f t="shared" si="52"/>
        <v>-28708.282540000015</v>
      </c>
      <c r="AA82" s="541">
        <f t="shared" si="52"/>
        <v>-27692.487530000013</v>
      </c>
      <c r="AB82" s="541">
        <f t="shared" si="52"/>
        <v>-26711.886850000014</v>
      </c>
      <c r="AC82" s="541">
        <f t="shared" si="52"/>
        <v>-25249.174790000012</v>
      </c>
      <c r="AD82" s="541">
        <f t="shared" si="52"/>
        <v>-23171.93566000001</v>
      </c>
      <c r="AE82" s="541">
        <f t="shared" si="52"/>
        <v>-21380.93566000001</v>
      </c>
      <c r="AF82" s="541">
        <f t="shared" si="52"/>
        <v>-18146.93566000001</v>
      </c>
      <c r="AG82" s="541">
        <f t="shared" si="52"/>
        <v>-14523.147320000011</v>
      </c>
      <c r="AH82" s="541">
        <f t="shared" si="52"/>
        <v>-11852.264220000012</v>
      </c>
      <c r="AI82" s="541">
        <f t="shared" si="52"/>
        <v>-9512.6003600000113</v>
      </c>
      <c r="AJ82" s="541">
        <f t="shared" si="52"/>
        <v>-8373.7282900000118</v>
      </c>
      <c r="AK82" s="541">
        <f t="shared" si="52"/>
        <v>-8373.7282900000118</v>
      </c>
      <c r="AL82" s="541">
        <f t="shared" si="52"/>
        <v>-8373.7282900000118</v>
      </c>
      <c r="AM82" s="541">
        <f t="shared" si="52"/>
        <v>-8373.7282900000118</v>
      </c>
      <c r="AN82" s="541">
        <f t="shared" si="52"/>
        <v>-8373.7282900000118</v>
      </c>
      <c r="AO82" s="541">
        <f t="shared" si="52"/>
        <v>-8373.7282900000118</v>
      </c>
      <c r="AP82" s="541">
        <f t="shared" si="52"/>
        <v>-8373.7282900000118</v>
      </c>
      <c r="AQ82" s="541">
        <f t="shared" si="52"/>
        <v>-8373.7282900000118</v>
      </c>
      <c r="AR82" s="541">
        <f t="shared" si="52"/>
        <v>-8373.7282900000118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53">E82-E83</f>
        <v>-2.1000000560889021E-4</v>
      </c>
      <c r="F84" s="482">
        <f t="shared" si="53"/>
        <v>-1.4600000013160752E-3</v>
      </c>
      <c r="G84" s="482">
        <f t="shared" si="53"/>
        <v>-1.4600000016571357E-3</v>
      </c>
      <c r="H84" s="482">
        <f t="shared" si="53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:AR84" si="54">V82-V83</f>
        <v>1.2219999982335139E-2</v>
      </c>
      <c r="W84" s="482">
        <f t="shared" si="54"/>
        <v>8.6599999849568121E-3</v>
      </c>
      <c r="X84" s="482">
        <f t="shared" si="54"/>
        <v>6.9499999844992999E-3</v>
      </c>
      <c r="Y84" s="482">
        <f t="shared" si="54"/>
        <v>1.0889999983191956E-2</v>
      </c>
      <c r="Z84" s="482">
        <f t="shared" si="54"/>
        <v>7.4599999861675315E-3</v>
      </c>
      <c r="AA84" s="482">
        <f t="shared" si="54"/>
        <v>2.469999988534255E-3</v>
      </c>
      <c r="AB84" s="482">
        <f t="shared" si="54"/>
        <v>3.1499999859079253E-3</v>
      </c>
      <c r="AC84" s="482">
        <f t="shared" si="54"/>
        <v>5.2099999884376302E-3</v>
      </c>
      <c r="AD84" s="482">
        <f t="shared" si="54"/>
        <v>4.339999988587806E-3</v>
      </c>
      <c r="AE84" s="482">
        <f t="shared" si="54"/>
        <v>4.339999988587806E-3</v>
      </c>
      <c r="AF84" s="482">
        <f t="shared" si="54"/>
        <v>4.339999988587806E-3</v>
      </c>
      <c r="AG84" s="482">
        <f t="shared" si="54"/>
        <v>2.6799999886861769E-3</v>
      </c>
      <c r="AH84" s="482">
        <f t="shared" si="54"/>
        <v>5.7799999885901343E-3</v>
      </c>
      <c r="AI84" s="482">
        <f t="shared" si="54"/>
        <v>9.6399999893037602E-3</v>
      </c>
      <c r="AJ84" s="482">
        <f t="shared" si="54"/>
        <v>1.1709999987942865E-2</v>
      </c>
      <c r="AK84" s="482">
        <f t="shared" si="54"/>
        <v>-830.23829000001206</v>
      </c>
      <c r="AL84" s="482">
        <f t="shared" si="54"/>
        <v>-1491.6082900000119</v>
      </c>
      <c r="AM84" s="482">
        <f t="shared" si="54"/>
        <v>-1491.6082900000119</v>
      </c>
      <c r="AN84" s="482">
        <f t="shared" si="54"/>
        <v>-1491.6082900000119</v>
      </c>
      <c r="AO84" s="482">
        <f t="shared" si="54"/>
        <v>-8373.7282900000118</v>
      </c>
      <c r="AP84" s="482">
        <f t="shared" si="54"/>
        <v>-8373.7282900000118</v>
      </c>
      <c r="AQ84" s="482">
        <f t="shared" si="54"/>
        <v>-8373.7282900000118</v>
      </c>
      <c r="AR84" s="482">
        <f t="shared" si="54"/>
        <v>-8373.7282900000118</v>
      </c>
    </row>
  </sheetData>
  <conditionalFormatting sqref="E29 K29:AS29 L65:AS65">
    <cfRule type="cellIs" dxfId="368" priority="23" operator="notEqual">
      <formula>E28</formula>
    </cfRule>
  </conditionalFormatting>
  <conditionalFormatting sqref="F29">
    <cfRule type="cellIs" dxfId="367" priority="22" operator="notEqual">
      <formula>F28</formula>
    </cfRule>
  </conditionalFormatting>
  <conditionalFormatting sqref="G29">
    <cfRule type="cellIs" dxfId="366" priority="21" operator="notEqual">
      <formula>G28</formula>
    </cfRule>
  </conditionalFormatting>
  <conditionalFormatting sqref="H29">
    <cfRule type="cellIs" dxfId="365" priority="20" operator="notEqual">
      <formula>H28</formula>
    </cfRule>
  </conditionalFormatting>
  <conditionalFormatting sqref="G65">
    <cfRule type="cellIs" dxfId="364" priority="17" operator="notEqual">
      <formula>G64</formula>
    </cfRule>
  </conditionalFormatting>
  <conditionalFormatting sqref="H65">
    <cfRule type="cellIs" dxfId="363" priority="16" operator="notEqual">
      <formula>H64</formula>
    </cfRule>
  </conditionalFormatting>
  <conditionalFormatting sqref="E65">
    <cfRule type="cellIs" dxfId="362" priority="19" operator="notEqual">
      <formula>E64</formula>
    </cfRule>
  </conditionalFormatting>
  <conditionalFormatting sqref="F65">
    <cfRule type="cellIs" dxfId="361" priority="18" operator="notEqual">
      <formula>F64</formula>
    </cfRule>
  </conditionalFormatting>
  <conditionalFormatting sqref="AY80 AY47 AY11">
    <cfRule type="cellIs" dxfId="360" priority="15" operator="notEqual">
      <formula>0</formula>
    </cfRule>
  </conditionalFormatting>
  <conditionalFormatting sqref="D65">
    <cfRule type="cellIs" dxfId="359" priority="14" operator="notEqual">
      <formula>D64</formula>
    </cfRule>
  </conditionalFormatting>
  <conditionalFormatting sqref="C65">
    <cfRule type="cellIs" dxfId="358" priority="13" operator="notEqual">
      <formula>C64</formula>
    </cfRule>
  </conditionalFormatting>
  <conditionalFormatting sqref="D29">
    <cfRule type="cellIs" dxfId="357" priority="12" operator="notEqual">
      <formula>D28</formula>
    </cfRule>
  </conditionalFormatting>
  <conditionalFormatting sqref="C29">
    <cfRule type="cellIs" dxfId="356" priority="11" operator="notEqual">
      <formula>C28</formula>
    </cfRule>
  </conditionalFormatting>
  <conditionalFormatting sqref="I29">
    <cfRule type="cellIs" dxfId="355" priority="10" operator="notEqual">
      <formula>I28</formula>
    </cfRule>
  </conditionalFormatting>
  <conditionalFormatting sqref="I65">
    <cfRule type="cellIs" dxfId="354" priority="9" operator="notEqual">
      <formula>I64</formula>
    </cfRule>
  </conditionalFormatting>
  <conditionalFormatting sqref="J29">
    <cfRule type="cellIs" dxfId="353" priority="8" operator="notEqual">
      <formula>J28</formula>
    </cfRule>
  </conditionalFormatting>
  <conditionalFormatting sqref="J65">
    <cfRule type="cellIs" dxfId="352" priority="7" operator="notEqual">
      <formula>J64</formula>
    </cfRule>
  </conditionalFormatting>
  <conditionalFormatting sqref="K65">
    <cfRule type="cellIs" dxfId="351" priority="6" operator="notEqual">
      <formula>K64</formula>
    </cfRule>
  </conditionalFormatting>
  <conditionalFormatting sqref="U29">
    <cfRule type="cellIs" dxfId="350" priority="5" operator="notEqual">
      <formula>U28</formula>
    </cfRule>
  </conditionalFormatting>
  <conditionalFormatting sqref="U65">
    <cfRule type="cellIs" dxfId="349" priority="4" operator="notEqual">
      <formula>U64</formula>
    </cfRule>
  </conditionalFormatting>
  <conditionalFormatting sqref="V29">
    <cfRule type="cellIs" dxfId="348" priority="3" operator="notEqual">
      <formula>V28</formula>
    </cfRule>
  </conditionalFormatting>
  <conditionalFormatting sqref="V65">
    <cfRule type="cellIs" dxfId="347" priority="2" operator="notEqual">
      <formula>V64</formula>
    </cfRule>
  </conditionalFormatting>
  <conditionalFormatting sqref="W65">
    <cfRule type="cellIs" dxfId="346" priority="1" operator="notEqual">
      <formula>W64</formula>
    </cfRule>
  </conditionalFormatting>
  <pageMargins left="0" right="0" top="0.75" bottom="0.75" header="0.3" footer="0.3"/>
  <pageSetup scale="41" orientation="landscape" r:id="rId1"/>
  <customProperties>
    <customPr name="xxe4aPID" r:id="rId2"/>
  </customProperties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zoomScale="85" zoomScaleNormal="85" zoomScaleSheetLayoutView="85" workbookViewId="0">
      <selection activeCell="AH7" sqref="AH7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5" width="16.33203125" style="482" customWidth="1"/>
    <col min="36" max="44" width="16.33203125" style="482" hidden="1" customWidth="1"/>
    <col min="45" max="45" width="11.6640625" style="482" customWidth="1"/>
    <col min="46" max="46" width="37.88671875" style="482" bestFit="1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D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>AL3+1</f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>AQ3+1</f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/>
      <c r="AK4" s="488"/>
      <c r="AL4" s="488"/>
      <c r="AM4" s="488"/>
      <c r="AN4" s="488"/>
      <c r="AO4" s="488"/>
      <c r="AP4" s="488"/>
      <c r="AQ4" s="488"/>
      <c r="AR4" s="488"/>
      <c r="AT4" s="544">
        <v>201603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2">AF13</f>
        <v>-6508323.8685397729</v>
      </c>
      <c r="AH5" s="482">
        <f t="shared" si="2"/>
        <v>-8439847.1132167727</v>
      </c>
      <c r="AI5" s="482">
        <f t="shared" si="2"/>
        <v>-9264796.9494047705</v>
      </c>
      <c r="AJ5" s="482">
        <f t="shared" si="2"/>
        <v>-10398819.535470769</v>
      </c>
      <c r="AK5" s="482">
        <f t="shared" si="2"/>
        <v>-12120838.945960769</v>
      </c>
      <c r="AL5" s="482">
        <f t="shared" si="2"/>
        <v>-12710536.052104771</v>
      </c>
      <c r="AM5" s="482">
        <f t="shared" si="2"/>
        <v>-14075012.994992768</v>
      </c>
      <c r="AN5" s="482">
        <f t="shared" si="2"/>
        <v>-14980904.65771677</v>
      </c>
      <c r="AO5" s="482">
        <f t="shared" si="2"/>
        <v>-14585525.82938277</v>
      </c>
      <c r="AP5" s="482">
        <f t="shared" si="2"/>
        <v>-15041610.532484772</v>
      </c>
      <c r="AQ5" s="482">
        <f t="shared" si="2"/>
        <v>-15116879.301035771</v>
      </c>
      <c r="AR5" s="482">
        <f t="shared" si="2"/>
        <v>-16727771.27722577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 t="shared" ref="C6:C12" si="3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</f>
        <v>26591.8</v>
      </c>
      <c r="AY6" s="500">
        <v>0</v>
      </c>
    </row>
    <row r="7" spans="1:51" ht="16.2">
      <c r="B7" s="481" t="s">
        <v>255</v>
      </c>
      <c r="C7" s="482">
        <f t="shared" si="3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1134022.5860659981</v>
      </c>
    </row>
    <row r="8" spans="1:51" ht="16.2">
      <c r="B8" s="481" t="s">
        <v>258</v>
      </c>
      <c r="C8" s="482">
        <f t="shared" si="3"/>
        <v>-70749.36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4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R8" si="5">ROUND(((AG5)*(AG4/12))+((SUM(AG6:AG7)/2)*(AG4/12)),2)</f>
        <v>-20214.939999999999</v>
      </c>
      <c r="AH8" s="489">
        <f t="shared" si="5"/>
        <v>-23942.62</v>
      </c>
      <c r="AI8" s="489">
        <f t="shared" si="5"/>
        <v>-26591.8</v>
      </c>
      <c r="AJ8" s="489">
        <f t="shared" si="5"/>
        <v>0</v>
      </c>
      <c r="AK8" s="489">
        <f t="shared" si="5"/>
        <v>0</v>
      </c>
      <c r="AL8" s="489">
        <f t="shared" si="5"/>
        <v>0</v>
      </c>
      <c r="AM8" s="489">
        <f t="shared" si="5"/>
        <v>0</v>
      </c>
      <c r="AN8" s="489">
        <f t="shared" si="5"/>
        <v>0</v>
      </c>
      <c r="AO8" s="489">
        <f t="shared" si="5"/>
        <v>0</v>
      </c>
      <c r="AP8" s="489">
        <f t="shared" si="5"/>
        <v>0</v>
      </c>
      <c r="AQ8" s="489">
        <f t="shared" si="5"/>
        <v>0</v>
      </c>
      <c r="AR8" s="489">
        <f t="shared" si="5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</f>
        <v>1107430.786065998</v>
      </c>
      <c r="AY8" s="500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f>SUM(C5:C12)</f>
        <v>-12304745.627626995</v>
      </c>
      <c r="D13" s="541"/>
      <c r="E13" s="541">
        <f>SUM(E5:E12)</f>
        <v>2712780.2600000002</v>
      </c>
      <c r="F13" s="541">
        <f t="shared" ref="F13:H13" si="6">SUM(F5:F12)</f>
        <v>2255013.9900000002</v>
      </c>
      <c r="G13" s="541">
        <f>SUM(G5:G12)</f>
        <v>-33498.738666789999</v>
      </c>
      <c r="H13" s="541">
        <f t="shared" si="6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7">SUM(V5:V12)</f>
        <v>-1694440.0214187815</v>
      </c>
      <c r="W13" s="541">
        <f t="shared" si="7"/>
        <v>-683405.33395377884</v>
      </c>
      <c r="X13" s="541">
        <f t="shared" si="7"/>
        <v>-2769396.4708657796</v>
      </c>
      <c r="Y13" s="541">
        <f>SUM(Y5:Y12)</f>
        <v>-2940906.6891037785</v>
      </c>
      <c r="Z13" s="541">
        <f t="shared" ref="Z13:AE13" si="8">SUM(Z5:Z12)</f>
        <v>-3112721.2246137792</v>
      </c>
      <c r="AA13" s="541">
        <f t="shared" si="8"/>
        <v>-3464489.8670317773</v>
      </c>
      <c r="AB13" s="541">
        <f t="shared" si="8"/>
        <v>-3555298.2266717753</v>
      </c>
      <c r="AC13" s="541">
        <f t="shared" si="8"/>
        <v>-4755858.0107337767</v>
      </c>
      <c r="AD13" s="541">
        <f t="shared" si="8"/>
        <v>-5900360.3440987766</v>
      </c>
      <c r="AE13" s="541">
        <f t="shared" si="8"/>
        <v>-4407824.1695987741</v>
      </c>
      <c r="AF13" s="541">
        <f>SUM(AF5:AF12)</f>
        <v>-6508323.8685397729</v>
      </c>
      <c r="AG13" s="541">
        <f t="shared" ref="AG13:AR13" si="9">SUM(AG5:AG12)</f>
        <v>-8439847.1132167727</v>
      </c>
      <c r="AH13" s="541">
        <f t="shared" si="9"/>
        <v>-9264796.9494047705</v>
      </c>
      <c r="AI13" s="541">
        <f t="shared" si="9"/>
        <v>-10398819.535470769</v>
      </c>
      <c r="AJ13" s="541">
        <f t="shared" si="9"/>
        <v>-12120838.945960769</v>
      </c>
      <c r="AK13" s="541">
        <f t="shared" si="9"/>
        <v>-12710536.052104771</v>
      </c>
      <c r="AL13" s="541">
        <f t="shared" si="9"/>
        <v>-14075012.994992768</v>
      </c>
      <c r="AM13" s="541">
        <f t="shared" si="9"/>
        <v>-14980904.65771677</v>
      </c>
      <c r="AN13" s="541">
        <f t="shared" si="9"/>
        <v>-14585525.82938277</v>
      </c>
      <c r="AO13" s="541">
        <f t="shared" si="9"/>
        <v>-15041610.532484772</v>
      </c>
      <c r="AP13" s="541">
        <f t="shared" si="9"/>
        <v>-15116879.301035771</v>
      </c>
      <c r="AQ13" s="541">
        <f t="shared" si="9"/>
        <v>-16727771.27722577</v>
      </c>
      <c r="AR13" s="541">
        <f t="shared" si="9"/>
        <v>-18813069.496166766</v>
      </c>
    </row>
    <row r="14" spans="1:51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51">
      <c r="B15" s="481" t="s">
        <v>245</v>
      </c>
      <c r="E15" s="482">
        <f t="shared" ref="E15:H15" si="10">E13-E14</f>
        <v>1.0000000242143869E-2</v>
      </c>
      <c r="F15" s="482">
        <f t="shared" si="10"/>
        <v>1.0000000242143869E-2</v>
      </c>
      <c r="G15" s="482">
        <f t="shared" si="10"/>
        <v>1.1333210000884719E-2</v>
      </c>
      <c r="H15" s="482">
        <f t="shared" si="10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E15" si="11">V13-V14</f>
        <v>-1.418781466782093E-3</v>
      </c>
      <c r="W15" s="482">
        <f t="shared" si="11"/>
        <v>-3.9537788834422827E-3</v>
      </c>
      <c r="X15" s="482">
        <f t="shared" si="11"/>
        <v>-8.6577935144305229E-4</v>
      </c>
      <c r="Y15" s="482">
        <f t="shared" si="11"/>
        <v>8.9622149243950844E-4</v>
      </c>
      <c r="Z15" s="482">
        <f t="shared" si="11"/>
        <v>5.3862207569181919E-3</v>
      </c>
      <c r="AA15" s="482">
        <f t="shared" si="11"/>
        <v>2.9682228341698647E-3</v>
      </c>
      <c r="AB15" s="482">
        <f t="shared" si="11"/>
        <v>3.3282246440649033E-3</v>
      </c>
      <c r="AC15" s="482">
        <f t="shared" si="11"/>
        <v>-7.3377694934606552E-4</v>
      </c>
      <c r="AD15" s="482">
        <f t="shared" si="11"/>
        <v>-4.0987767279148102E-3</v>
      </c>
      <c r="AE15" s="482">
        <f t="shared" si="11"/>
        <v>4.0122587233781815E-4</v>
      </c>
      <c r="AF15" s="482">
        <f>AF13-AF14</f>
        <v>1.4602271839976311E-3</v>
      </c>
      <c r="AG15" s="482">
        <f>AG13-AG14</f>
        <v>-7556.9932167734951</v>
      </c>
      <c r="AH15" s="482">
        <f>AH13-AH14</f>
        <v>5.9522874653339386E-4</v>
      </c>
      <c r="AI15" s="482">
        <f>AI13-AI14</f>
        <v>4.5292302966117859E-3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D18" si="12">U18+1</f>
        <v>201502</v>
      </c>
      <c r="W18" s="484">
        <f t="shared" si="12"/>
        <v>201503</v>
      </c>
      <c r="X18" s="484">
        <f t="shared" si="12"/>
        <v>201504</v>
      </c>
      <c r="Y18" s="484">
        <f t="shared" si="12"/>
        <v>201505</v>
      </c>
      <c r="Z18" s="484">
        <f t="shared" si="12"/>
        <v>201506</v>
      </c>
      <c r="AA18" s="484">
        <f t="shared" si="12"/>
        <v>201507</v>
      </c>
      <c r="AB18" s="484">
        <f t="shared" si="12"/>
        <v>201508</v>
      </c>
      <c r="AC18" s="484">
        <f t="shared" si="12"/>
        <v>201509</v>
      </c>
      <c r="AD18" s="484">
        <f t="shared" si="12"/>
        <v>201510</v>
      </c>
      <c r="AE18" s="484">
        <f>AD18+1</f>
        <v>201511</v>
      </c>
      <c r="AF18" s="484">
        <f t="shared" ref="AF18" si="13">AE18+1</f>
        <v>201512</v>
      </c>
      <c r="AG18" s="484">
        <v>201601</v>
      </c>
      <c r="AH18" s="484">
        <f>AG18+1</f>
        <v>201602</v>
      </c>
      <c r="AI18" s="484">
        <f t="shared" ref="AI18:AR18" si="14">AH18+1</f>
        <v>201603</v>
      </c>
      <c r="AJ18" s="484">
        <f t="shared" si="14"/>
        <v>201604</v>
      </c>
      <c r="AK18" s="484">
        <f t="shared" si="14"/>
        <v>201605</v>
      </c>
      <c r="AL18" s="484">
        <f t="shared" si="14"/>
        <v>201606</v>
      </c>
      <c r="AM18" s="484">
        <f t="shared" si="14"/>
        <v>201607</v>
      </c>
      <c r="AN18" s="484">
        <f t="shared" si="14"/>
        <v>201608</v>
      </c>
      <c r="AO18" s="484">
        <f t="shared" si="14"/>
        <v>201609</v>
      </c>
      <c r="AP18" s="484">
        <f t="shared" si="14"/>
        <v>201610</v>
      </c>
      <c r="AQ18" s="484">
        <f t="shared" si="14"/>
        <v>201611</v>
      </c>
      <c r="AR18" s="484">
        <f t="shared" si="14"/>
        <v>201612</v>
      </c>
    </row>
    <row r="19" spans="1:45">
      <c r="A19" s="483"/>
      <c r="B19" s="481" t="s">
        <v>37</v>
      </c>
      <c r="C19" s="491">
        <f>SUM(AG19:AR19)</f>
        <v>46676206</v>
      </c>
      <c r="D19" s="491">
        <f>SUM(AE19:AP19)</f>
        <v>81511035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>
        <f>Mar!$G23</f>
        <v>12238194</v>
      </c>
      <c r="AJ19" s="543"/>
      <c r="AK19" s="543"/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15">SUM(AG20:AR20)</f>
        <v>51089</v>
      </c>
      <c r="D20" s="491">
        <f>SUM(AE20:AP20)</f>
        <v>62533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>
        <f>Mar!$G24</f>
        <v>18603</v>
      </c>
      <c r="AJ20" s="543"/>
      <c r="AK20" s="543"/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15"/>
        <v>16564104</v>
      </c>
      <c r="D21" s="491">
        <f t="shared" ref="D21:D27" si="16">SUM(AE21:AP21)</f>
        <v>28233556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>
        <f>Mar!$G25</f>
        <v>4795258</v>
      </c>
      <c r="AJ21" s="543"/>
      <c r="AK21" s="543"/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f t="shared" si="15"/>
        <v>1115997</v>
      </c>
      <c r="D23" s="491">
        <f t="shared" si="16"/>
        <v>1989175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>
        <f>Mar!$G27</f>
        <v>361566</v>
      </c>
      <c r="AJ23" s="543"/>
      <c r="AK23" s="543"/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f t="shared" si="15"/>
        <v>0</v>
      </c>
      <c r="D24" s="491">
        <f t="shared" si="16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f t="shared" si="15"/>
        <v>0</v>
      </c>
      <c r="D25" s="491">
        <f t="shared" si="16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>
        <f>Mar!$G29</f>
        <v>0</v>
      </c>
      <c r="AJ25" s="543"/>
      <c r="AK25" s="543"/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f t="shared" si="15"/>
        <v>0</v>
      </c>
      <c r="D26" s="491">
        <f t="shared" si="16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f t="shared" si="15"/>
        <v>9125726</v>
      </c>
      <c r="D27" s="491">
        <f t="shared" si="16"/>
        <v>15466968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>
        <f>Mar!$G31</f>
        <v>2822744</v>
      </c>
      <c r="AJ27" s="543"/>
      <c r="AK27" s="543"/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73533122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17">SUM(G19:G27)</f>
        <v>24054373</v>
      </c>
      <c r="H28" s="542">
        <f t="shared" si="17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18">SUM(V19:V27)</f>
        <v>21809394</v>
      </c>
      <c r="W28" s="542">
        <f t="shared" si="18"/>
        <v>17454090</v>
      </c>
      <c r="X28" s="542">
        <f t="shared" si="18"/>
        <v>14032685</v>
      </c>
      <c r="Y28" s="542">
        <f t="shared" si="18"/>
        <v>7651890</v>
      </c>
      <c r="Z28" s="542">
        <f t="shared" si="18"/>
        <v>5795038</v>
      </c>
      <c r="AA28" s="542">
        <f t="shared" si="18"/>
        <v>5628267</v>
      </c>
      <c r="AB28" s="542">
        <f t="shared" si="18"/>
        <v>5459507</v>
      </c>
      <c r="AC28" s="542">
        <f t="shared" si="18"/>
        <v>7409442</v>
      </c>
      <c r="AD28" s="542">
        <f t="shared" si="18"/>
        <v>10025335</v>
      </c>
      <c r="AE28" s="542">
        <f t="shared" si="18"/>
        <v>24443601</v>
      </c>
      <c r="AF28" s="542">
        <f t="shared" si="18"/>
        <v>29286544</v>
      </c>
      <c r="AG28" s="542">
        <f>SUM(AG19:AG27)</f>
        <v>30419523</v>
      </c>
      <c r="AH28" s="542">
        <f t="shared" si="18"/>
        <v>22877234</v>
      </c>
      <c r="AI28" s="542">
        <f t="shared" si="18"/>
        <v>20236365</v>
      </c>
      <c r="AJ28" s="542">
        <f t="shared" si="18"/>
        <v>0</v>
      </c>
      <c r="AK28" s="542">
        <f t="shared" si="18"/>
        <v>0</v>
      </c>
      <c r="AL28" s="542">
        <f t="shared" si="18"/>
        <v>0</v>
      </c>
      <c r="AM28" s="542">
        <f t="shared" si="18"/>
        <v>0</v>
      </c>
      <c r="AN28" s="542">
        <f t="shared" si="18"/>
        <v>0</v>
      </c>
      <c r="AO28" s="542">
        <f t="shared" si="18"/>
        <v>0</v>
      </c>
      <c r="AP28" s="542">
        <f t="shared" si="18"/>
        <v>0</v>
      </c>
      <c r="AQ28" s="542">
        <f t="shared" si="18"/>
        <v>0</v>
      </c>
      <c r="AR28" s="542">
        <f t="shared" si="18"/>
        <v>0</v>
      </c>
    </row>
    <row r="29" spans="1:45" ht="16.2" thickTop="1">
      <c r="A29" s="483"/>
      <c r="B29" s="481" t="s">
        <v>269</v>
      </c>
      <c r="C29" s="491">
        <f>SUM(AG29:AR29)</f>
        <v>73533122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>
        <v>20236365</v>
      </c>
      <c r="AJ29" s="491"/>
      <c r="AK29" s="491"/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:AD31" si="19">U31+1</f>
        <v>201502</v>
      </c>
      <c r="W31" s="484">
        <f t="shared" si="19"/>
        <v>201503</v>
      </c>
      <c r="X31" s="484">
        <f t="shared" si="19"/>
        <v>201504</v>
      </c>
      <c r="Y31" s="484">
        <f t="shared" si="19"/>
        <v>201505</v>
      </c>
      <c r="Z31" s="484">
        <f t="shared" si="19"/>
        <v>201506</v>
      </c>
      <c r="AA31" s="484">
        <f t="shared" si="19"/>
        <v>201507</v>
      </c>
      <c r="AB31" s="484">
        <f t="shared" si="19"/>
        <v>201508</v>
      </c>
      <c r="AC31" s="484">
        <f t="shared" si="19"/>
        <v>201509</v>
      </c>
      <c r="AD31" s="484">
        <f t="shared" si="19"/>
        <v>201510</v>
      </c>
      <c r="AE31" s="484">
        <f>AD31+1</f>
        <v>201511</v>
      </c>
      <c r="AF31" s="484">
        <f t="shared" ref="AF31" si="20">AE31+1</f>
        <v>201512</v>
      </c>
      <c r="AG31" s="484">
        <v>201601</v>
      </c>
      <c r="AH31" s="484">
        <f>AG31+1</f>
        <v>201602</v>
      </c>
      <c r="AI31" s="484">
        <f t="shared" ref="AI31:AR31" si="21">AH31+1</f>
        <v>201603</v>
      </c>
      <c r="AJ31" s="484">
        <f t="shared" si="21"/>
        <v>201604</v>
      </c>
      <c r="AK31" s="484">
        <f t="shared" si="21"/>
        <v>201605</v>
      </c>
      <c r="AL31" s="484">
        <f t="shared" si="21"/>
        <v>201606</v>
      </c>
      <c r="AM31" s="484">
        <f t="shared" si="21"/>
        <v>201607</v>
      </c>
      <c r="AN31" s="484">
        <f t="shared" si="21"/>
        <v>201608</v>
      </c>
      <c r="AO31" s="484">
        <f t="shared" si="21"/>
        <v>201609</v>
      </c>
      <c r="AP31" s="484">
        <f t="shared" si="21"/>
        <v>201610</v>
      </c>
      <c r="AQ31" s="484">
        <f t="shared" si="21"/>
        <v>201611</v>
      </c>
      <c r="AR31" s="484">
        <f t="shared" si="21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201603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:AD42" si="22">U42+1</f>
        <v>201502</v>
      </c>
      <c r="W42" s="484">
        <f t="shared" si="22"/>
        <v>201503</v>
      </c>
      <c r="X42" s="484">
        <f t="shared" si="22"/>
        <v>201504</v>
      </c>
      <c r="Y42" s="484">
        <f t="shared" si="22"/>
        <v>201505</v>
      </c>
      <c r="Z42" s="484">
        <f t="shared" si="22"/>
        <v>201506</v>
      </c>
      <c r="AA42" s="484">
        <f t="shared" si="22"/>
        <v>201507</v>
      </c>
      <c r="AB42" s="484">
        <f t="shared" si="22"/>
        <v>201508</v>
      </c>
      <c r="AC42" s="484">
        <f t="shared" si="22"/>
        <v>201509</v>
      </c>
      <c r="AD42" s="484">
        <f t="shared" si="22"/>
        <v>201510</v>
      </c>
      <c r="AE42" s="484">
        <f>AD42+1</f>
        <v>201511</v>
      </c>
      <c r="AF42" s="484">
        <f t="shared" ref="AF42" si="23">AE42+1</f>
        <v>201512</v>
      </c>
      <c r="AG42" s="484">
        <v>201601</v>
      </c>
      <c r="AH42" s="484">
        <f>AG42+1</f>
        <v>201602</v>
      </c>
      <c r="AI42" s="484">
        <f t="shared" ref="AI42:AR42" si="24">AH42+1</f>
        <v>201603</v>
      </c>
      <c r="AJ42" s="484">
        <f t="shared" si="24"/>
        <v>201604</v>
      </c>
      <c r="AK42" s="484">
        <f t="shared" si="24"/>
        <v>201605</v>
      </c>
      <c r="AL42" s="484">
        <f t="shared" si="24"/>
        <v>201606</v>
      </c>
      <c r="AM42" s="484">
        <f t="shared" si="24"/>
        <v>201607</v>
      </c>
      <c r="AN42" s="484">
        <f t="shared" si="24"/>
        <v>201608</v>
      </c>
      <c r="AO42" s="484">
        <f t="shared" si="24"/>
        <v>201609</v>
      </c>
      <c r="AP42" s="484">
        <f t="shared" si="24"/>
        <v>201610</v>
      </c>
      <c r="AQ42" s="484">
        <f t="shared" si="24"/>
        <v>201611</v>
      </c>
      <c r="AR42" s="484">
        <f t="shared" si="24"/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3189.27953244215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/>
      <c r="AK43" s="488"/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375811.22695755778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:AR44" si="25">AE49</f>
        <v>-2966848.8846008489</v>
      </c>
      <c r="AG44" s="482">
        <f t="shared" si="25"/>
        <v>-2400830.7877258095</v>
      </c>
      <c r="AH44" s="482">
        <f t="shared" si="25"/>
        <v>-1799942.4443073752</v>
      </c>
      <c r="AI44" s="482">
        <f t="shared" si="25"/>
        <v>-1367080.388300563</v>
      </c>
      <c r="AJ44" s="482">
        <f t="shared" si="25"/>
        <v>-991269.16134300514</v>
      </c>
      <c r="AK44" s="482">
        <f t="shared" si="25"/>
        <v>-991269.16134300514</v>
      </c>
      <c r="AL44" s="482">
        <f t="shared" si="25"/>
        <v>-991269.16134300514</v>
      </c>
      <c r="AM44" s="482">
        <f t="shared" si="25"/>
        <v>-991269.16134300514</v>
      </c>
      <c r="AN44" s="482">
        <f t="shared" si="25"/>
        <v>-991269.16134300514</v>
      </c>
      <c r="AO44" s="482">
        <f t="shared" si="25"/>
        <v>-991269.16134300514</v>
      </c>
      <c r="AP44" s="482">
        <f t="shared" si="25"/>
        <v>-991269.16134300514</v>
      </c>
      <c r="AQ44" s="482">
        <f t="shared" si="25"/>
        <v>-991269.16134300514</v>
      </c>
      <c r="AR44" s="482">
        <f t="shared" si="25"/>
        <v>-991269.16134300514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379000.50648999994</v>
      </c>
    </row>
    <row r="45" spans="1:51" ht="16.2">
      <c r="B45" s="481" t="s">
        <v>23</v>
      </c>
      <c r="C45" s="482">
        <f>SUM(AG45:AR45)</f>
        <v>1422714.6371999998</v>
      </c>
      <c r="D45" s="494">
        <f>SUM(AE45:AP45)</f>
        <v>2453087.6371999998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26">SUMPRODUCT(AH19:AH27,AH32:AH40)</f>
        <v>437144.93303000001</v>
      </c>
      <c r="AI45" s="482">
        <f t="shared" si="26"/>
        <v>379000.50648999994</v>
      </c>
      <c r="AJ45" s="482">
        <f t="shared" si="26"/>
        <v>0</v>
      </c>
      <c r="AK45" s="482">
        <f t="shared" si="26"/>
        <v>0</v>
      </c>
      <c r="AL45" s="482">
        <f t="shared" si="26"/>
        <v>0</v>
      </c>
      <c r="AM45" s="482">
        <f t="shared" si="26"/>
        <v>0</v>
      </c>
      <c r="AN45" s="482">
        <f t="shared" si="26"/>
        <v>0</v>
      </c>
      <c r="AO45" s="482">
        <f t="shared" si="26"/>
        <v>0</v>
      </c>
      <c r="AP45" s="482">
        <f t="shared" si="26"/>
        <v>0</v>
      </c>
      <c r="AQ45" s="482">
        <f t="shared" si="26"/>
        <v>0</v>
      </c>
      <c r="AR45" s="482">
        <f t="shared" si="26"/>
        <v>0</v>
      </c>
      <c r="AT45" s="153" t="s">
        <v>156</v>
      </c>
      <c r="AU45" s="209">
        <f>AU43</f>
        <v>191000</v>
      </c>
      <c r="AV45" s="209" t="str">
        <f t="shared" ref="AV45:AW46" si="27">AV43</f>
        <v>GD</v>
      </c>
      <c r="AW45" s="209" t="str">
        <f t="shared" si="27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28">SUM(AG46:AR46)</f>
        <v>-13153.010817195565</v>
      </c>
      <c r="D46" s="494">
        <f t="shared" ref="D46" si="29">SUM(AE46:AP46)</f>
        <v>-29120.802012966724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30">((AG44+AG47)*(AG43/12))+(((AG45+AG48)/2)*(AG43/12))</f>
        <v>-5680.8542615657343</v>
      </c>
      <c r="AH46" s="489">
        <f t="shared" si="30"/>
        <v>-4282.8770231876824</v>
      </c>
      <c r="AI46" s="489">
        <f t="shared" si="30"/>
        <v>-3189.27953244215</v>
      </c>
      <c r="AJ46" s="489">
        <f t="shared" si="30"/>
        <v>0</v>
      </c>
      <c r="AK46" s="489">
        <f t="shared" si="30"/>
        <v>0</v>
      </c>
      <c r="AL46" s="489">
        <f t="shared" si="30"/>
        <v>0</v>
      </c>
      <c r="AM46" s="489">
        <f t="shared" si="30"/>
        <v>0</v>
      </c>
      <c r="AN46" s="489">
        <f t="shared" si="30"/>
        <v>0</v>
      </c>
      <c r="AO46" s="489">
        <f t="shared" si="30"/>
        <v>0</v>
      </c>
      <c r="AP46" s="489">
        <f t="shared" si="30"/>
        <v>0</v>
      </c>
      <c r="AQ46" s="489">
        <f t="shared" si="30"/>
        <v>0</v>
      </c>
      <c r="AR46" s="489">
        <f t="shared" si="30"/>
        <v>0</v>
      </c>
      <c r="AT46" s="154" t="str">
        <f>AT45</f>
        <v>Large Customer Refund</v>
      </c>
      <c r="AU46" s="561">
        <f>AU44</f>
        <v>805110</v>
      </c>
      <c r="AV46" s="561" t="str">
        <f t="shared" si="27"/>
        <v>GD</v>
      </c>
      <c r="AW46" s="561" t="str">
        <f t="shared" si="27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28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28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1409561.6263828042</v>
      </c>
      <c r="D49" s="541"/>
      <c r="E49" s="541">
        <f>SUM(E44:E48)</f>
        <v>-46035.360287444513</v>
      </c>
      <c r="F49" s="541">
        <f t="shared" ref="F49:H49" si="31">SUM(F44:F48)</f>
        <v>404885.58467682183</v>
      </c>
      <c r="G49" s="541">
        <f t="shared" si="31"/>
        <v>1486369.5928734979</v>
      </c>
      <c r="H49" s="541">
        <f t="shared" si="31"/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R49" si="32">SUM(V44:V48)</f>
        <v>-978605.01769356499</v>
      </c>
      <c r="W49" s="541">
        <f t="shared" si="32"/>
        <v>-801445.32791263924</v>
      </c>
      <c r="X49" s="541">
        <f t="shared" si="32"/>
        <v>-669275.24177190254</v>
      </c>
      <c r="Y49" s="541">
        <f t="shared" si="32"/>
        <v>-610882.24266902648</v>
      </c>
      <c r="Z49" s="541">
        <f t="shared" si="32"/>
        <v>-574943.04011245095</v>
      </c>
      <c r="AA49" s="541">
        <f t="shared" si="32"/>
        <v>-537511.27700320142</v>
      </c>
      <c r="AB49" s="541">
        <f t="shared" si="32"/>
        <v>-503286.03358886426</v>
      </c>
      <c r="AC49" s="541">
        <f t="shared" si="32"/>
        <v>-446057.56644618412</v>
      </c>
      <c r="AD49" s="541">
        <f t="shared" si="32"/>
        <v>-360318.05653003836</v>
      </c>
      <c r="AE49" s="541">
        <f t="shared" si="32"/>
        <v>-2966848.8846008489</v>
      </c>
      <c r="AF49" s="541">
        <f t="shared" si="32"/>
        <v>-2400830.7877258095</v>
      </c>
      <c r="AG49" s="541">
        <f t="shared" si="32"/>
        <v>-1799942.4443073752</v>
      </c>
      <c r="AH49" s="541">
        <f t="shared" si="32"/>
        <v>-1367080.388300563</v>
      </c>
      <c r="AI49" s="541">
        <f t="shared" si="32"/>
        <v>-991269.16134300514</v>
      </c>
      <c r="AJ49" s="541">
        <f t="shared" si="32"/>
        <v>-991269.16134300514</v>
      </c>
      <c r="AK49" s="541">
        <f t="shared" si="32"/>
        <v>-991269.16134300514</v>
      </c>
      <c r="AL49" s="541">
        <f t="shared" si="32"/>
        <v>-991269.16134300514</v>
      </c>
      <c r="AM49" s="541">
        <f t="shared" si="32"/>
        <v>-991269.16134300514</v>
      </c>
      <c r="AN49" s="541">
        <f t="shared" si="32"/>
        <v>-991269.16134300514</v>
      </c>
      <c r="AO49" s="541">
        <f t="shared" si="32"/>
        <v>-991269.16134300514</v>
      </c>
      <c r="AP49" s="541">
        <f t="shared" si="32"/>
        <v>-991269.16134300514</v>
      </c>
      <c r="AQ49" s="541">
        <f t="shared" si="32"/>
        <v>-991269.16134300514</v>
      </c>
      <c r="AR49" s="541">
        <f t="shared" si="32"/>
        <v>-991269.16134300514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33">E49-E50</f>
        <v>-0.22028744451381499</v>
      </c>
      <c r="F51" s="482">
        <f t="shared" si="33"/>
        <v>-0.22532317816512659</v>
      </c>
      <c r="G51" s="482">
        <f t="shared" si="33"/>
        <v>-0.22712650219909847</v>
      </c>
      <c r="H51" s="482">
        <f t="shared" si="33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R51" si="34">V49-V50</f>
        <v>-0.21769356494769454</v>
      </c>
      <c r="W51" s="482">
        <f t="shared" si="34"/>
        <v>-0.21791263925842941</v>
      </c>
      <c r="X51" s="482">
        <f t="shared" si="34"/>
        <v>-0.22177190252114087</v>
      </c>
      <c r="Y51" s="482">
        <f t="shared" si="34"/>
        <v>-0.22266902646515518</v>
      </c>
      <c r="Z51" s="482">
        <f t="shared" si="34"/>
        <v>-0.22011245100293308</v>
      </c>
      <c r="AA51" s="482">
        <f t="shared" si="34"/>
        <v>-0.21700320136733353</v>
      </c>
      <c r="AB51" s="482">
        <f t="shared" si="34"/>
        <v>-0.21358886425150558</v>
      </c>
      <c r="AC51" s="482">
        <f t="shared" si="34"/>
        <v>-0.21644618414575234</v>
      </c>
      <c r="AD51" s="482">
        <f t="shared" si="34"/>
        <v>-0.21653003833489493</v>
      </c>
      <c r="AE51" s="482">
        <f t="shared" si="34"/>
        <v>-0.21460084896534681</v>
      </c>
      <c r="AF51" s="482">
        <f t="shared" si="34"/>
        <v>-0.21772580966353416</v>
      </c>
      <c r="AG51" s="482">
        <f t="shared" si="34"/>
        <v>-0.22430737526156008</v>
      </c>
      <c r="AH51" s="482">
        <f t="shared" si="34"/>
        <v>-0.21830056305043399</v>
      </c>
      <c r="AI51" s="482">
        <f t="shared" si="34"/>
        <v>-0.22134300519246608</v>
      </c>
      <c r="AJ51" s="482">
        <f t="shared" si="34"/>
        <v>-170635.41134300514</v>
      </c>
      <c r="AK51" s="482">
        <f t="shared" si="34"/>
        <v>-284438.09134300519</v>
      </c>
      <c r="AL51" s="482">
        <f t="shared" si="34"/>
        <v>-375528.55134300515</v>
      </c>
      <c r="AM51" s="482">
        <f t="shared" si="34"/>
        <v>-375528.55134300515</v>
      </c>
      <c r="AN51" s="482">
        <f t="shared" si="34"/>
        <v>-375528.55134300515</v>
      </c>
      <c r="AO51" s="482">
        <f t="shared" si="34"/>
        <v>-991269.16134300514</v>
      </c>
      <c r="AP51" s="482">
        <f t="shared" si="34"/>
        <v>-991269.16134300514</v>
      </c>
      <c r="AQ51" s="482">
        <f t="shared" si="34"/>
        <v>-991269.16134300514</v>
      </c>
      <c r="AR51" s="482">
        <f t="shared" si="34"/>
        <v>-991269.16134300514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:AD54" si="35">U54+1</f>
        <v>201502</v>
      </c>
      <c r="W54" s="484">
        <f t="shared" si="35"/>
        <v>201503</v>
      </c>
      <c r="X54" s="484">
        <f t="shared" si="35"/>
        <v>201504</v>
      </c>
      <c r="Y54" s="484">
        <f t="shared" si="35"/>
        <v>201505</v>
      </c>
      <c r="Z54" s="484">
        <f t="shared" si="35"/>
        <v>201506</v>
      </c>
      <c r="AA54" s="484">
        <f t="shared" si="35"/>
        <v>201507</v>
      </c>
      <c r="AB54" s="484">
        <f t="shared" si="35"/>
        <v>201508</v>
      </c>
      <c r="AC54" s="484">
        <f t="shared" si="35"/>
        <v>201509</v>
      </c>
      <c r="AD54" s="484">
        <f t="shared" si="35"/>
        <v>201510</v>
      </c>
      <c r="AE54" s="484">
        <f>AD54+1</f>
        <v>201511</v>
      </c>
      <c r="AF54" s="484">
        <f t="shared" ref="AF54" si="36">AE54+1</f>
        <v>201512</v>
      </c>
      <c r="AG54" s="484">
        <v>201601</v>
      </c>
      <c r="AH54" s="484">
        <f>AG54+1</f>
        <v>201602</v>
      </c>
      <c r="AI54" s="484">
        <f t="shared" ref="AI54:AR54" si="37">AH54+1</f>
        <v>201603</v>
      </c>
      <c r="AJ54" s="484">
        <f t="shared" si="37"/>
        <v>201604</v>
      </c>
      <c r="AK54" s="484">
        <f t="shared" si="37"/>
        <v>201605</v>
      </c>
      <c r="AL54" s="484">
        <f t="shared" si="37"/>
        <v>201606</v>
      </c>
      <c r="AM54" s="484">
        <f t="shared" si="37"/>
        <v>201607</v>
      </c>
      <c r="AN54" s="484">
        <f t="shared" si="37"/>
        <v>201608</v>
      </c>
      <c r="AO54" s="484">
        <f t="shared" si="37"/>
        <v>201609</v>
      </c>
      <c r="AP54" s="484">
        <f t="shared" si="37"/>
        <v>201610</v>
      </c>
      <c r="AQ54" s="484">
        <f t="shared" si="37"/>
        <v>201611</v>
      </c>
      <c r="AR54" s="484">
        <f t="shared" si="37"/>
        <v>201612</v>
      </c>
      <c r="AX54" s="563"/>
    </row>
    <row r="55" spans="1:50">
      <c r="A55" s="483"/>
      <c r="B55" s="481" t="s">
        <v>37</v>
      </c>
      <c r="C55" s="491">
        <f>SUM(AG55:AR55)</f>
        <v>46676206</v>
      </c>
      <c r="D55" s="491">
        <f>SUM(AE55:AP55)</f>
        <v>81511035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>
        <f>Mar!$G23</f>
        <v>12238194</v>
      </c>
      <c r="AJ55" s="543"/>
      <c r="AK55" s="543"/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38">SUM(AG56:AR56)</f>
        <v>51089</v>
      </c>
      <c r="D56" s="491">
        <f t="shared" ref="D56:D63" si="39">SUM(AE56:AP56)</f>
        <v>62533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>
        <f>Mar!$G24</f>
        <v>18603</v>
      </c>
      <c r="AJ56" s="543"/>
      <c r="AK56" s="543"/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38"/>
        <v>16564104</v>
      </c>
      <c r="D57" s="491">
        <f t="shared" si="39"/>
        <v>28233556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>
        <f>Mar!$G25</f>
        <v>4795258</v>
      </c>
      <c r="AJ57" s="543"/>
      <c r="AK57" s="543"/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38"/>
        <v>0</v>
      </c>
      <c r="D58" s="491">
        <f t="shared" si="39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>
        <f>Mar!$G26</f>
        <v>0</v>
      </c>
      <c r="AJ58" s="543"/>
      <c r="AK58" s="543"/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38"/>
        <v>1115997</v>
      </c>
      <c r="D59" s="491">
        <f t="shared" si="39"/>
        <v>1989175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>
        <f>Mar!$G27</f>
        <v>361566</v>
      </c>
      <c r="AJ59" s="543"/>
      <c r="AK59" s="543"/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38"/>
        <v>210615</v>
      </c>
      <c r="D60" s="491">
        <f t="shared" si="39"/>
        <v>332976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>
        <f>Mar!$G28</f>
        <v>59583</v>
      </c>
      <c r="AJ60" s="543"/>
      <c r="AK60" s="543"/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38"/>
        <v>0</v>
      </c>
      <c r="D61" s="491">
        <f t="shared" si="39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>
        <f>Mar!$G29</f>
        <v>0</v>
      </c>
      <c r="AJ61" s="543"/>
      <c r="AK61" s="543"/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38"/>
        <v>395995</v>
      </c>
      <c r="D62" s="491">
        <f t="shared" si="39"/>
        <v>521943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>
        <f>Mar!$G30</f>
        <v>89942</v>
      </c>
      <c r="AJ62" s="543"/>
      <c r="AK62" s="543"/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38"/>
        <v>9125726</v>
      </c>
      <c r="D63" s="491">
        <f t="shared" si="39"/>
        <v>15466968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>
        <f>Mar!$G31</f>
        <v>2822744</v>
      </c>
      <c r="AJ63" s="543"/>
      <c r="AK63" s="543"/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74139732</v>
      </c>
      <c r="D64" s="542">
        <f t="shared" ref="D64:D65" si="40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:H64" si="41">SUM(G55:G63)</f>
        <v>24248041</v>
      </c>
      <c r="H64" s="542">
        <f t="shared" si="41"/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:AR64" si="42">SUM(V55:V63)</f>
        <v>22001617</v>
      </c>
      <c r="W64" s="542">
        <f t="shared" si="42"/>
        <v>17611817</v>
      </c>
      <c r="X64" s="542">
        <f t="shared" si="42"/>
        <v>14163392</v>
      </c>
      <c r="Y64" s="542">
        <f t="shared" si="42"/>
        <v>7782410</v>
      </c>
      <c r="Z64" s="542">
        <f t="shared" si="42"/>
        <v>5881684</v>
      </c>
      <c r="AA64" s="542">
        <f t="shared" si="42"/>
        <v>5669948</v>
      </c>
      <c r="AB64" s="542">
        <f t="shared" si="42"/>
        <v>5554978</v>
      </c>
      <c r="AC64" s="542">
        <f t="shared" si="42"/>
        <v>7484702</v>
      </c>
      <c r="AD64" s="542">
        <f t="shared" si="42"/>
        <v>10158046</v>
      </c>
      <c r="AE64" s="542">
        <f t="shared" si="42"/>
        <v>24566038</v>
      </c>
      <c r="AF64" s="542">
        <f t="shared" si="42"/>
        <v>29412416</v>
      </c>
      <c r="AG64" s="542">
        <f t="shared" si="42"/>
        <v>30707107</v>
      </c>
      <c r="AH64" s="542">
        <f t="shared" si="42"/>
        <v>23046735</v>
      </c>
      <c r="AI64" s="542">
        <f t="shared" si="42"/>
        <v>20385890</v>
      </c>
      <c r="AJ64" s="542">
        <f t="shared" si="42"/>
        <v>0</v>
      </c>
      <c r="AK64" s="542">
        <f t="shared" si="42"/>
        <v>0</v>
      </c>
      <c r="AL64" s="542">
        <f t="shared" si="42"/>
        <v>0</v>
      </c>
      <c r="AM64" s="542">
        <f t="shared" si="42"/>
        <v>0</v>
      </c>
      <c r="AN64" s="542">
        <f t="shared" si="42"/>
        <v>0</v>
      </c>
      <c r="AO64" s="542">
        <f t="shared" si="42"/>
        <v>0</v>
      </c>
      <c r="AP64" s="542">
        <f t="shared" si="42"/>
        <v>0</v>
      </c>
      <c r="AQ64" s="542">
        <f t="shared" si="42"/>
        <v>0</v>
      </c>
      <c r="AR64" s="542">
        <f t="shared" si="42"/>
        <v>0</v>
      </c>
    </row>
    <row r="65" spans="1:51" ht="16.2" thickTop="1">
      <c r="A65" s="483"/>
      <c r="B65" s="481" t="s">
        <v>269</v>
      </c>
      <c r="C65" s="491">
        <f>SUM(AG65:AR65)</f>
        <v>74139732</v>
      </c>
      <c r="D65" s="491">
        <f t="shared" si="40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>
        <v>20385890</v>
      </c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:AD67" si="43">U67+1</f>
        <v>201502</v>
      </c>
      <c r="W67" s="484">
        <f t="shared" si="43"/>
        <v>201503</v>
      </c>
      <c r="X67" s="484">
        <f t="shared" si="43"/>
        <v>201504</v>
      </c>
      <c r="Y67" s="484">
        <f t="shared" si="43"/>
        <v>201505</v>
      </c>
      <c r="Z67" s="484">
        <f t="shared" si="43"/>
        <v>201506</v>
      </c>
      <c r="AA67" s="484">
        <f t="shared" si="43"/>
        <v>201507</v>
      </c>
      <c r="AB67" s="484">
        <f t="shared" si="43"/>
        <v>201508</v>
      </c>
      <c r="AC67" s="484">
        <f t="shared" si="43"/>
        <v>201509</v>
      </c>
      <c r="AD67" s="484">
        <f t="shared" si="43"/>
        <v>201510</v>
      </c>
      <c r="AE67" s="484">
        <f>AD67+1</f>
        <v>201511</v>
      </c>
      <c r="AF67" s="484">
        <f t="shared" ref="AF67" si="44">AE67+1</f>
        <v>201512</v>
      </c>
      <c r="AG67" s="484">
        <v>201601</v>
      </c>
      <c r="AH67" s="484">
        <f>AG67+1</f>
        <v>201602</v>
      </c>
      <c r="AI67" s="484">
        <f t="shared" ref="AI67:AR67" si="45">AH67+1</f>
        <v>201603</v>
      </c>
      <c r="AJ67" s="484">
        <f t="shared" si="45"/>
        <v>201604</v>
      </c>
      <c r="AK67" s="484">
        <f t="shared" si="45"/>
        <v>201605</v>
      </c>
      <c r="AL67" s="484">
        <f t="shared" si="45"/>
        <v>201606</v>
      </c>
      <c r="AM67" s="484">
        <f t="shared" si="45"/>
        <v>201607</v>
      </c>
      <c r="AN67" s="484">
        <f t="shared" si="45"/>
        <v>201608</v>
      </c>
      <c r="AO67" s="484">
        <f t="shared" si="45"/>
        <v>201609</v>
      </c>
      <c r="AP67" s="484">
        <f t="shared" si="45"/>
        <v>201610</v>
      </c>
      <c r="AQ67" s="484">
        <f t="shared" si="45"/>
        <v>201611</v>
      </c>
      <c r="AR67" s="484">
        <f t="shared" si="45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201603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2339.6638599999997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2339.6638599999997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:AD78" si="46">U78+1</f>
        <v>201502</v>
      </c>
      <c r="W78" s="484">
        <f t="shared" si="46"/>
        <v>201503</v>
      </c>
      <c r="X78" s="484">
        <f t="shared" si="46"/>
        <v>201504</v>
      </c>
      <c r="Y78" s="484">
        <f t="shared" si="46"/>
        <v>201505</v>
      </c>
      <c r="Z78" s="484">
        <f t="shared" si="46"/>
        <v>201506</v>
      </c>
      <c r="AA78" s="484">
        <f t="shared" si="46"/>
        <v>201507</v>
      </c>
      <c r="AB78" s="484">
        <f t="shared" si="46"/>
        <v>201508</v>
      </c>
      <c r="AC78" s="484">
        <f t="shared" si="46"/>
        <v>201509</v>
      </c>
      <c r="AD78" s="484">
        <f t="shared" si="46"/>
        <v>201510</v>
      </c>
      <c r="AE78" s="484">
        <f>AD78+1</f>
        <v>201511</v>
      </c>
      <c r="AF78" s="484">
        <f t="shared" ref="AF78" si="47">AE78+1</f>
        <v>201512</v>
      </c>
      <c r="AG78" s="484">
        <v>201601</v>
      </c>
      <c r="AH78" s="484">
        <f>AG78+1</f>
        <v>201602</v>
      </c>
      <c r="AI78" s="484">
        <f t="shared" ref="AI78:AR78" si="48">AH78+1</f>
        <v>201603</v>
      </c>
      <c r="AJ78" s="484">
        <f t="shared" si="48"/>
        <v>201604</v>
      </c>
      <c r="AK78" s="484">
        <f t="shared" si="48"/>
        <v>201605</v>
      </c>
      <c r="AL78" s="484">
        <f t="shared" si="48"/>
        <v>201606</v>
      </c>
      <c r="AM78" s="484">
        <f t="shared" si="48"/>
        <v>201607</v>
      </c>
      <c r="AN78" s="484">
        <f t="shared" si="48"/>
        <v>201608</v>
      </c>
      <c r="AO78" s="484">
        <f t="shared" si="48"/>
        <v>201609</v>
      </c>
      <c r="AP78" s="484">
        <f t="shared" si="48"/>
        <v>201610</v>
      </c>
      <c r="AQ78" s="484">
        <f t="shared" si="48"/>
        <v>201611</v>
      </c>
      <c r="AR78" s="484">
        <f t="shared" si="48"/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49">AF82</f>
        <v>-18146.93566000001</v>
      </c>
      <c r="AH79" s="482">
        <f t="shared" si="49"/>
        <v>-14523.147320000011</v>
      </c>
      <c r="AI79" s="482">
        <f t="shared" si="49"/>
        <v>-11852.264220000012</v>
      </c>
      <c r="AJ79" s="482">
        <f t="shared" si="49"/>
        <v>-9512.6003600000113</v>
      </c>
      <c r="AK79" s="482">
        <f t="shared" si="49"/>
        <v>-9512.6003600000113</v>
      </c>
      <c r="AL79" s="482">
        <f t="shared" si="49"/>
        <v>-9512.6003600000113</v>
      </c>
      <c r="AM79" s="482">
        <f t="shared" si="49"/>
        <v>-9512.6003600000113</v>
      </c>
      <c r="AN79" s="482">
        <f t="shared" si="49"/>
        <v>-9512.6003600000113</v>
      </c>
      <c r="AO79" s="482">
        <f t="shared" si="49"/>
        <v>-9512.6003600000113</v>
      </c>
      <c r="AP79" s="482">
        <f t="shared" si="49"/>
        <v>-9512.6003600000113</v>
      </c>
      <c r="AQ79" s="482">
        <f t="shared" si="49"/>
        <v>-9512.6003600000113</v>
      </c>
      <c r="AR79" s="482">
        <f t="shared" si="49"/>
        <v>-9512.6003600000113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8634.3352999999988</v>
      </c>
      <c r="D80" s="494">
        <f>SUM(AE80:AP80)</f>
        <v>13685.335299999999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50">SUMPRODUCT(AH55:AH63,AH68:AH76)</f>
        <v>2670.8831</v>
      </c>
      <c r="AI80" s="563">
        <f t="shared" si="50"/>
        <v>2339.6638599999997</v>
      </c>
      <c r="AJ80" s="563">
        <f t="shared" si="50"/>
        <v>0</v>
      </c>
      <c r="AK80" s="563">
        <f t="shared" si="50"/>
        <v>0</v>
      </c>
      <c r="AL80" s="563">
        <f t="shared" si="50"/>
        <v>0</v>
      </c>
      <c r="AM80" s="563">
        <f t="shared" si="50"/>
        <v>0</v>
      </c>
      <c r="AN80" s="563">
        <f t="shared" si="50"/>
        <v>0</v>
      </c>
      <c r="AO80" s="563">
        <f t="shared" si="50"/>
        <v>0</v>
      </c>
      <c r="AP80" s="563">
        <f t="shared" si="50"/>
        <v>0</v>
      </c>
      <c r="AQ80" s="563">
        <f t="shared" si="50"/>
        <v>0</v>
      </c>
      <c r="AR80" s="563">
        <f t="shared" si="50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8634.3352999999988</v>
      </c>
      <c r="D82" s="541"/>
      <c r="E82" s="541">
        <f t="shared" ref="E82:H82" si="51">SUM(E79:E81)</f>
        <v>38932.729789999998</v>
      </c>
      <c r="F82" s="541">
        <f t="shared" si="51"/>
        <v>8140.2385399999985</v>
      </c>
      <c r="G82" s="541">
        <f t="shared" si="51"/>
        <v>-693.68146000000161</v>
      </c>
      <c r="H82" s="541">
        <f t="shared" si="51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52">SUM(V79:V81)</f>
        <v>-38138.117780000015</v>
      </c>
      <c r="W82" s="541">
        <f t="shared" si="52"/>
        <v>-34282.961340000016</v>
      </c>
      <c r="X82" s="541">
        <f t="shared" si="52"/>
        <v>-31253.873050000017</v>
      </c>
      <c r="Y82" s="541">
        <f t="shared" si="52"/>
        <v>-29770.929110000015</v>
      </c>
      <c r="Z82" s="541">
        <f t="shared" si="52"/>
        <v>-28708.282540000015</v>
      </c>
      <c r="AA82" s="541">
        <f t="shared" si="52"/>
        <v>-27692.487530000013</v>
      </c>
      <c r="AB82" s="541">
        <f t="shared" si="52"/>
        <v>-26711.886850000014</v>
      </c>
      <c r="AC82" s="541">
        <f t="shared" si="52"/>
        <v>-25249.174790000012</v>
      </c>
      <c r="AD82" s="541">
        <f t="shared" si="52"/>
        <v>-23171.93566000001</v>
      </c>
      <c r="AE82" s="541">
        <f t="shared" si="52"/>
        <v>-21380.93566000001</v>
      </c>
      <c r="AF82" s="541">
        <f t="shared" si="52"/>
        <v>-18146.93566000001</v>
      </c>
      <c r="AG82" s="541">
        <f t="shared" si="52"/>
        <v>-14523.147320000011</v>
      </c>
      <c r="AH82" s="541">
        <f t="shared" si="52"/>
        <v>-11852.264220000012</v>
      </c>
      <c r="AI82" s="541">
        <f t="shared" si="52"/>
        <v>-9512.6003600000113</v>
      </c>
      <c r="AJ82" s="541">
        <f t="shared" si="52"/>
        <v>-9512.6003600000113</v>
      </c>
      <c r="AK82" s="541">
        <f t="shared" si="52"/>
        <v>-9512.6003600000113</v>
      </c>
      <c r="AL82" s="541">
        <f t="shared" si="52"/>
        <v>-9512.6003600000113</v>
      </c>
      <c r="AM82" s="541">
        <f t="shared" si="52"/>
        <v>-9512.6003600000113</v>
      </c>
      <c r="AN82" s="541">
        <f t="shared" si="52"/>
        <v>-9512.6003600000113</v>
      </c>
      <c r="AO82" s="541">
        <f t="shared" si="52"/>
        <v>-9512.6003600000113</v>
      </c>
      <c r="AP82" s="541">
        <f t="shared" si="52"/>
        <v>-9512.6003600000113</v>
      </c>
      <c r="AQ82" s="541">
        <f t="shared" si="52"/>
        <v>-9512.6003600000113</v>
      </c>
      <c r="AR82" s="541">
        <f t="shared" si="52"/>
        <v>-9512.6003600000113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53">E82-E83</f>
        <v>-2.1000000560889021E-4</v>
      </c>
      <c r="F84" s="482">
        <f t="shared" si="53"/>
        <v>-1.4600000013160752E-3</v>
      </c>
      <c r="G84" s="482">
        <f t="shared" si="53"/>
        <v>-1.4600000016571357E-3</v>
      </c>
      <c r="H84" s="482">
        <f t="shared" si="53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:AR84" si="54">V82-V83</f>
        <v>1.2219999982335139E-2</v>
      </c>
      <c r="W84" s="482">
        <f t="shared" si="54"/>
        <v>8.6599999849568121E-3</v>
      </c>
      <c r="X84" s="482">
        <f t="shared" si="54"/>
        <v>6.9499999844992999E-3</v>
      </c>
      <c r="Y84" s="482">
        <f t="shared" si="54"/>
        <v>1.0889999983191956E-2</v>
      </c>
      <c r="Z84" s="482">
        <f t="shared" si="54"/>
        <v>7.4599999861675315E-3</v>
      </c>
      <c r="AA84" s="482">
        <f t="shared" si="54"/>
        <v>2.469999988534255E-3</v>
      </c>
      <c r="AB84" s="482">
        <f t="shared" si="54"/>
        <v>3.1499999859079253E-3</v>
      </c>
      <c r="AC84" s="482">
        <f t="shared" si="54"/>
        <v>5.2099999884376302E-3</v>
      </c>
      <c r="AD84" s="482">
        <f t="shared" si="54"/>
        <v>4.339999988587806E-3</v>
      </c>
      <c r="AE84" s="482">
        <f t="shared" si="54"/>
        <v>4.339999988587806E-3</v>
      </c>
      <c r="AF84" s="482">
        <f t="shared" si="54"/>
        <v>4.339999988587806E-3</v>
      </c>
      <c r="AG84" s="482">
        <f t="shared" si="54"/>
        <v>2.6799999886861769E-3</v>
      </c>
      <c r="AH84" s="482">
        <f t="shared" si="54"/>
        <v>5.7799999885901343E-3</v>
      </c>
      <c r="AI84" s="482">
        <f t="shared" si="54"/>
        <v>9.6399999893037602E-3</v>
      </c>
      <c r="AJ84" s="482">
        <f t="shared" si="54"/>
        <v>-1138.8603600000115</v>
      </c>
      <c r="AK84" s="482">
        <f t="shared" si="54"/>
        <v>-1969.1103600000115</v>
      </c>
      <c r="AL84" s="482">
        <f t="shared" si="54"/>
        <v>-2630.4803600000114</v>
      </c>
      <c r="AM84" s="482">
        <f t="shared" si="54"/>
        <v>-2630.4803600000114</v>
      </c>
      <c r="AN84" s="482">
        <f t="shared" si="54"/>
        <v>-2630.4803600000114</v>
      </c>
      <c r="AO84" s="482">
        <f t="shared" si="54"/>
        <v>-9512.6003600000113</v>
      </c>
      <c r="AP84" s="482">
        <f t="shared" si="54"/>
        <v>-9512.6003600000113</v>
      </c>
      <c r="AQ84" s="482">
        <f t="shared" si="54"/>
        <v>-9512.6003600000113</v>
      </c>
      <c r="AR84" s="482">
        <f t="shared" si="54"/>
        <v>-9512.6003600000113</v>
      </c>
    </row>
  </sheetData>
  <conditionalFormatting sqref="E29 K29:AS29 L65:AS65">
    <cfRule type="cellIs" dxfId="345" priority="23" operator="notEqual">
      <formula>E28</formula>
    </cfRule>
  </conditionalFormatting>
  <conditionalFormatting sqref="F29">
    <cfRule type="cellIs" dxfId="344" priority="22" operator="notEqual">
      <formula>F28</formula>
    </cfRule>
  </conditionalFormatting>
  <conditionalFormatting sqref="G29">
    <cfRule type="cellIs" dxfId="343" priority="21" operator="notEqual">
      <formula>G28</formula>
    </cfRule>
  </conditionalFormatting>
  <conditionalFormatting sqref="H29">
    <cfRule type="cellIs" dxfId="342" priority="20" operator="notEqual">
      <formula>H28</formula>
    </cfRule>
  </conditionalFormatting>
  <conditionalFormatting sqref="G65">
    <cfRule type="cellIs" dxfId="341" priority="17" operator="notEqual">
      <formula>G64</formula>
    </cfRule>
  </conditionalFormatting>
  <conditionalFormatting sqref="H65">
    <cfRule type="cellIs" dxfId="340" priority="16" operator="notEqual">
      <formula>H64</formula>
    </cfRule>
  </conditionalFormatting>
  <conditionalFormatting sqref="E65">
    <cfRule type="cellIs" dxfId="339" priority="19" operator="notEqual">
      <formula>E64</formula>
    </cfRule>
  </conditionalFormatting>
  <conditionalFormatting sqref="F65">
    <cfRule type="cellIs" dxfId="338" priority="18" operator="notEqual">
      <formula>F64</formula>
    </cfRule>
  </conditionalFormatting>
  <conditionalFormatting sqref="AY80 AY47 AY11">
    <cfRule type="cellIs" dxfId="337" priority="15" operator="notEqual">
      <formula>0</formula>
    </cfRule>
  </conditionalFormatting>
  <conditionalFormatting sqref="D65">
    <cfRule type="cellIs" dxfId="336" priority="14" operator="notEqual">
      <formula>D64</formula>
    </cfRule>
  </conditionalFormatting>
  <conditionalFormatting sqref="C65">
    <cfRule type="cellIs" dxfId="335" priority="13" operator="notEqual">
      <formula>C64</formula>
    </cfRule>
  </conditionalFormatting>
  <conditionalFormatting sqref="D29">
    <cfRule type="cellIs" dxfId="334" priority="12" operator="notEqual">
      <formula>D28</formula>
    </cfRule>
  </conditionalFormatting>
  <conditionalFormatting sqref="C29">
    <cfRule type="cellIs" dxfId="333" priority="11" operator="notEqual">
      <formula>C28</formula>
    </cfRule>
  </conditionalFormatting>
  <conditionalFormatting sqref="I29">
    <cfRule type="cellIs" dxfId="332" priority="10" operator="notEqual">
      <formula>I28</formula>
    </cfRule>
  </conditionalFormatting>
  <conditionalFormatting sqref="I65">
    <cfRule type="cellIs" dxfId="331" priority="9" operator="notEqual">
      <formula>I64</formula>
    </cfRule>
  </conditionalFormatting>
  <conditionalFormatting sqref="J29">
    <cfRule type="cellIs" dxfId="330" priority="8" operator="notEqual">
      <formula>J28</formula>
    </cfRule>
  </conditionalFormatting>
  <conditionalFormatting sqref="J65">
    <cfRule type="cellIs" dxfId="329" priority="7" operator="notEqual">
      <formula>J64</formula>
    </cfRule>
  </conditionalFormatting>
  <conditionalFormatting sqref="K65">
    <cfRule type="cellIs" dxfId="328" priority="6" operator="notEqual">
      <formula>K64</formula>
    </cfRule>
  </conditionalFormatting>
  <conditionalFormatting sqref="U29">
    <cfRule type="cellIs" dxfId="327" priority="5" operator="notEqual">
      <formula>U28</formula>
    </cfRule>
  </conditionalFormatting>
  <conditionalFormatting sqref="U65">
    <cfRule type="cellIs" dxfId="326" priority="4" operator="notEqual">
      <formula>U64</formula>
    </cfRule>
  </conditionalFormatting>
  <conditionalFormatting sqref="V29">
    <cfRule type="cellIs" dxfId="325" priority="3" operator="notEqual">
      <formula>V28</formula>
    </cfRule>
  </conditionalFormatting>
  <conditionalFormatting sqref="V65">
    <cfRule type="cellIs" dxfId="324" priority="2" operator="notEqual">
      <formula>V64</formula>
    </cfRule>
  </conditionalFormatting>
  <conditionalFormatting sqref="W65">
    <cfRule type="cellIs" dxfId="323" priority="1" operator="notEqual">
      <formula>W64</formula>
    </cfRule>
  </conditionalFormatting>
  <pageMargins left="0" right="0" top="0.75" bottom="0.75" header="0.3" footer="0.3"/>
  <pageSetup scale="41" orientation="landscape" r:id="rId1"/>
  <customProperties>
    <customPr name="xxe4aPID" r:id="rId2"/>
  </customProperties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zoomScale="89" zoomScaleNormal="89" zoomScaleSheetLayoutView="85" workbookViewId="0">
      <selection activeCell="AJ5" sqref="AJ5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6" width="16.33203125" style="482" customWidth="1"/>
    <col min="37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F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 t="shared" si="0"/>
        <v>201511</v>
      </c>
      <c r="AF3" s="484">
        <f t="shared" si="0"/>
        <v>201512</v>
      </c>
      <c r="AG3" s="484">
        <v>201601</v>
      </c>
      <c r="AH3" s="484">
        <f>AG3+1</f>
        <v>201602</v>
      </c>
      <c r="AI3" s="484">
        <f t="shared" ref="AI3:AR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 t="shared" si="1"/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 t="shared" si="1"/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201604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:AR5" si="2">AE13</f>
        <v>-2684344.9824949973</v>
      </c>
      <c r="AG5" s="482">
        <f t="shared" si="2"/>
        <v>-3634681.6735539967</v>
      </c>
      <c r="AH5" s="482">
        <f t="shared" si="2"/>
        <v>-4349728.1832369966</v>
      </c>
      <c r="AI5" s="482">
        <f t="shared" si="2"/>
        <v>-4647235.483478996</v>
      </c>
      <c r="AJ5" s="482">
        <f t="shared" si="2"/>
        <v>-5147221.2688729959</v>
      </c>
      <c r="AK5" s="482">
        <f t="shared" si="2"/>
        <v>-6002096.6110229967</v>
      </c>
      <c r="AL5" s="482">
        <f t="shared" si="2"/>
        <v>-6406273.944958997</v>
      </c>
      <c r="AM5" s="482">
        <f t="shared" si="2"/>
        <v>-7224717.6167209959</v>
      </c>
      <c r="AN5" s="482">
        <f t="shared" si="2"/>
        <v>-7883900.3474069955</v>
      </c>
      <c r="AO5" s="482">
        <f t="shared" si="2"/>
        <v>-7979481.4255209956</v>
      </c>
      <c r="AP5" s="482">
        <f t="shared" si="2"/>
        <v>-8279679.969798997</v>
      </c>
      <c r="AQ5" s="482">
        <f t="shared" si="2"/>
        <v>-8418811.6904279981</v>
      </c>
      <c r="AR5" s="482">
        <f t="shared" si="2"/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4643.6099999999997</v>
      </c>
      <c r="AY6" s="500">
        <v>0</v>
      </c>
    </row>
    <row r="7" spans="1:51" ht="16.2">
      <c r="B7" s="481" t="s">
        <v>255</v>
      </c>
      <c r="C7" s="482">
        <f t="shared" ref="C7:C12" si="3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854875.34215000051</v>
      </c>
    </row>
    <row r="8" spans="1:51" ht="16.2">
      <c r="B8" s="481" t="s">
        <v>258</v>
      </c>
      <c r="C8" s="482">
        <f t="shared" si="3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4">ROUND(((AG5+AG9+AG10+AG11)*(AG4/12))+((SUM(AG6:AG7)/2)*(AG4/12)),2)</f>
        <v>-3325.45</v>
      </c>
      <c r="AH8" s="489">
        <f t="shared" si="4"/>
        <v>-3747.17</v>
      </c>
      <c r="AI8" s="489">
        <f t="shared" si="4"/>
        <v>-4079.32</v>
      </c>
      <c r="AJ8" s="489">
        <f t="shared" si="4"/>
        <v>-4643.6099999999997</v>
      </c>
      <c r="AK8" s="489">
        <f t="shared" si="4"/>
        <v>-5168</v>
      </c>
      <c r="AL8" s="489">
        <f t="shared" si="4"/>
        <v>-5677.21</v>
      </c>
      <c r="AM8" s="489">
        <f t="shared" si="4"/>
        <v>-6292.64</v>
      </c>
      <c r="AN8" s="489">
        <f t="shared" si="4"/>
        <v>-6606.99</v>
      </c>
      <c r="AO8" s="489">
        <f t="shared" si="4"/>
        <v>-6771.83</v>
      </c>
      <c r="AP8" s="489">
        <f t="shared" si="4"/>
        <v>-6954.81</v>
      </c>
      <c r="AQ8" s="489">
        <f t="shared" si="4"/>
        <v>-7281.77</v>
      </c>
      <c r="AR8" s="489">
        <f t="shared" si="4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850231.73215000052</v>
      </c>
      <c r="AY8" s="462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5">SUM(F5:F12)</f>
        <v>-179650.44284699953</v>
      </c>
      <c r="G13" s="541">
        <f t="shared" si="5"/>
        <v>-770749.33284699952</v>
      </c>
      <c r="H13" s="541">
        <f t="shared" si="5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6">SUM(U5:U12)</f>
        <v>-645308.82581999747</v>
      </c>
      <c r="V13" s="541">
        <f t="shared" si="6"/>
        <v>-754837.52375499834</v>
      </c>
      <c r="W13" s="541">
        <f t="shared" si="6"/>
        <v>-287477.8915199968</v>
      </c>
      <c r="X13" s="541">
        <f t="shared" si="6"/>
        <v>-1224292.1730279976</v>
      </c>
      <c r="Y13" s="541">
        <f t="shared" si="6"/>
        <v>-1390232.6525299973</v>
      </c>
      <c r="Z13" s="541">
        <f t="shared" si="6"/>
        <v>-1678662.999059998</v>
      </c>
      <c r="AA13" s="541">
        <f t="shared" si="6"/>
        <v>-2022423.1820719973</v>
      </c>
      <c r="AB13" s="541">
        <f t="shared" si="6"/>
        <v>-2418884.2503219969</v>
      </c>
      <c r="AC13" s="541">
        <f t="shared" si="6"/>
        <v>-3067053.2533299979</v>
      </c>
      <c r="AD13" s="541">
        <f t="shared" si="6"/>
        <v>-3722405.068684998</v>
      </c>
      <c r="AE13" s="541">
        <f t="shared" si="6"/>
        <v>-2684344.9824949973</v>
      </c>
      <c r="AF13" s="541">
        <f t="shared" si="6"/>
        <v>-3634681.6735539967</v>
      </c>
      <c r="AG13" s="541">
        <f t="shared" si="6"/>
        <v>-4349728.1832369966</v>
      </c>
      <c r="AH13" s="541">
        <f t="shared" si="6"/>
        <v>-4647235.483478996</v>
      </c>
      <c r="AI13" s="541">
        <f t="shared" si="6"/>
        <v>-5147221.2688729959</v>
      </c>
      <c r="AJ13" s="541">
        <f t="shared" si="6"/>
        <v>-6002096.6110229967</v>
      </c>
      <c r="AK13" s="541">
        <f t="shared" si="6"/>
        <v>-6406273.944958997</v>
      </c>
      <c r="AL13" s="541">
        <f t="shared" si="6"/>
        <v>-7224717.6167209959</v>
      </c>
      <c r="AM13" s="541">
        <f t="shared" si="6"/>
        <v>-7883900.3474069955</v>
      </c>
      <c r="AN13" s="541">
        <f t="shared" si="6"/>
        <v>-7979481.4255209956</v>
      </c>
      <c r="AO13" s="541">
        <f t="shared" si="6"/>
        <v>-8279679.969798997</v>
      </c>
      <c r="AP13" s="541">
        <f t="shared" si="6"/>
        <v>-8418811.6904279981</v>
      </c>
      <c r="AQ13" s="541">
        <f t="shared" si="6"/>
        <v>-9064727.144237997</v>
      </c>
      <c r="AR13" s="541">
        <f t="shared" si="6"/>
        <v>-10020380.825296996</v>
      </c>
    </row>
    <row r="14" spans="1:51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51">
      <c r="B15" s="481" t="s">
        <v>245</v>
      </c>
      <c r="E15" s="482">
        <f t="shared" ref="E15:H15" si="7">E13-E14</f>
        <v>-1.5300058177672327E-2</v>
      </c>
      <c r="F15" s="482">
        <f t="shared" si="7"/>
        <v>-2.2846999519970268E-2</v>
      </c>
      <c r="G15" s="482">
        <f t="shared" si="7"/>
        <v>-2.2846999461762607E-2</v>
      </c>
      <c r="H15" s="482">
        <f t="shared" si="7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8">S13-S14</f>
        <v>8.8100053835660219E-4</v>
      </c>
      <c r="T15" s="482">
        <f t="shared" si="8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R15" si="9">W13-W14</f>
        <v>-1.5199967892840505E-3</v>
      </c>
      <c r="X15" s="482">
        <f t="shared" si="9"/>
        <v>-3.0279976781457663E-3</v>
      </c>
      <c r="Y15" s="482">
        <f t="shared" si="9"/>
        <v>-2.5299973785877228E-3</v>
      </c>
      <c r="Z15" s="482">
        <f t="shared" si="9"/>
        <v>9.4000203534960747E-4</v>
      </c>
      <c r="AA15" s="482">
        <f t="shared" si="9"/>
        <v>-2.0719973836094141E-3</v>
      </c>
      <c r="AB15" s="482">
        <f t="shared" si="9"/>
        <v>-3.2199686393141747E-4</v>
      </c>
      <c r="AC15" s="482">
        <f t="shared" si="9"/>
        <v>-3.3299978822469711E-3</v>
      </c>
      <c r="AD15" s="482">
        <f t="shared" si="9"/>
        <v>1.3150018639862537E-3</v>
      </c>
      <c r="AE15" s="482">
        <f t="shared" si="9"/>
        <v>-2.4949973449110985E-3</v>
      </c>
      <c r="AF15" s="482">
        <f t="shared" si="9"/>
        <v>-3.5539967939257622E-3</v>
      </c>
      <c r="AG15" s="482">
        <f t="shared" si="9"/>
        <v>-3.2369969412684441E-3</v>
      </c>
      <c r="AH15" s="482">
        <f t="shared" si="9"/>
        <v>-3.4789955243468285E-3</v>
      </c>
      <c r="AI15" s="482">
        <f t="shared" si="9"/>
        <v>1.1270036920905113E-3</v>
      </c>
      <c r="AJ15" s="482">
        <f t="shared" si="9"/>
        <v>-1.0229963809251785E-3</v>
      </c>
      <c r="AK15" s="482">
        <f t="shared" si="9"/>
        <v>-4.9589965492486954E-3</v>
      </c>
      <c r="AL15" s="482">
        <f t="shared" si="9"/>
        <v>-6.7209955304861069E-3</v>
      </c>
      <c r="AM15" s="482">
        <f t="shared" si="9"/>
        <v>-659182.73740699515</v>
      </c>
      <c r="AN15" s="482">
        <f t="shared" si="9"/>
        <v>-754763.8155209953</v>
      </c>
      <c r="AO15" s="482">
        <f t="shared" si="9"/>
        <v>-8279679.969798997</v>
      </c>
      <c r="AP15" s="482">
        <f t="shared" si="9"/>
        <v>-8418811.6904279981</v>
      </c>
      <c r="AQ15" s="482">
        <f t="shared" si="9"/>
        <v>-9064727.144237997</v>
      </c>
      <c r="AR15" s="482">
        <f t="shared" si="9"/>
        <v>-10020380.825296996</v>
      </c>
    </row>
    <row r="16" spans="1:51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F18" si="10">U18+1</f>
        <v>201502</v>
      </c>
      <c r="W18" s="484">
        <f t="shared" si="10"/>
        <v>201503</v>
      </c>
      <c r="X18" s="484">
        <f t="shared" si="10"/>
        <v>201504</v>
      </c>
      <c r="Y18" s="484">
        <f t="shared" si="10"/>
        <v>201505</v>
      </c>
      <c r="Z18" s="484">
        <f t="shared" si="10"/>
        <v>201506</v>
      </c>
      <c r="AA18" s="484">
        <f t="shared" si="10"/>
        <v>201507</v>
      </c>
      <c r="AB18" s="484">
        <f t="shared" si="10"/>
        <v>201508</v>
      </c>
      <c r="AC18" s="484">
        <f t="shared" si="10"/>
        <v>201509</v>
      </c>
      <c r="AD18" s="484">
        <f t="shared" si="10"/>
        <v>201510</v>
      </c>
      <c r="AE18" s="484">
        <f t="shared" si="10"/>
        <v>201511</v>
      </c>
      <c r="AF18" s="484">
        <f t="shared" si="10"/>
        <v>201512</v>
      </c>
      <c r="AG18" s="484">
        <v>201601</v>
      </c>
      <c r="AH18" s="484">
        <f>AG18+1</f>
        <v>201602</v>
      </c>
      <c r="AI18" s="484">
        <f t="shared" ref="AI18:AS18" si="11">AH18+1</f>
        <v>201603</v>
      </c>
      <c r="AJ18" s="484">
        <f t="shared" si="11"/>
        <v>201604</v>
      </c>
      <c r="AK18" s="484">
        <f t="shared" si="11"/>
        <v>201605</v>
      </c>
      <c r="AL18" s="484">
        <f t="shared" si="11"/>
        <v>201606</v>
      </c>
      <c r="AM18" s="484">
        <f t="shared" si="11"/>
        <v>201607</v>
      </c>
      <c r="AN18" s="484">
        <f t="shared" si="11"/>
        <v>201608</v>
      </c>
      <c r="AO18" s="484">
        <f t="shared" si="11"/>
        <v>201609</v>
      </c>
      <c r="AP18" s="484">
        <f t="shared" si="11"/>
        <v>201610</v>
      </c>
      <c r="AQ18" s="484">
        <f t="shared" si="11"/>
        <v>201611</v>
      </c>
      <c r="AR18" s="484">
        <f t="shared" si="11"/>
        <v>201612</v>
      </c>
      <c r="AS18" s="484">
        <f t="shared" si="11"/>
        <v>201613</v>
      </c>
      <c r="AU18" s="558"/>
    </row>
    <row r="19" spans="1:51">
      <c r="A19" s="483"/>
      <c r="B19" s="481" t="s">
        <v>37</v>
      </c>
      <c r="C19" s="491">
        <f>SUM(AG19:AR19)</f>
        <v>23875748</v>
      </c>
      <c r="D19" s="491">
        <f>SUM(AE19:AP19)</f>
        <v>40342808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>
        <f>Mar!$K36</f>
        <v>5909720</v>
      </c>
      <c r="AJ19" s="491">
        <f>Apr!$K36</f>
        <v>2663108</v>
      </c>
      <c r="AK19" s="491"/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f t="shared" ref="C20:C24" si="12">SUM(AG20:AR20)</f>
        <v>8589831</v>
      </c>
      <c r="D20" s="491">
        <f t="shared" ref="D20:D24" si="13">SUM(AE20:AP20)</f>
        <v>13670622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>
        <f>Mar!$K37</f>
        <v>2149496</v>
      </c>
      <c r="AJ20" s="491">
        <f>Apr!$K37</f>
        <v>1257156</v>
      </c>
      <c r="AK20" s="491"/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f t="shared" si="12"/>
        <v>0</v>
      </c>
      <c r="D21" s="491">
        <f t="shared" si="13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f t="shared" si="12"/>
        <v>0</v>
      </c>
      <c r="D22" s="491">
        <f t="shared" si="13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f t="shared" si="12"/>
        <v>0</v>
      </c>
      <c r="D23" s="491">
        <f t="shared" si="13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f t="shared" si="12"/>
        <v>0</v>
      </c>
      <c r="D24" s="491">
        <f t="shared" si="13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>
        <f>Mar!$K41</f>
        <v>0</v>
      </c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f t="shared" ref="C25:C26" si="14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f t="shared" si="14"/>
        <v>0</v>
      </c>
      <c r="D26" s="491">
        <f>SUM(G26:R26)</f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15">SUM(G19:G26)</f>
        <v>9508099</v>
      </c>
      <c r="H27" s="542">
        <f t="shared" si="15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R27" si="16">SUM(U19:U26)</f>
        <v>11809937</v>
      </c>
      <c r="V27" s="542">
        <f t="shared" si="16"/>
        <v>7940694</v>
      </c>
      <c r="W27" s="542">
        <f t="shared" si="16"/>
        <v>7017973</v>
      </c>
      <c r="X27" s="542">
        <f t="shared" si="16"/>
        <v>5254736</v>
      </c>
      <c r="Y27" s="542">
        <f t="shared" si="16"/>
        <v>2699945</v>
      </c>
      <c r="Z27" s="542">
        <f t="shared" si="16"/>
        <v>2074520</v>
      </c>
      <c r="AA27" s="542">
        <f t="shared" si="16"/>
        <v>2156482</v>
      </c>
      <c r="AB27" s="542">
        <f t="shared" si="16"/>
        <v>2252954</v>
      </c>
      <c r="AC27" s="542">
        <f t="shared" si="16"/>
        <v>2632656</v>
      </c>
      <c r="AD27" s="542">
        <f t="shared" si="16"/>
        <v>3869259</v>
      </c>
      <c r="AE27" s="542">
        <f t="shared" si="16"/>
        <v>9627846</v>
      </c>
      <c r="AF27" s="542">
        <f t="shared" si="16"/>
        <v>11920005</v>
      </c>
      <c r="AG27" s="542">
        <f t="shared" si="16"/>
        <v>11685014</v>
      </c>
      <c r="AH27" s="542">
        <f t="shared" si="16"/>
        <v>8801085</v>
      </c>
      <c r="AI27" s="542">
        <f t="shared" si="16"/>
        <v>8059216</v>
      </c>
      <c r="AJ27" s="542">
        <f t="shared" si="16"/>
        <v>3920264</v>
      </c>
      <c r="AK27" s="542">
        <f t="shared" si="16"/>
        <v>0</v>
      </c>
      <c r="AL27" s="542">
        <f t="shared" si="16"/>
        <v>0</v>
      </c>
      <c r="AM27" s="542">
        <f t="shared" si="16"/>
        <v>0</v>
      </c>
      <c r="AN27" s="542">
        <f t="shared" si="16"/>
        <v>0</v>
      </c>
      <c r="AO27" s="542">
        <f t="shared" si="16"/>
        <v>0</v>
      </c>
      <c r="AP27" s="542">
        <f t="shared" si="16"/>
        <v>0</v>
      </c>
      <c r="AQ27" s="542">
        <f t="shared" si="16"/>
        <v>0</v>
      </c>
      <c r="AR27" s="542">
        <f t="shared" si="16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73">
        <v>3920264</v>
      </c>
      <c r="AK28" s="582"/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:AF30" si="17">U30+1</f>
        <v>201502</v>
      </c>
      <c r="W30" s="484">
        <f t="shared" si="17"/>
        <v>201503</v>
      </c>
      <c r="X30" s="484">
        <f t="shared" si="17"/>
        <v>201504</v>
      </c>
      <c r="Y30" s="484">
        <f t="shared" si="17"/>
        <v>201505</v>
      </c>
      <c r="Z30" s="484">
        <f t="shared" si="17"/>
        <v>201506</v>
      </c>
      <c r="AA30" s="484">
        <f t="shared" si="17"/>
        <v>201507</v>
      </c>
      <c r="AB30" s="484">
        <f t="shared" si="17"/>
        <v>201508</v>
      </c>
      <c r="AC30" s="484">
        <f t="shared" si="17"/>
        <v>201509</v>
      </c>
      <c r="AD30" s="484">
        <f t="shared" si="17"/>
        <v>201510</v>
      </c>
      <c r="AE30" s="484">
        <f t="shared" si="17"/>
        <v>201511</v>
      </c>
      <c r="AF30" s="484">
        <f t="shared" si="17"/>
        <v>201512</v>
      </c>
      <c r="AG30" s="484">
        <v>201601</v>
      </c>
      <c r="AH30" s="484">
        <f>AG30+1</f>
        <v>201602</v>
      </c>
      <c r="AI30" s="484">
        <f t="shared" ref="AI30:AR30" si="18">AH30+1</f>
        <v>201603</v>
      </c>
      <c r="AJ30" s="484">
        <f t="shared" si="18"/>
        <v>201604</v>
      </c>
      <c r="AK30" s="484">
        <f t="shared" si="18"/>
        <v>201605</v>
      </c>
      <c r="AL30" s="484">
        <f t="shared" si="18"/>
        <v>201606</v>
      </c>
      <c r="AM30" s="484">
        <f t="shared" si="18"/>
        <v>201607</v>
      </c>
      <c r="AN30" s="484">
        <f t="shared" si="18"/>
        <v>201608</v>
      </c>
      <c r="AO30" s="484">
        <f t="shared" si="18"/>
        <v>201609</v>
      </c>
      <c r="AP30" s="484">
        <f t="shared" si="18"/>
        <v>201610</v>
      </c>
      <c r="AQ30" s="484">
        <f t="shared" si="18"/>
        <v>201611</v>
      </c>
      <c r="AR30" s="484">
        <f t="shared" si="18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:AF40" si="19">U40+1</f>
        <v>201502</v>
      </c>
      <c r="W40" s="484">
        <f t="shared" si="19"/>
        <v>201503</v>
      </c>
      <c r="X40" s="484">
        <f t="shared" si="19"/>
        <v>201504</v>
      </c>
      <c r="Y40" s="484">
        <f t="shared" si="19"/>
        <v>201505</v>
      </c>
      <c r="Z40" s="484">
        <f t="shared" si="19"/>
        <v>201506</v>
      </c>
      <c r="AA40" s="484">
        <f t="shared" si="19"/>
        <v>201507</v>
      </c>
      <c r="AB40" s="484">
        <f t="shared" si="19"/>
        <v>201508</v>
      </c>
      <c r="AC40" s="484">
        <f t="shared" si="19"/>
        <v>201509</v>
      </c>
      <c r="AD40" s="484">
        <f t="shared" si="19"/>
        <v>201510</v>
      </c>
      <c r="AE40" s="484">
        <f t="shared" si="19"/>
        <v>201511</v>
      </c>
      <c r="AF40" s="484">
        <f t="shared" si="19"/>
        <v>201512</v>
      </c>
      <c r="AG40" s="484">
        <v>201601</v>
      </c>
      <c r="AH40" s="484">
        <f>AG40+1</f>
        <v>201602</v>
      </c>
      <c r="AI40" s="484">
        <f t="shared" ref="AI40:AR40" si="20">AH40+1</f>
        <v>201603</v>
      </c>
      <c r="AJ40" s="484">
        <f t="shared" si="20"/>
        <v>201604</v>
      </c>
      <c r="AK40" s="484">
        <f t="shared" si="20"/>
        <v>201605</v>
      </c>
      <c r="AL40" s="484">
        <f t="shared" si="20"/>
        <v>201606</v>
      </c>
      <c r="AM40" s="484">
        <f t="shared" si="20"/>
        <v>201607</v>
      </c>
      <c r="AN40" s="484">
        <f t="shared" si="20"/>
        <v>201608</v>
      </c>
      <c r="AO40" s="484">
        <f t="shared" si="20"/>
        <v>201609</v>
      </c>
      <c r="AP40" s="484">
        <f t="shared" si="20"/>
        <v>201610</v>
      </c>
      <c r="AQ40" s="484">
        <f t="shared" si="20"/>
        <v>201611</v>
      </c>
      <c r="AR40" s="484">
        <f t="shared" si="20"/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f>AT4</f>
        <v>201604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:Y42" si="21">V47</f>
        <v>-1139196.8415066958</v>
      </c>
      <c r="X42" s="482">
        <f t="shared" si="21"/>
        <v>-927936.74257669575</v>
      </c>
      <c r="Y42" s="482">
        <f t="shared" si="21"/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:AE42" si="22">AB47</f>
        <v>-496357.29729955469</v>
      </c>
      <c r="AD42" s="482">
        <f t="shared" si="22"/>
        <v>-416678.50147523766</v>
      </c>
      <c r="AE42" s="482">
        <f t="shared" si="22"/>
        <v>-299312.54063388787</v>
      </c>
      <c r="AF42" s="482">
        <f>AE47</f>
        <v>-1658528.5495927494</v>
      </c>
      <c r="AG42" s="482">
        <f t="shared" ref="AG42:AR42" si="23">AF47</f>
        <v>-1317584.0800507434</v>
      </c>
      <c r="AH42" s="482">
        <f t="shared" si="23"/>
        <v>-983065.53286414407</v>
      </c>
      <c r="AI42" s="482">
        <f t="shared" si="23"/>
        <v>-731100.32081221836</v>
      </c>
      <c r="AJ42" s="482">
        <f t="shared" si="23"/>
        <v>-500233.0713481619</v>
      </c>
      <c r="AK42" s="482">
        <f t="shared" si="23"/>
        <v>-388052.25664285204</v>
      </c>
      <c r="AL42" s="482">
        <f t="shared" si="23"/>
        <v>-388375.63352338772</v>
      </c>
      <c r="AM42" s="482">
        <f t="shared" si="23"/>
        <v>-388699.27988465718</v>
      </c>
      <c r="AN42" s="482">
        <f t="shared" si="23"/>
        <v>-389023.19595122774</v>
      </c>
      <c r="AO42" s="482">
        <f t="shared" si="23"/>
        <v>-389347.38194785378</v>
      </c>
      <c r="AP42" s="482">
        <f t="shared" si="23"/>
        <v>-389671.838099477</v>
      </c>
      <c r="AQ42" s="482">
        <f t="shared" si="23"/>
        <v>-389996.56463122659</v>
      </c>
      <c r="AR42" s="482">
        <f t="shared" si="23"/>
        <v>-390321.56176841928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</row>
    <row r="43" spans="1:51" ht="16.2">
      <c r="B43" s="481" t="s">
        <v>23</v>
      </c>
      <c r="C43" s="482">
        <f>SUM(AG43:AR43)</f>
        <v>932086.77308999992</v>
      </c>
      <c r="D43" s="491">
        <f>SUM(AE43:AP43)</f>
        <v>1550970.77309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24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25">SUMPRODUCT(V19:V26,V31:V38)</f>
        <v>241476.50453999999</v>
      </c>
      <c r="W43" s="482">
        <f t="shared" si="25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26">SUMPRODUCT(AC19:AC26,AC31:AC38)</f>
        <v>80059.068960000004</v>
      </c>
      <c r="AD43" s="482">
        <f t="shared" si="26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27">SUMPRODUCT(AH19:AH24,AH31:AH36)</f>
        <v>252679.15035000001</v>
      </c>
      <c r="AI43" s="563">
        <f t="shared" si="27"/>
        <v>231380.09135999999</v>
      </c>
      <c r="AJ43" s="563">
        <f t="shared" si="27"/>
        <v>112550.77944</v>
      </c>
      <c r="AK43" s="563">
        <f t="shared" si="27"/>
        <v>0</v>
      </c>
      <c r="AL43" s="563">
        <f t="shared" si="27"/>
        <v>0</v>
      </c>
      <c r="AM43" s="563">
        <f t="shared" si="27"/>
        <v>0</v>
      </c>
      <c r="AN43" s="563">
        <f t="shared" si="27"/>
        <v>0</v>
      </c>
      <c r="AO43" s="563">
        <f t="shared" si="27"/>
        <v>0</v>
      </c>
      <c r="AP43" s="563">
        <f t="shared" si="27"/>
        <v>0</v>
      </c>
      <c r="AQ43" s="563">
        <f t="shared" si="27"/>
        <v>0</v>
      </c>
      <c r="AR43" s="563">
        <f t="shared" si="27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369.96473469013495</v>
      </c>
      <c r="AY43" s="500">
        <v>0</v>
      </c>
    </row>
    <row r="44" spans="1:51" ht="16.2">
      <c r="B44" s="481" t="s">
        <v>4</v>
      </c>
      <c r="C44" s="482">
        <f t="shared" ref="C44:C46" si="28">SUM(AG44:AR44)</f>
        <v>-5149.5227758161409</v>
      </c>
      <c r="D44" s="491">
        <f>SUM(AE44:AP44)</f>
        <v>-7253.3670873386345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29">((AC42*(AC41/12))+((AC43/2)*(AC41/12)))</f>
        <v>-380.27313568296228</v>
      </c>
      <c r="AD44" s="489">
        <f t="shared" si="29"/>
        <v>-298.20534865019806</v>
      </c>
      <c r="AE44" s="489">
        <f>((AE42+AE45)*(AE41/12))+(((AE43+AE46)/2)*(AE41/12))</f>
        <v>-1514.5789588615733</v>
      </c>
      <c r="AF44" s="489">
        <f t="shared" ref="AF44:AR44" si="30">((AF42*(AF41/12))+((AF43/2)*(AF41/12)))</f>
        <v>-1239.530457993958</v>
      </c>
      <c r="AG44" s="489">
        <f t="shared" si="30"/>
        <v>-958.20475340061967</v>
      </c>
      <c r="AH44" s="489">
        <f t="shared" si="30"/>
        <v>-713.93829807428676</v>
      </c>
      <c r="AI44" s="489">
        <f t="shared" si="30"/>
        <v>-512.8418959435154</v>
      </c>
      <c r="AJ44" s="489">
        <f t="shared" si="30"/>
        <v>-369.96473469013495</v>
      </c>
      <c r="AK44" s="489">
        <f t="shared" si="30"/>
        <v>-323.37688053571003</v>
      </c>
      <c r="AL44" s="489">
        <f t="shared" si="30"/>
        <v>-323.64636126948977</v>
      </c>
      <c r="AM44" s="489">
        <f t="shared" si="30"/>
        <v>-323.91606657054768</v>
      </c>
      <c r="AN44" s="489">
        <f t="shared" si="30"/>
        <v>-324.18599662602315</v>
      </c>
      <c r="AO44" s="489">
        <f t="shared" si="30"/>
        <v>-324.4561516232115</v>
      </c>
      <c r="AP44" s="489">
        <f t="shared" si="30"/>
        <v>-324.72653174956417</v>
      </c>
      <c r="AQ44" s="489">
        <f t="shared" si="30"/>
        <v>-324.99713719268885</v>
      </c>
      <c r="AR44" s="489">
        <f t="shared" si="30"/>
        <v>-325.26796814034941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112180.81470530987</v>
      </c>
      <c r="AY44" s="500">
        <f>IF((SUMIF(U40:AR40,AT41,U43:AR43)+SUMIF(U40:AR40,AT41,U44:AR44))&lt;0,-(SUMIF(U40:AR40,AT41,U43:AR43)+SUMIF(U40:AR40,AT41,U44:AR44)),0)</f>
        <v>0</v>
      </c>
    </row>
    <row r="45" spans="1:51" ht="16.2">
      <c r="B45" s="481" t="s">
        <v>259</v>
      </c>
      <c r="C45" s="482">
        <f t="shared" si="28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112550.77944</v>
      </c>
    </row>
    <row r="46" spans="1:51" ht="16.2">
      <c r="B46" s="481" t="s">
        <v>148</v>
      </c>
      <c r="C46" s="482">
        <f t="shared" si="28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31">AU44</f>
        <v>191000</v>
      </c>
      <c r="AV46" s="528" t="str">
        <f t="shared" si="31"/>
        <v>GD</v>
      </c>
      <c r="AW46" s="528" t="str">
        <f t="shared" si="31"/>
        <v>ID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32">SUM(F42:F46)</f>
        <v>122203.74560073584</v>
      </c>
      <c r="G47" s="541">
        <f t="shared" si="32"/>
        <v>121907.05607206978</v>
      </c>
      <c r="H47" s="541">
        <f t="shared" si="32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33">SUM(V42:V46)</f>
        <v>-1139196.8415066958</v>
      </c>
      <c r="W47" s="541">
        <f t="shared" si="33"/>
        <v>-927936.74257669575</v>
      </c>
      <c r="X47" s="541">
        <f t="shared" si="33"/>
        <v>-767403.9580847763</v>
      </c>
      <c r="Y47" s="541">
        <f t="shared" si="33"/>
        <v>-685903.92338007619</v>
      </c>
      <c r="Z47" s="541">
        <f t="shared" si="33"/>
        <v>-623363.07088572613</v>
      </c>
      <c r="AA47" s="541">
        <f t="shared" si="33"/>
        <v>-564427.81872858922</v>
      </c>
      <c r="AB47" s="541">
        <f t="shared" si="33"/>
        <v>-496357.29729955469</v>
      </c>
      <c r="AC47" s="541">
        <f t="shared" si="33"/>
        <v>-416678.50147523766</v>
      </c>
      <c r="AD47" s="541">
        <f t="shared" si="33"/>
        <v>-299312.54063388787</v>
      </c>
      <c r="AE47" s="541">
        <f t="shared" si="33"/>
        <v>-1658528.5495927494</v>
      </c>
      <c r="AF47" s="541">
        <f t="shared" si="33"/>
        <v>-1317584.0800507434</v>
      </c>
      <c r="AG47" s="541">
        <f t="shared" si="33"/>
        <v>-983065.53286414407</v>
      </c>
      <c r="AH47" s="541">
        <f t="shared" si="33"/>
        <v>-731100.32081221836</v>
      </c>
      <c r="AI47" s="541">
        <f t="shared" si="33"/>
        <v>-500233.0713481619</v>
      </c>
      <c r="AJ47" s="541">
        <f t="shared" si="33"/>
        <v>-388052.25664285204</v>
      </c>
      <c r="AK47" s="541">
        <f t="shared" si="33"/>
        <v>-388375.63352338772</v>
      </c>
      <c r="AL47" s="541">
        <f t="shared" si="33"/>
        <v>-388699.27988465718</v>
      </c>
      <c r="AM47" s="541">
        <f t="shared" si="33"/>
        <v>-389023.19595122774</v>
      </c>
      <c r="AN47" s="541">
        <f t="shared" si="33"/>
        <v>-389347.38194785378</v>
      </c>
      <c r="AO47" s="541">
        <f t="shared" si="33"/>
        <v>-389671.838099477</v>
      </c>
      <c r="AP47" s="541">
        <f t="shared" si="33"/>
        <v>-389996.56463122659</v>
      </c>
      <c r="AQ47" s="541">
        <f t="shared" si="33"/>
        <v>-390321.56176841928</v>
      </c>
      <c r="AR47" s="541">
        <f t="shared" si="33"/>
        <v>-390646.82973655965</v>
      </c>
      <c r="AT47" s="501" t="str">
        <f>AT46</f>
        <v>Large Customer Refund</v>
      </c>
      <c r="AU47" s="529">
        <f t="shared" si="31"/>
        <v>805110</v>
      </c>
      <c r="AV47" s="529" t="str">
        <f t="shared" si="31"/>
        <v>GD</v>
      </c>
      <c r="AW47" s="529" t="str">
        <f t="shared" si="31"/>
        <v>ID</v>
      </c>
      <c r="AX47" s="503">
        <v>0</v>
      </c>
      <c r="AY47" s="521">
        <f>AX46</f>
        <v>0</v>
      </c>
    </row>
    <row r="48" spans="1:51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34">E47-E48</f>
        <v>2.2137390881653118E-2</v>
      </c>
      <c r="F49" s="482">
        <f t="shared" si="34"/>
        <v>90.56560073584842</v>
      </c>
      <c r="G49" s="482">
        <f t="shared" si="34"/>
        <v>90.646072069779621</v>
      </c>
      <c r="H49" s="482">
        <f t="shared" si="34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AS49" si="35">V47-V48</f>
        <v>-1.506695756688714E-3</v>
      </c>
      <c r="W49" s="482">
        <f t="shared" si="35"/>
        <v>-2.5766957551240921E-3</v>
      </c>
      <c r="X49" s="482">
        <f t="shared" si="35"/>
        <v>1.9152236636728048E-3</v>
      </c>
      <c r="Y49" s="482">
        <f t="shared" si="35"/>
        <v>-3.3800761448219419E-3</v>
      </c>
      <c r="Z49" s="482">
        <f t="shared" si="35"/>
        <v>-8.8572618551552296E-4</v>
      </c>
      <c r="AA49" s="482">
        <f t="shared" si="35"/>
        <v>1.2714107288047671E-3</v>
      </c>
      <c r="AB49" s="482">
        <f t="shared" si="35"/>
        <v>2.7004453004337847E-3</v>
      </c>
      <c r="AC49" s="482">
        <f t="shared" si="35"/>
        <v>-1.4752376591786742E-3</v>
      </c>
      <c r="AD49" s="482">
        <f t="shared" si="35"/>
        <v>-6.3388788839802146E-4</v>
      </c>
      <c r="AE49" s="482">
        <f t="shared" si="35"/>
        <v>4.0725059807300568E-4</v>
      </c>
      <c r="AF49" s="482">
        <f t="shared" si="35"/>
        <v>-5.0743343308568001E-5</v>
      </c>
      <c r="AG49" s="482">
        <f t="shared" si="35"/>
        <v>-2.8641440439969301E-3</v>
      </c>
      <c r="AH49" s="482">
        <f t="shared" si="35"/>
        <v>-8.1221840810030699E-4</v>
      </c>
      <c r="AI49" s="482">
        <f t="shared" si="35"/>
        <v>-1.3481618952937424E-3</v>
      </c>
      <c r="AJ49" s="482">
        <f t="shared" si="35"/>
        <v>-6.6428520367480814E-3</v>
      </c>
      <c r="AK49" s="482">
        <f t="shared" si="35"/>
        <v>-86064.043523387692</v>
      </c>
      <c r="AL49" s="482">
        <f t="shared" si="35"/>
        <v>-154871.57988465717</v>
      </c>
      <c r="AM49" s="482">
        <f t="shared" si="35"/>
        <v>-155195.49595122773</v>
      </c>
      <c r="AN49" s="482">
        <f t="shared" si="35"/>
        <v>-155519.68194785377</v>
      </c>
      <c r="AO49" s="482">
        <f t="shared" si="35"/>
        <v>-389671.838099477</v>
      </c>
      <c r="AP49" s="482">
        <f t="shared" si="35"/>
        <v>-389996.56463122659</v>
      </c>
      <c r="AQ49" s="482">
        <f t="shared" si="35"/>
        <v>-390321.56176841928</v>
      </c>
      <c r="AR49" s="482">
        <f t="shared" si="35"/>
        <v>-390646.82973655965</v>
      </c>
      <c r="AS49" s="482">
        <f t="shared" si="35"/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:AF51" si="36">U51+1</f>
        <v>201502</v>
      </c>
      <c r="W51" s="484">
        <f t="shared" si="36"/>
        <v>201503</v>
      </c>
      <c r="X51" s="484">
        <f t="shared" si="36"/>
        <v>201504</v>
      </c>
      <c r="Y51" s="484">
        <f t="shared" si="36"/>
        <v>201505</v>
      </c>
      <c r="Z51" s="484">
        <f t="shared" si="36"/>
        <v>201506</v>
      </c>
      <c r="AA51" s="484">
        <f t="shared" si="36"/>
        <v>201507</v>
      </c>
      <c r="AB51" s="484">
        <f t="shared" si="36"/>
        <v>201508</v>
      </c>
      <c r="AC51" s="484">
        <f t="shared" si="36"/>
        <v>201509</v>
      </c>
      <c r="AD51" s="484">
        <f t="shared" si="36"/>
        <v>201510</v>
      </c>
      <c r="AE51" s="484">
        <f t="shared" si="36"/>
        <v>201511</v>
      </c>
      <c r="AF51" s="484">
        <f t="shared" si="36"/>
        <v>201512</v>
      </c>
      <c r="AG51" s="484">
        <v>201601</v>
      </c>
      <c r="AH51" s="484">
        <f>AG51+1</f>
        <v>201602</v>
      </c>
      <c r="AI51" s="484">
        <f t="shared" ref="AI51:AR51" si="37">AH51+1</f>
        <v>201603</v>
      </c>
      <c r="AJ51" s="484">
        <f t="shared" si="37"/>
        <v>201604</v>
      </c>
      <c r="AK51" s="484">
        <f t="shared" si="37"/>
        <v>201605</v>
      </c>
      <c r="AL51" s="484">
        <f t="shared" si="37"/>
        <v>201606</v>
      </c>
      <c r="AM51" s="484">
        <f t="shared" si="37"/>
        <v>201607</v>
      </c>
      <c r="AN51" s="484">
        <f t="shared" si="37"/>
        <v>201608</v>
      </c>
      <c r="AO51" s="484">
        <f t="shared" si="37"/>
        <v>201609</v>
      </c>
      <c r="AP51" s="484">
        <f t="shared" si="37"/>
        <v>201610</v>
      </c>
      <c r="AQ51" s="484">
        <f t="shared" si="37"/>
        <v>201611</v>
      </c>
      <c r="AR51" s="484">
        <f t="shared" si="37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>
        <f>Mar!$K36</f>
        <v>5909720</v>
      </c>
      <c r="AJ52" s="491">
        <f>Apr!$K36</f>
        <v>2663108</v>
      </c>
      <c r="AK52" s="491"/>
      <c r="AL52" s="491"/>
      <c r="AM52" s="491"/>
      <c r="AN52" s="491"/>
      <c r="AO52" s="491"/>
      <c r="AP52" s="491"/>
      <c r="AQ52" s="491"/>
      <c r="AR52" s="491"/>
      <c r="AS52" s="491">
        <f>Jan!$K36</f>
        <v>8841051</v>
      </c>
    </row>
    <row r="53" spans="1:45">
      <c r="A53" s="483"/>
      <c r="B53" s="481" t="s">
        <v>38</v>
      </c>
      <c r="C53" s="491">
        <f t="shared" ref="C53:C60" si="38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>
        <f>Mar!$K37</f>
        <v>2149496</v>
      </c>
      <c r="AJ53" s="491">
        <f>Apr!$K37</f>
        <v>1257156</v>
      </c>
      <c r="AK53" s="491">
        <f>Feb!$K37</f>
        <v>2339216</v>
      </c>
      <c r="AL53" s="491">
        <f>Feb!$K37</f>
        <v>2339216</v>
      </c>
      <c r="AM53" s="491">
        <f>Feb!$K37</f>
        <v>2339216</v>
      </c>
      <c r="AN53" s="491">
        <f>Feb!$K37</f>
        <v>2339216</v>
      </c>
      <c r="AO53" s="491">
        <f>Feb!$K37</f>
        <v>2339216</v>
      </c>
      <c r="AP53" s="491">
        <f>Feb!$K37</f>
        <v>2339216</v>
      </c>
      <c r="AQ53" s="491">
        <f>Feb!$K37</f>
        <v>2339216</v>
      </c>
      <c r="AR53" s="491">
        <f>Feb!$K37</f>
        <v>2339216</v>
      </c>
      <c r="AS53" s="491">
        <f>Jan!$K37</f>
        <v>2843963</v>
      </c>
    </row>
    <row r="54" spans="1:45">
      <c r="A54" s="483"/>
      <c r="B54" s="481" t="s">
        <v>39</v>
      </c>
      <c r="C54" s="491">
        <f t="shared" si="38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>
        <f>Mar!$K38</f>
        <v>232</v>
      </c>
      <c r="AJ54" s="491">
        <f>Apr!$K38</f>
        <v>11807</v>
      </c>
      <c r="AK54" s="491"/>
      <c r="AL54" s="491"/>
      <c r="AM54" s="491"/>
      <c r="AN54" s="491"/>
      <c r="AO54" s="491"/>
      <c r="AP54" s="491"/>
      <c r="AQ54" s="491"/>
      <c r="AR54" s="491"/>
      <c r="AS54" s="491">
        <f>Jan!$K38</f>
        <v>2754</v>
      </c>
    </row>
    <row r="55" spans="1:45">
      <c r="A55" s="483"/>
      <c r="B55" s="481" t="s">
        <v>40</v>
      </c>
      <c r="C55" s="491">
        <f t="shared" si="38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>
        <f>Mar!$K39</f>
        <v>0</v>
      </c>
      <c r="AJ55" s="491">
        <f>Apr!$K39</f>
        <v>0</v>
      </c>
      <c r="AK55" s="491"/>
      <c r="AL55" s="491"/>
      <c r="AM55" s="491"/>
      <c r="AN55" s="491"/>
      <c r="AO55" s="491"/>
      <c r="AP55" s="491"/>
      <c r="AQ55" s="491"/>
      <c r="AR55" s="491"/>
      <c r="AS55" s="491">
        <f>Jan!$K39</f>
        <v>0</v>
      </c>
    </row>
    <row r="56" spans="1:45" hidden="1">
      <c r="A56" s="483"/>
      <c r="B56" s="481" t="s">
        <v>41</v>
      </c>
      <c r="C56" s="491">
        <f t="shared" si="38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f t="shared" si="38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f t="shared" si="38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>
        <f>Mar!$K42</f>
        <v>0</v>
      </c>
      <c r="AJ58" s="491">
        <f>Apr!$K42</f>
        <v>0</v>
      </c>
      <c r="AK58" s="491"/>
      <c r="AL58" s="491"/>
      <c r="AM58" s="491"/>
      <c r="AN58" s="491"/>
      <c r="AO58" s="491"/>
      <c r="AP58" s="491"/>
      <c r="AQ58" s="491"/>
      <c r="AR58" s="491"/>
      <c r="AS58" s="491">
        <f>Jan!$K42</f>
        <v>0</v>
      </c>
    </row>
    <row r="59" spans="1:45" hidden="1">
      <c r="A59" s="483"/>
      <c r="B59" s="481" t="s">
        <v>74</v>
      </c>
      <c r="C59" s="491">
        <f t="shared" ref="C59" si="39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thickBot="1">
      <c r="A60" s="483"/>
      <c r="B60" s="481" t="s">
        <v>21</v>
      </c>
      <c r="C60" s="542">
        <f t="shared" si="38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40">SUM(G52:G59)</f>
        <v>9560411</v>
      </c>
      <c r="H60" s="542">
        <f t="shared" si="40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S60" si="41">SUM(U52:U59)</f>
        <v>11853389</v>
      </c>
      <c r="V60" s="542">
        <f t="shared" si="41"/>
        <v>7975879</v>
      </c>
      <c r="W60" s="542">
        <f t="shared" si="41"/>
        <v>7051984</v>
      </c>
      <c r="X60" s="542">
        <f t="shared" si="41"/>
        <v>5286030</v>
      </c>
      <c r="Y60" s="542">
        <f t="shared" si="41"/>
        <v>2733897</v>
      </c>
      <c r="Z60" s="542">
        <f t="shared" si="41"/>
        <v>2096440</v>
      </c>
      <c r="AA60" s="542">
        <f t="shared" si="41"/>
        <v>1982316</v>
      </c>
      <c r="AB60" s="542">
        <f t="shared" si="41"/>
        <v>2300576</v>
      </c>
      <c r="AC60" s="542">
        <f t="shared" si="41"/>
        <v>2659390</v>
      </c>
      <c r="AD60" s="542">
        <f t="shared" si="41"/>
        <v>3938193</v>
      </c>
      <c r="AE60" s="542">
        <f t="shared" si="41"/>
        <v>9651342</v>
      </c>
      <c r="AF60" s="542">
        <f t="shared" si="41"/>
        <v>11926102</v>
      </c>
      <c r="AG60" s="542">
        <f t="shared" si="41"/>
        <v>11687768</v>
      </c>
      <c r="AH60" s="542">
        <f t="shared" si="41"/>
        <v>8803437</v>
      </c>
      <c r="AI60" s="542">
        <f t="shared" si="41"/>
        <v>8059448</v>
      </c>
      <c r="AJ60" s="542">
        <f t="shared" si="41"/>
        <v>3932071</v>
      </c>
      <c r="AK60" s="542">
        <f t="shared" si="41"/>
        <v>2339216</v>
      </c>
      <c r="AL60" s="542">
        <f t="shared" si="41"/>
        <v>2339216</v>
      </c>
      <c r="AM60" s="542">
        <f t="shared" si="41"/>
        <v>2339216</v>
      </c>
      <c r="AN60" s="542">
        <f t="shared" si="41"/>
        <v>2339216</v>
      </c>
      <c r="AO60" s="542">
        <f t="shared" si="41"/>
        <v>2339216</v>
      </c>
      <c r="AP60" s="542">
        <f t="shared" si="41"/>
        <v>6277409</v>
      </c>
      <c r="AQ60" s="542">
        <f t="shared" si="41"/>
        <v>2339216</v>
      </c>
      <c r="AR60" s="542">
        <f t="shared" si="41"/>
        <v>2339216</v>
      </c>
      <c r="AS60" s="542">
        <f t="shared" si="41"/>
        <v>11687768</v>
      </c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73">
        <v>3932071</v>
      </c>
      <c r="AK61" s="582"/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:AF63" si="42">U63+1</f>
        <v>201502</v>
      </c>
      <c r="W63" s="484">
        <f t="shared" si="42"/>
        <v>201503</v>
      </c>
      <c r="X63" s="484">
        <f t="shared" si="42"/>
        <v>201504</v>
      </c>
      <c r="Y63" s="484">
        <f t="shared" si="42"/>
        <v>201505</v>
      </c>
      <c r="Z63" s="484">
        <f t="shared" si="42"/>
        <v>201506</v>
      </c>
      <c r="AA63" s="484">
        <f t="shared" si="42"/>
        <v>201507</v>
      </c>
      <c r="AB63" s="484">
        <f t="shared" si="42"/>
        <v>201508</v>
      </c>
      <c r="AC63" s="484">
        <f t="shared" si="42"/>
        <v>201509</v>
      </c>
      <c r="AD63" s="484">
        <f t="shared" si="42"/>
        <v>201510</v>
      </c>
      <c r="AE63" s="484">
        <f t="shared" si="42"/>
        <v>201511</v>
      </c>
      <c r="AF63" s="484">
        <f t="shared" si="42"/>
        <v>201512</v>
      </c>
      <c r="AG63" s="484">
        <v>201601</v>
      </c>
      <c r="AH63" s="484">
        <f>AG63+1</f>
        <v>201602</v>
      </c>
      <c r="AI63" s="484">
        <f t="shared" ref="AI63:AR63" si="43">AH63+1</f>
        <v>201603</v>
      </c>
      <c r="AJ63" s="484">
        <f t="shared" si="43"/>
        <v>201604</v>
      </c>
      <c r="AK63" s="484">
        <f t="shared" si="43"/>
        <v>201605</v>
      </c>
      <c r="AL63" s="484">
        <f t="shared" si="43"/>
        <v>201606</v>
      </c>
      <c r="AM63" s="484">
        <f t="shared" si="43"/>
        <v>201607</v>
      </c>
      <c r="AN63" s="484">
        <f t="shared" si="43"/>
        <v>201608</v>
      </c>
      <c r="AO63" s="484">
        <f t="shared" si="43"/>
        <v>201609</v>
      </c>
      <c r="AP63" s="484">
        <f t="shared" si="43"/>
        <v>201610</v>
      </c>
      <c r="AQ63" s="484">
        <f t="shared" si="43"/>
        <v>201611</v>
      </c>
      <c r="AR63" s="484">
        <f t="shared" si="43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:AF73" si="44">U73+1</f>
        <v>201502</v>
      </c>
      <c r="W73" s="484">
        <f t="shared" si="44"/>
        <v>201503</v>
      </c>
      <c r="X73" s="484">
        <f t="shared" si="44"/>
        <v>201504</v>
      </c>
      <c r="Y73" s="484">
        <f t="shared" si="44"/>
        <v>201505</v>
      </c>
      <c r="Z73" s="484">
        <f t="shared" si="44"/>
        <v>201506</v>
      </c>
      <c r="AA73" s="484">
        <f t="shared" si="44"/>
        <v>201507</v>
      </c>
      <c r="AB73" s="484">
        <f t="shared" si="44"/>
        <v>201508</v>
      </c>
      <c r="AC73" s="484">
        <f t="shared" si="44"/>
        <v>201509</v>
      </c>
      <c r="AD73" s="484">
        <f t="shared" si="44"/>
        <v>201510</v>
      </c>
      <c r="AE73" s="484">
        <f t="shared" si="44"/>
        <v>201511</v>
      </c>
      <c r="AF73" s="484">
        <f t="shared" si="44"/>
        <v>201512</v>
      </c>
      <c r="AG73" s="484">
        <v>201601</v>
      </c>
      <c r="AH73" s="484">
        <f>AG73+1</f>
        <v>201602</v>
      </c>
      <c r="AI73" s="484">
        <f t="shared" ref="AI73:AR73" si="45">AH73+1</f>
        <v>201603</v>
      </c>
      <c r="AJ73" s="484">
        <f t="shared" si="45"/>
        <v>201604</v>
      </c>
      <c r="AK73" s="484">
        <f t="shared" si="45"/>
        <v>201605</v>
      </c>
      <c r="AL73" s="484">
        <f t="shared" si="45"/>
        <v>201606</v>
      </c>
      <c r="AM73" s="484">
        <f t="shared" si="45"/>
        <v>201607</v>
      </c>
      <c r="AN73" s="484">
        <f t="shared" si="45"/>
        <v>201608</v>
      </c>
      <c r="AO73" s="484">
        <f t="shared" si="45"/>
        <v>201609</v>
      </c>
      <c r="AP73" s="484">
        <f t="shared" si="45"/>
        <v>201610</v>
      </c>
      <c r="AQ73" s="484">
        <f t="shared" si="45"/>
        <v>201611</v>
      </c>
      <c r="AR73" s="484">
        <f t="shared" si="45"/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f>AT4</f>
        <v>201604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46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:AR75" si="47">AA79</f>
        <v>-11951.205399782522</v>
      </c>
      <c r="AC75" s="482">
        <f t="shared" si="47"/>
        <v>-11961.164737615674</v>
      </c>
      <c r="AD75" s="482">
        <f t="shared" si="47"/>
        <v>-11971.132374897021</v>
      </c>
      <c r="AE75" s="482">
        <f t="shared" si="47"/>
        <v>-11981.108318542769</v>
      </c>
      <c r="AF75" s="482">
        <f t="shared" si="47"/>
        <v>-11991.092575474888</v>
      </c>
      <c r="AG75" s="482">
        <f t="shared" si="47"/>
        <v>-12001.085152621117</v>
      </c>
      <c r="AH75" s="482">
        <f t="shared" si="47"/>
        <v>-12011.086056914968</v>
      </c>
      <c r="AI75" s="482">
        <f t="shared" si="47"/>
        <v>-12021.09529529573</v>
      </c>
      <c r="AJ75" s="482">
        <f t="shared" si="47"/>
        <v>-12031.112874708477</v>
      </c>
      <c r="AK75" s="482">
        <f t="shared" si="47"/>
        <v>-12041.138802104068</v>
      </c>
      <c r="AL75" s="482">
        <f t="shared" si="47"/>
        <v>-12051.173084439155</v>
      </c>
      <c r="AM75" s="482">
        <f t="shared" si="47"/>
        <v>-12061.215728676189</v>
      </c>
      <c r="AN75" s="482">
        <f t="shared" si="47"/>
        <v>-12071.266741783418</v>
      </c>
      <c r="AO75" s="482">
        <f t="shared" si="47"/>
        <v>-12081.326130734904</v>
      </c>
      <c r="AP75" s="482">
        <f t="shared" si="47"/>
        <v>-12091.393902510516</v>
      </c>
      <c r="AQ75" s="482">
        <f t="shared" si="47"/>
        <v>-12101.470064095942</v>
      </c>
      <c r="AR75" s="482">
        <f t="shared" si="47"/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51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48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10.025927395590397</v>
      </c>
      <c r="AY76" s="500">
        <v>0</v>
      </c>
    </row>
    <row r="77" spans="1:51" ht="16.2">
      <c r="B77" s="481" t="s">
        <v>4</v>
      </c>
      <c r="C77" s="482">
        <f t="shared" ref="C77:C78" si="49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50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50"/>
        <v>-9.9593378331521034</v>
      </c>
      <c r="AC77" s="489">
        <f t="shared" si="50"/>
        <v>-9.9676372813463967</v>
      </c>
      <c r="AD77" s="489">
        <f t="shared" si="50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51">((AG75*(AG74/12))+((AG76/2)*(AG74/12)))</f>
        <v>-10.000904293850931</v>
      </c>
      <c r="AH77" s="489">
        <f t="shared" si="51"/>
        <v>-10.009238380762474</v>
      </c>
      <c r="AI77" s="489">
        <f t="shared" si="51"/>
        <v>-10.017579412746443</v>
      </c>
      <c r="AJ77" s="489">
        <f t="shared" si="51"/>
        <v>-10.025927395590397</v>
      </c>
      <c r="AK77" s="489">
        <f t="shared" si="51"/>
        <v>-10.034282335086724</v>
      </c>
      <c r="AL77" s="489">
        <f t="shared" si="51"/>
        <v>-10.042644237032629</v>
      </c>
      <c r="AM77" s="489">
        <f t="shared" si="51"/>
        <v>-10.051013107230158</v>
      </c>
      <c r="AN77" s="489">
        <f t="shared" si="51"/>
        <v>-10.059388951486183</v>
      </c>
      <c r="AO77" s="489">
        <f t="shared" si="51"/>
        <v>-10.067771775612421</v>
      </c>
      <c r="AP77" s="489">
        <f t="shared" si="51"/>
        <v>-10.07616158542543</v>
      </c>
      <c r="AQ77" s="489">
        <f t="shared" si="51"/>
        <v>-10.084558386746618</v>
      </c>
      <c r="AR77" s="489">
        <f t="shared" si="51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10.025927395590397</v>
      </c>
    </row>
    <row r="78" spans="1:51" ht="16.2">
      <c r="B78" s="481" t="s">
        <v>148</v>
      </c>
      <c r="C78" s="482">
        <f t="shared" si="49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52">SUM(V75:V78)</f>
        <v>-11901.532960675278</v>
      </c>
      <c r="W79" s="541">
        <f t="shared" si="52"/>
        <v>-11911.450904809175</v>
      </c>
      <c r="X79" s="541">
        <f t="shared" si="52"/>
        <v>-11921.377113896517</v>
      </c>
      <c r="Y79" s="541">
        <f t="shared" si="52"/>
        <v>-11931.311594824763</v>
      </c>
      <c r="Z79" s="541">
        <f t="shared" si="52"/>
        <v>-11941.254354487117</v>
      </c>
      <c r="AA79" s="541">
        <f t="shared" si="52"/>
        <v>-11951.205399782522</v>
      </c>
      <c r="AB79" s="541">
        <f t="shared" si="52"/>
        <v>-11961.164737615674</v>
      </c>
      <c r="AC79" s="541">
        <f t="shared" si="52"/>
        <v>-11971.132374897021</v>
      </c>
      <c r="AD79" s="541">
        <f t="shared" si="52"/>
        <v>-11981.108318542769</v>
      </c>
      <c r="AE79" s="541">
        <f t="shared" si="52"/>
        <v>-11991.092575474888</v>
      </c>
      <c r="AF79" s="541">
        <f t="shared" si="52"/>
        <v>-12001.085152621117</v>
      </c>
      <c r="AG79" s="541">
        <f t="shared" si="52"/>
        <v>-12011.086056914968</v>
      </c>
      <c r="AH79" s="541">
        <f t="shared" si="52"/>
        <v>-12021.09529529573</v>
      </c>
      <c r="AI79" s="541">
        <f t="shared" si="52"/>
        <v>-12031.112874708477</v>
      </c>
      <c r="AJ79" s="541">
        <f t="shared" si="52"/>
        <v>-12041.138802104068</v>
      </c>
      <c r="AK79" s="541">
        <f t="shared" si="52"/>
        <v>-12051.173084439155</v>
      </c>
      <c r="AL79" s="541">
        <f t="shared" si="52"/>
        <v>-12061.215728676189</v>
      </c>
      <c r="AM79" s="541">
        <f t="shared" si="52"/>
        <v>-12071.266741783418</v>
      </c>
      <c r="AN79" s="541">
        <f t="shared" si="52"/>
        <v>-12081.326130734904</v>
      </c>
      <c r="AO79" s="541">
        <f t="shared" si="52"/>
        <v>-12091.393902510516</v>
      </c>
      <c r="AP79" s="541">
        <f t="shared" si="52"/>
        <v>-12101.470064095942</v>
      </c>
      <c r="AQ79" s="541">
        <f t="shared" si="52"/>
        <v>-12111.554622482689</v>
      </c>
      <c r="AR79" s="541">
        <f t="shared" si="52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R81" si="53">V79-V80</f>
        <v>1.7039324720826698E-2</v>
      </c>
      <c r="W81" s="482">
        <f t="shared" si="53"/>
        <v>1.9095190824373276E-2</v>
      </c>
      <c r="X81" s="482">
        <f t="shared" si="53"/>
        <v>2.2886103482960607E-2</v>
      </c>
      <c r="Y81" s="482">
        <f t="shared" si="53"/>
        <v>1.8405175236694049E-2</v>
      </c>
      <c r="Z81" s="482">
        <f t="shared" si="53"/>
        <v>1.5645512883565971E-2</v>
      </c>
      <c r="AA81" s="482">
        <f t="shared" si="53"/>
        <v>1.4600217476981925E-2</v>
      </c>
      <c r="AB81" s="482">
        <f t="shared" si="53"/>
        <v>1.5262384325978928E-2</v>
      </c>
      <c r="AC81" s="482">
        <f t="shared" si="53"/>
        <v>1.7625102978854557E-2</v>
      </c>
      <c r="AD81" s="482">
        <f t="shared" si="53"/>
        <v>2.1681457230442902E-2</v>
      </c>
      <c r="AE81" s="482">
        <f t="shared" si="53"/>
        <v>1.7424525112801348E-2</v>
      </c>
      <c r="AF81" s="482">
        <f t="shared" si="53"/>
        <v>1.4847378883132478E-2</v>
      </c>
      <c r="AG81" s="482">
        <f t="shared" si="53"/>
        <v>1.3943085032224189E-2</v>
      </c>
      <c r="AH81" s="482">
        <f t="shared" si="53"/>
        <v>1.4704704270116054E-2</v>
      </c>
      <c r="AI81" s="482">
        <f t="shared" si="53"/>
        <v>1.7125291522461339E-2</v>
      </c>
      <c r="AJ81" s="482">
        <f t="shared" si="53"/>
        <v>2.1197895932346E-2</v>
      </c>
      <c r="AK81" s="482">
        <f t="shared" si="53"/>
        <v>1.6915560845518485E-2</v>
      </c>
      <c r="AL81" s="482">
        <f t="shared" si="53"/>
        <v>1.4271323811044567E-2</v>
      </c>
      <c r="AM81" s="482">
        <f t="shared" si="53"/>
        <v>-10.03674178341862</v>
      </c>
      <c r="AN81" s="482">
        <f t="shared" si="53"/>
        <v>-20.096130734904364</v>
      </c>
      <c r="AO81" s="482">
        <f t="shared" si="53"/>
        <v>-12091.393902510516</v>
      </c>
      <c r="AP81" s="482">
        <f t="shared" si="53"/>
        <v>-12101.470064095942</v>
      </c>
      <c r="AQ81" s="482">
        <f t="shared" si="53"/>
        <v>-12111.554622482689</v>
      </c>
      <c r="AR81" s="482">
        <f t="shared" si="53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322" priority="26" operator="notEqual">
      <formula>E27</formula>
    </cfRule>
  </conditionalFormatting>
  <conditionalFormatting sqref="F28">
    <cfRule type="cellIs" dxfId="321" priority="25" operator="notEqual">
      <formula>F27</formula>
    </cfRule>
  </conditionalFormatting>
  <conditionalFormatting sqref="G28">
    <cfRule type="cellIs" dxfId="320" priority="24" operator="notEqual">
      <formula>G27</formula>
    </cfRule>
  </conditionalFormatting>
  <conditionalFormatting sqref="H28">
    <cfRule type="cellIs" dxfId="319" priority="23" operator="notEqual">
      <formula>H27</formula>
    </cfRule>
  </conditionalFormatting>
  <conditionalFormatting sqref="C28">
    <cfRule type="cellIs" dxfId="318" priority="22" operator="notEqual">
      <formula>C27</formula>
    </cfRule>
  </conditionalFormatting>
  <conditionalFormatting sqref="F61">
    <cfRule type="cellIs" dxfId="317" priority="21" operator="notEqual">
      <formula>F60</formula>
    </cfRule>
  </conditionalFormatting>
  <conditionalFormatting sqref="G61">
    <cfRule type="cellIs" dxfId="316" priority="20" operator="notEqual">
      <formula>G60</formula>
    </cfRule>
  </conditionalFormatting>
  <conditionalFormatting sqref="H61">
    <cfRule type="cellIs" dxfId="315" priority="19" operator="notEqual">
      <formula>H60</formula>
    </cfRule>
  </conditionalFormatting>
  <conditionalFormatting sqref="C61">
    <cfRule type="cellIs" dxfId="314" priority="18" operator="notEqual">
      <formula>C60</formula>
    </cfRule>
  </conditionalFormatting>
  <conditionalFormatting sqref="I61">
    <cfRule type="cellIs" dxfId="313" priority="17" operator="notEqual">
      <formula>I60</formula>
    </cfRule>
  </conditionalFormatting>
  <conditionalFormatting sqref="AY81 AY48 AY11">
    <cfRule type="cellIs" dxfId="312" priority="16" operator="notEqual">
      <formula>0</formula>
    </cfRule>
  </conditionalFormatting>
  <conditionalFormatting sqref="I28">
    <cfRule type="cellIs" dxfId="311" priority="15" operator="notEqual">
      <formula>I27</formula>
    </cfRule>
  </conditionalFormatting>
  <conditionalFormatting sqref="J28">
    <cfRule type="cellIs" dxfId="310" priority="14" operator="notEqual">
      <formula>J27</formula>
    </cfRule>
  </conditionalFormatting>
  <conditionalFormatting sqref="J61">
    <cfRule type="cellIs" dxfId="309" priority="13" operator="notEqual">
      <formula>J60</formula>
    </cfRule>
  </conditionalFormatting>
  <conditionalFormatting sqref="K28">
    <cfRule type="cellIs" dxfId="308" priority="12" operator="notEqual">
      <formula>K27</formula>
    </cfRule>
  </conditionalFormatting>
  <conditionalFormatting sqref="K61">
    <cfRule type="cellIs" dxfId="307" priority="11" operator="notEqual">
      <formula>K60</formula>
    </cfRule>
  </conditionalFormatting>
  <conditionalFormatting sqref="L28:M28">
    <cfRule type="cellIs" dxfId="306" priority="10" operator="notEqual">
      <formula>L27</formula>
    </cfRule>
  </conditionalFormatting>
  <conditionalFormatting sqref="N28">
    <cfRule type="cellIs" dxfId="305" priority="9" operator="notEqual">
      <formula>N27</formula>
    </cfRule>
  </conditionalFormatting>
  <conditionalFormatting sqref="U61">
    <cfRule type="cellIs" dxfId="304" priority="8" operator="notEqual">
      <formula>U60</formula>
    </cfRule>
  </conditionalFormatting>
  <conditionalFormatting sqref="U28:V28">
    <cfRule type="cellIs" dxfId="303" priority="7" operator="notEqual">
      <formula>U27</formula>
    </cfRule>
  </conditionalFormatting>
  <conditionalFormatting sqref="V28">
    <cfRule type="cellIs" dxfId="302" priority="6" operator="notEqual">
      <formula>V27</formula>
    </cfRule>
  </conditionalFormatting>
  <conditionalFormatting sqref="V61">
    <cfRule type="cellIs" dxfId="301" priority="5" operator="notEqual">
      <formula>V60</formula>
    </cfRule>
  </conditionalFormatting>
  <conditionalFormatting sqref="W28">
    <cfRule type="cellIs" dxfId="300" priority="4" operator="notEqual">
      <formula>W27</formula>
    </cfRule>
  </conditionalFormatting>
  <conditionalFormatting sqref="W61">
    <cfRule type="cellIs" dxfId="299" priority="3" operator="notEqual">
      <formula>W60</formula>
    </cfRule>
  </conditionalFormatting>
  <conditionalFormatting sqref="X28:Y28">
    <cfRule type="cellIs" dxfId="298" priority="2" operator="notEqual">
      <formula>X27</formula>
    </cfRule>
  </conditionalFormatting>
  <conditionalFormatting sqref="Z28">
    <cfRule type="cellIs" dxfId="297" priority="1" operator="notEqual">
      <formula>Z27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topLeftCell="A11" zoomScale="89" zoomScaleNormal="89" zoomScaleSheetLayoutView="85" workbookViewId="0">
      <selection activeCell="AE67" sqref="AE67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5" width="16.33203125" style="482" customWidth="1"/>
    <col min="36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F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 t="shared" si="0"/>
        <v>201511</v>
      </c>
      <c r="AF3" s="484">
        <f t="shared" si="0"/>
        <v>201512</v>
      </c>
      <c r="AG3" s="484">
        <v>201601</v>
      </c>
      <c r="AH3" s="484">
        <f>AG3+1</f>
        <v>201602</v>
      </c>
      <c r="AI3" s="484">
        <f t="shared" ref="AI3:AR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 t="shared" si="1"/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 t="shared" si="1"/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201603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:AR5" si="2">AE13</f>
        <v>-2684344.9824949973</v>
      </c>
      <c r="AG5" s="482">
        <f t="shared" si="2"/>
        <v>-3634681.6735539967</v>
      </c>
      <c r="AH5" s="482">
        <f t="shared" si="2"/>
        <v>-4349728.1832369966</v>
      </c>
      <c r="AI5" s="482">
        <f t="shared" si="2"/>
        <v>-4647235.483478996</v>
      </c>
      <c r="AJ5" s="482">
        <f t="shared" si="2"/>
        <v>-5147221.2688729959</v>
      </c>
      <c r="AK5" s="482">
        <f t="shared" si="2"/>
        <v>-6002096.6110229967</v>
      </c>
      <c r="AL5" s="482">
        <f t="shared" si="2"/>
        <v>-6406273.944958997</v>
      </c>
      <c r="AM5" s="482">
        <f t="shared" si="2"/>
        <v>-7224717.6167209959</v>
      </c>
      <c r="AN5" s="482">
        <f t="shared" si="2"/>
        <v>-7883900.3474069955</v>
      </c>
      <c r="AO5" s="482">
        <f t="shared" si="2"/>
        <v>-7979481.4255209956</v>
      </c>
      <c r="AP5" s="482">
        <f t="shared" si="2"/>
        <v>-8279679.969798997</v>
      </c>
      <c r="AQ5" s="482">
        <f t="shared" si="2"/>
        <v>-8418811.6904279981</v>
      </c>
      <c r="AR5" s="482">
        <f t="shared" si="2"/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4079.32</v>
      </c>
      <c r="AY6" s="500">
        <v>0</v>
      </c>
    </row>
    <row r="7" spans="1:51" ht="16.2">
      <c r="B7" s="481" t="s">
        <v>255</v>
      </c>
      <c r="C7" s="482">
        <f t="shared" ref="C7:C12" si="3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499985.78539399913</v>
      </c>
    </row>
    <row r="8" spans="1:51" ht="16.2">
      <c r="B8" s="481" t="s">
        <v>258</v>
      </c>
      <c r="C8" s="482">
        <f t="shared" si="3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4">ROUND(((AG5+AG9+AG10+AG11)*(AG4/12))+((SUM(AG6:AG7)/2)*(AG4/12)),2)</f>
        <v>-3325.45</v>
      </c>
      <c r="AH8" s="489">
        <f t="shared" si="4"/>
        <v>-3747.17</v>
      </c>
      <c r="AI8" s="489">
        <f t="shared" si="4"/>
        <v>-4079.32</v>
      </c>
      <c r="AJ8" s="489">
        <f t="shared" si="4"/>
        <v>-4643.6099999999997</v>
      </c>
      <c r="AK8" s="489">
        <f t="shared" si="4"/>
        <v>-5168</v>
      </c>
      <c r="AL8" s="489">
        <f t="shared" si="4"/>
        <v>-5677.21</v>
      </c>
      <c r="AM8" s="489">
        <f t="shared" si="4"/>
        <v>-6292.64</v>
      </c>
      <c r="AN8" s="489">
        <f t="shared" si="4"/>
        <v>-6606.99</v>
      </c>
      <c r="AO8" s="489">
        <f t="shared" si="4"/>
        <v>-6771.83</v>
      </c>
      <c r="AP8" s="489">
        <f t="shared" si="4"/>
        <v>-6954.81</v>
      </c>
      <c r="AQ8" s="489">
        <f t="shared" si="4"/>
        <v>-7281.77</v>
      </c>
      <c r="AR8" s="489">
        <f t="shared" si="4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495906.46539399913</v>
      </c>
      <c r="AY8" s="462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5">SUM(F5:F12)</f>
        <v>-179650.44284699953</v>
      </c>
      <c r="G13" s="541">
        <f t="shared" si="5"/>
        <v>-770749.33284699952</v>
      </c>
      <c r="H13" s="541">
        <f t="shared" si="5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6">SUM(U5:U12)</f>
        <v>-645308.82581999747</v>
      </c>
      <c r="V13" s="541">
        <f t="shared" si="6"/>
        <v>-754837.52375499834</v>
      </c>
      <c r="W13" s="541">
        <f t="shared" si="6"/>
        <v>-287477.8915199968</v>
      </c>
      <c r="X13" s="541">
        <f t="shared" si="6"/>
        <v>-1224292.1730279976</v>
      </c>
      <c r="Y13" s="541">
        <f t="shared" si="6"/>
        <v>-1390232.6525299973</v>
      </c>
      <c r="Z13" s="541">
        <f t="shared" si="6"/>
        <v>-1678662.999059998</v>
      </c>
      <c r="AA13" s="541">
        <f t="shared" si="6"/>
        <v>-2022423.1820719973</v>
      </c>
      <c r="AB13" s="541">
        <f t="shared" si="6"/>
        <v>-2418884.2503219969</v>
      </c>
      <c r="AC13" s="541">
        <f t="shared" si="6"/>
        <v>-3067053.2533299979</v>
      </c>
      <c r="AD13" s="541">
        <f t="shared" si="6"/>
        <v>-3722405.068684998</v>
      </c>
      <c r="AE13" s="541">
        <f t="shared" si="6"/>
        <v>-2684344.9824949973</v>
      </c>
      <c r="AF13" s="541">
        <f t="shared" si="6"/>
        <v>-3634681.6735539967</v>
      </c>
      <c r="AG13" s="541">
        <f t="shared" si="6"/>
        <v>-4349728.1832369966</v>
      </c>
      <c r="AH13" s="541">
        <f t="shared" si="6"/>
        <v>-4647235.483478996</v>
      </c>
      <c r="AI13" s="541">
        <f t="shared" si="6"/>
        <v>-5147221.2688729959</v>
      </c>
      <c r="AJ13" s="541">
        <f t="shared" si="6"/>
        <v>-6002096.6110229967</v>
      </c>
      <c r="AK13" s="541">
        <f t="shared" si="6"/>
        <v>-6406273.944958997</v>
      </c>
      <c r="AL13" s="541">
        <f t="shared" si="6"/>
        <v>-7224717.6167209959</v>
      </c>
      <c r="AM13" s="541">
        <f t="shared" si="6"/>
        <v>-7883900.3474069955</v>
      </c>
      <c r="AN13" s="541">
        <f t="shared" si="6"/>
        <v>-7979481.4255209956</v>
      </c>
      <c r="AO13" s="541">
        <f t="shared" si="6"/>
        <v>-8279679.969798997</v>
      </c>
      <c r="AP13" s="541">
        <f t="shared" si="6"/>
        <v>-8418811.6904279981</v>
      </c>
      <c r="AQ13" s="541">
        <f t="shared" si="6"/>
        <v>-9064727.144237997</v>
      </c>
      <c r="AR13" s="541">
        <f t="shared" si="6"/>
        <v>-10020380.825296996</v>
      </c>
    </row>
    <row r="14" spans="1:51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51">
      <c r="B15" s="481" t="s">
        <v>245</v>
      </c>
      <c r="E15" s="482">
        <f t="shared" ref="E15:H15" si="7">E13-E14</f>
        <v>-1.5300058177672327E-2</v>
      </c>
      <c r="F15" s="482">
        <f t="shared" si="7"/>
        <v>-2.2846999519970268E-2</v>
      </c>
      <c r="G15" s="482">
        <f t="shared" si="7"/>
        <v>-2.2846999461762607E-2</v>
      </c>
      <c r="H15" s="482">
        <f t="shared" si="7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8">S13-S14</f>
        <v>8.8100053835660219E-4</v>
      </c>
      <c r="T15" s="482">
        <f t="shared" si="8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R15" si="9">W13-W14</f>
        <v>-1.5199967892840505E-3</v>
      </c>
      <c r="X15" s="482">
        <f t="shared" si="9"/>
        <v>-3.0279976781457663E-3</v>
      </c>
      <c r="Y15" s="482">
        <f t="shared" si="9"/>
        <v>-2.5299973785877228E-3</v>
      </c>
      <c r="Z15" s="482">
        <f t="shared" si="9"/>
        <v>9.4000203534960747E-4</v>
      </c>
      <c r="AA15" s="482">
        <f t="shared" si="9"/>
        <v>-2.0719973836094141E-3</v>
      </c>
      <c r="AB15" s="482">
        <f t="shared" si="9"/>
        <v>-3.2199686393141747E-4</v>
      </c>
      <c r="AC15" s="482">
        <f t="shared" si="9"/>
        <v>-3.3299978822469711E-3</v>
      </c>
      <c r="AD15" s="482">
        <f t="shared" si="9"/>
        <v>1.3150018639862537E-3</v>
      </c>
      <c r="AE15" s="482">
        <f t="shared" si="9"/>
        <v>-2.4949973449110985E-3</v>
      </c>
      <c r="AF15" s="482">
        <f t="shared" si="9"/>
        <v>-3.5539967939257622E-3</v>
      </c>
      <c r="AG15" s="482">
        <f t="shared" si="9"/>
        <v>-3.2369969412684441E-3</v>
      </c>
      <c r="AH15" s="482">
        <f t="shared" si="9"/>
        <v>-3.4789955243468285E-3</v>
      </c>
      <c r="AI15" s="482">
        <f t="shared" si="9"/>
        <v>1.1270036920905113E-3</v>
      </c>
      <c r="AJ15" s="482">
        <f t="shared" si="9"/>
        <v>-1.0229963809251785E-3</v>
      </c>
      <c r="AK15" s="482">
        <f t="shared" si="9"/>
        <v>-4.9589965492486954E-3</v>
      </c>
      <c r="AL15" s="482">
        <f t="shared" si="9"/>
        <v>-6.7209955304861069E-3</v>
      </c>
      <c r="AM15" s="482">
        <f t="shared" si="9"/>
        <v>-659182.73740699515</v>
      </c>
      <c r="AN15" s="482">
        <f t="shared" si="9"/>
        <v>-754763.8155209953</v>
      </c>
      <c r="AO15" s="482">
        <f t="shared" si="9"/>
        <v>-8279679.969798997</v>
      </c>
      <c r="AP15" s="482">
        <f t="shared" si="9"/>
        <v>-8418811.6904279981</v>
      </c>
      <c r="AQ15" s="482">
        <f t="shared" si="9"/>
        <v>-9064727.144237997</v>
      </c>
      <c r="AR15" s="482">
        <f t="shared" si="9"/>
        <v>-10020380.825296996</v>
      </c>
    </row>
    <row r="16" spans="1:51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F18" si="10">U18+1</f>
        <v>201502</v>
      </c>
      <c r="W18" s="484">
        <f t="shared" si="10"/>
        <v>201503</v>
      </c>
      <c r="X18" s="484">
        <f t="shared" si="10"/>
        <v>201504</v>
      </c>
      <c r="Y18" s="484">
        <f t="shared" si="10"/>
        <v>201505</v>
      </c>
      <c r="Z18" s="484">
        <f t="shared" si="10"/>
        <v>201506</v>
      </c>
      <c r="AA18" s="484">
        <f t="shared" si="10"/>
        <v>201507</v>
      </c>
      <c r="AB18" s="484">
        <f t="shared" si="10"/>
        <v>201508</v>
      </c>
      <c r="AC18" s="484">
        <f t="shared" si="10"/>
        <v>201509</v>
      </c>
      <c r="AD18" s="484">
        <f t="shared" si="10"/>
        <v>201510</v>
      </c>
      <c r="AE18" s="484">
        <f t="shared" si="10"/>
        <v>201511</v>
      </c>
      <c r="AF18" s="484">
        <f t="shared" si="10"/>
        <v>201512</v>
      </c>
      <c r="AG18" s="484">
        <v>201601</v>
      </c>
      <c r="AH18" s="484">
        <f>AG18+1</f>
        <v>201602</v>
      </c>
      <c r="AI18" s="484">
        <f t="shared" ref="AI18:AS18" si="11">AH18+1</f>
        <v>201603</v>
      </c>
      <c r="AJ18" s="484">
        <f t="shared" si="11"/>
        <v>201604</v>
      </c>
      <c r="AK18" s="484">
        <f t="shared" si="11"/>
        <v>201605</v>
      </c>
      <c r="AL18" s="484">
        <f t="shared" si="11"/>
        <v>201606</v>
      </c>
      <c r="AM18" s="484">
        <f t="shared" si="11"/>
        <v>201607</v>
      </c>
      <c r="AN18" s="484">
        <f t="shared" si="11"/>
        <v>201608</v>
      </c>
      <c r="AO18" s="484">
        <f t="shared" si="11"/>
        <v>201609</v>
      </c>
      <c r="AP18" s="484">
        <f t="shared" si="11"/>
        <v>201610</v>
      </c>
      <c r="AQ18" s="484">
        <f t="shared" si="11"/>
        <v>201611</v>
      </c>
      <c r="AR18" s="484">
        <f t="shared" si="11"/>
        <v>201612</v>
      </c>
      <c r="AS18" s="484">
        <f t="shared" si="11"/>
        <v>201613</v>
      </c>
      <c r="AU18" s="558"/>
    </row>
    <row r="19" spans="1:51">
      <c r="A19" s="483"/>
      <c r="B19" s="481" t="s">
        <v>37</v>
      </c>
      <c r="C19" s="491">
        <f>SUM(AG19:AR19)</f>
        <v>21212640</v>
      </c>
      <c r="D19" s="491">
        <f>SUM(AE19:AP19)</f>
        <v>37679700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>
        <f>Mar!$K36</f>
        <v>5909720</v>
      </c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f t="shared" ref="C20:C24" si="12">SUM(AG20:AR20)</f>
        <v>7332675</v>
      </c>
      <c r="D20" s="491">
        <f t="shared" ref="D20:D24" si="13">SUM(AE20:AP20)</f>
        <v>12413466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>
        <f>Mar!$K37</f>
        <v>2149496</v>
      </c>
      <c r="AJ20" s="491"/>
      <c r="AK20" s="491"/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f t="shared" si="12"/>
        <v>0</v>
      </c>
      <c r="D21" s="491">
        <f t="shared" si="13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f t="shared" si="12"/>
        <v>0</v>
      </c>
      <c r="D22" s="491">
        <f t="shared" si="13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f t="shared" si="12"/>
        <v>0</v>
      </c>
      <c r="D23" s="491">
        <f t="shared" si="13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f t="shared" si="12"/>
        <v>0</v>
      </c>
      <c r="D24" s="491">
        <f t="shared" si="13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>
        <f>Mar!$K41</f>
        <v>0</v>
      </c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f t="shared" ref="C25:C26" si="14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f t="shared" si="14"/>
        <v>0</v>
      </c>
      <c r="D26" s="491">
        <f>SUM(G26:R26)</f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15">SUM(G19:G26)</f>
        <v>9508099</v>
      </c>
      <c r="H27" s="542">
        <f t="shared" si="15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R27" si="16">SUM(U19:U26)</f>
        <v>11809937</v>
      </c>
      <c r="V27" s="542">
        <f t="shared" si="16"/>
        <v>7940694</v>
      </c>
      <c r="W27" s="542">
        <f t="shared" si="16"/>
        <v>7017973</v>
      </c>
      <c r="X27" s="542">
        <f t="shared" si="16"/>
        <v>5254736</v>
      </c>
      <c r="Y27" s="542">
        <f t="shared" si="16"/>
        <v>2699945</v>
      </c>
      <c r="Z27" s="542">
        <f t="shared" si="16"/>
        <v>2074520</v>
      </c>
      <c r="AA27" s="542">
        <f t="shared" si="16"/>
        <v>2156482</v>
      </c>
      <c r="AB27" s="542">
        <f t="shared" si="16"/>
        <v>2252954</v>
      </c>
      <c r="AC27" s="542">
        <f t="shared" si="16"/>
        <v>2632656</v>
      </c>
      <c r="AD27" s="542">
        <f t="shared" si="16"/>
        <v>3869259</v>
      </c>
      <c r="AE27" s="542">
        <f t="shared" si="16"/>
        <v>9627846</v>
      </c>
      <c r="AF27" s="542">
        <f t="shared" si="16"/>
        <v>11920005</v>
      </c>
      <c r="AG27" s="542">
        <f t="shared" si="16"/>
        <v>11685014</v>
      </c>
      <c r="AH27" s="542">
        <f t="shared" si="16"/>
        <v>8801085</v>
      </c>
      <c r="AI27" s="542">
        <f t="shared" si="16"/>
        <v>8059216</v>
      </c>
      <c r="AJ27" s="542">
        <f t="shared" si="16"/>
        <v>0</v>
      </c>
      <c r="AK27" s="542">
        <f t="shared" si="16"/>
        <v>0</v>
      </c>
      <c r="AL27" s="542">
        <f t="shared" si="16"/>
        <v>0</v>
      </c>
      <c r="AM27" s="542">
        <f t="shared" si="16"/>
        <v>0</v>
      </c>
      <c r="AN27" s="542">
        <f t="shared" si="16"/>
        <v>0</v>
      </c>
      <c r="AO27" s="542">
        <f t="shared" si="16"/>
        <v>0</v>
      </c>
      <c r="AP27" s="542">
        <f t="shared" si="16"/>
        <v>0</v>
      </c>
      <c r="AQ27" s="542">
        <f t="shared" si="16"/>
        <v>0</v>
      </c>
      <c r="AR27" s="542">
        <f t="shared" si="16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73">
        <v>8059216</v>
      </c>
      <c r="AJ28" s="582"/>
      <c r="AK28" s="582"/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:AF30" si="17">U30+1</f>
        <v>201502</v>
      </c>
      <c r="W30" s="484">
        <f t="shared" si="17"/>
        <v>201503</v>
      </c>
      <c r="X30" s="484">
        <f t="shared" si="17"/>
        <v>201504</v>
      </c>
      <c r="Y30" s="484">
        <f t="shared" si="17"/>
        <v>201505</v>
      </c>
      <c r="Z30" s="484">
        <f t="shared" si="17"/>
        <v>201506</v>
      </c>
      <c r="AA30" s="484">
        <f t="shared" si="17"/>
        <v>201507</v>
      </c>
      <c r="AB30" s="484">
        <f t="shared" si="17"/>
        <v>201508</v>
      </c>
      <c r="AC30" s="484">
        <f t="shared" si="17"/>
        <v>201509</v>
      </c>
      <c r="AD30" s="484">
        <f t="shared" si="17"/>
        <v>201510</v>
      </c>
      <c r="AE30" s="484">
        <f t="shared" si="17"/>
        <v>201511</v>
      </c>
      <c r="AF30" s="484">
        <f t="shared" si="17"/>
        <v>201512</v>
      </c>
      <c r="AG30" s="484">
        <v>201601</v>
      </c>
      <c r="AH30" s="484">
        <f>AG30+1</f>
        <v>201602</v>
      </c>
      <c r="AI30" s="484">
        <f t="shared" ref="AI30:AR30" si="18">AH30+1</f>
        <v>201603</v>
      </c>
      <c r="AJ30" s="484">
        <f t="shared" si="18"/>
        <v>201604</v>
      </c>
      <c r="AK30" s="484">
        <f t="shared" si="18"/>
        <v>201605</v>
      </c>
      <c r="AL30" s="484">
        <f t="shared" si="18"/>
        <v>201606</v>
      </c>
      <c r="AM30" s="484">
        <f t="shared" si="18"/>
        <v>201607</v>
      </c>
      <c r="AN30" s="484">
        <f t="shared" si="18"/>
        <v>201608</v>
      </c>
      <c r="AO30" s="484">
        <f t="shared" si="18"/>
        <v>201609</v>
      </c>
      <c r="AP30" s="484">
        <f t="shared" si="18"/>
        <v>201610</v>
      </c>
      <c r="AQ30" s="484">
        <f t="shared" si="18"/>
        <v>201611</v>
      </c>
      <c r="AR30" s="484">
        <f t="shared" si="18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:AF40" si="19">U40+1</f>
        <v>201502</v>
      </c>
      <c r="W40" s="484">
        <f t="shared" si="19"/>
        <v>201503</v>
      </c>
      <c r="X40" s="484">
        <f t="shared" si="19"/>
        <v>201504</v>
      </c>
      <c r="Y40" s="484">
        <f t="shared" si="19"/>
        <v>201505</v>
      </c>
      <c r="Z40" s="484">
        <f t="shared" si="19"/>
        <v>201506</v>
      </c>
      <c r="AA40" s="484">
        <f t="shared" si="19"/>
        <v>201507</v>
      </c>
      <c r="AB40" s="484">
        <f t="shared" si="19"/>
        <v>201508</v>
      </c>
      <c r="AC40" s="484">
        <f t="shared" si="19"/>
        <v>201509</v>
      </c>
      <c r="AD40" s="484">
        <f t="shared" si="19"/>
        <v>201510</v>
      </c>
      <c r="AE40" s="484">
        <f t="shared" si="19"/>
        <v>201511</v>
      </c>
      <c r="AF40" s="484">
        <f t="shared" si="19"/>
        <v>201512</v>
      </c>
      <c r="AG40" s="484">
        <v>201601</v>
      </c>
      <c r="AH40" s="484">
        <f>AG40+1</f>
        <v>201602</v>
      </c>
      <c r="AI40" s="484">
        <f t="shared" ref="AI40:AR40" si="20">AH40+1</f>
        <v>201603</v>
      </c>
      <c r="AJ40" s="484">
        <f t="shared" si="20"/>
        <v>201604</v>
      </c>
      <c r="AK40" s="484">
        <f t="shared" si="20"/>
        <v>201605</v>
      </c>
      <c r="AL40" s="484">
        <f t="shared" si="20"/>
        <v>201606</v>
      </c>
      <c r="AM40" s="484">
        <f t="shared" si="20"/>
        <v>201607</v>
      </c>
      <c r="AN40" s="484">
        <f t="shared" si="20"/>
        <v>201608</v>
      </c>
      <c r="AO40" s="484">
        <f t="shared" si="20"/>
        <v>201609</v>
      </c>
      <c r="AP40" s="484">
        <f t="shared" si="20"/>
        <v>201610</v>
      </c>
      <c r="AQ40" s="484">
        <f t="shared" si="20"/>
        <v>201611</v>
      </c>
      <c r="AR40" s="484">
        <f t="shared" si="20"/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f>AT4</f>
        <v>201603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:Y42" si="21">V47</f>
        <v>-1139196.8415066958</v>
      </c>
      <c r="X42" s="482">
        <f t="shared" si="21"/>
        <v>-927936.74257669575</v>
      </c>
      <c r="Y42" s="482">
        <f t="shared" si="21"/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:AE42" si="22">AB47</f>
        <v>-496357.29729955469</v>
      </c>
      <c r="AD42" s="482">
        <f t="shared" si="22"/>
        <v>-416678.50147523766</v>
      </c>
      <c r="AE42" s="482">
        <f t="shared" si="22"/>
        <v>-299312.54063388787</v>
      </c>
      <c r="AF42" s="482">
        <f>AE47</f>
        <v>-1658528.5495927494</v>
      </c>
      <c r="AG42" s="482">
        <f t="shared" ref="AG42:AR42" si="23">AF47</f>
        <v>-1317584.0800507434</v>
      </c>
      <c r="AH42" s="482">
        <f t="shared" si="23"/>
        <v>-983065.53286414407</v>
      </c>
      <c r="AI42" s="482">
        <f t="shared" si="23"/>
        <v>-731100.32081221836</v>
      </c>
      <c r="AJ42" s="482">
        <f t="shared" si="23"/>
        <v>-500233.0713481619</v>
      </c>
      <c r="AK42" s="482">
        <f t="shared" si="23"/>
        <v>-500649.93224095204</v>
      </c>
      <c r="AL42" s="482">
        <f t="shared" si="23"/>
        <v>-501067.1405178195</v>
      </c>
      <c r="AM42" s="482">
        <f t="shared" si="23"/>
        <v>-501484.696468251</v>
      </c>
      <c r="AN42" s="482">
        <f t="shared" si="23"/>
        <v>-501902.60038197454</v>
      </c>
      <c r="AO42" s="482">
        <f t="shared" si="23"/>
        <v>-502320.85254895949</v>
      </c>
      <c r="AP42" s="482">
        <f t="shared" si="23"/>
        <v>-502739.45325941697</v>
      </c>
      <c r="AQ42" s="482">
        <f t="shared" si="23"/>
        <v>-503158.40280379984</v>
      </c>
      <c r="AR42" s="482">
        <f t="shared" si="23"/>
        <v>-503577.70147280302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</row>
    <row r="43" spans="1:51" ht="16.2">
      <c r="B43" s="481" t="s">
        <v>23</v>
      </c>
      <c r="C43" s="482">
        <f>SUM(AG43:AR43)</f>
        <v>819535.99364999996</v>
      </c>
      <c r="D43" s="491">
        <f>SUM(AE43:AP43)</f>
        <v>1438419.9936500001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24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25">SUMPRODUCT(V19:V26,V31:V38)</f>
        <v>241476.50453999999</v>
      </c>
      <c r="W43" s="482">
        <f t="shared" si="25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26">SUMPRODUCT(AC19:AC26,AC31:AC38)</f>
        <v>80059.068960000004</v>
      </c>
      <c r="AD43" s="482">
        <f t="shared" si="26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27">SUMPRODUCT(AH19:AH24,AH31:AH36)</f>
        <v>252679.15035000001</v>
      </c>
      <c r="AI43" s="563">
        <f t="shared" si="27"/>
        <v>231380.09135999999</v>
      </c>
      <c r="AJ43" s="563">
        <f t="shared" si="27"/>
        <v>0</v>
      </c>
      <c r="AK43" s="563">
        <f t="shared" si="27"/>
        <v>0</v>
      </c>
      <c r="AL43" s="563">
        <f t="shared" si="27"/>
        <v>0</v>
      </c>
      <c r="AM43" s="563">
        <f t="shared" si="27"/>
        <v>0</v>
      </c>
      <c r="AN43" s="563">
        <f t="shared" si="27"/>
        <v>0</v>
      </c>
      <c r="AO43" s="563">
        <f t="shared" si="27"/>
        <v>0</v>
      </c>
      <c r="AP43" s="563">
        <f t="shared" si="27"/>
        <v>0</v>
      </c>
      <c r="AQ43" s="563">
        <f t="shared" si="27"/>
        <v>0</v>
      </c>
      <c r="AR43" s="563">
        <f t="shared" si="27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512.8418959435154</v>
      </c>
      <c r="AY43" s="500">
        <v>0</v>
      </c>
    </row>
    <row r="44" spans="1:51" ht="16.2">
      <c r="B44" s="481" t="s">
        <v>4</v>
      </c>
      <c r="C44" s="482">
        <f t="shared" ref="C44:C46" si="28">SUM(AG44:AR44)</f>
        <v>-5949.2631566202044</v>
      </c>
      <c r="D44" s="491">
        <f>SUM(AE44:AP44)</f>
        <v>-7864.4258199118985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29">((AC42*(AC41/12))+((AC43/2)*(AC41/12)))</f>
        <v>-380.27313568296228</v>
      </c>
      <c r="AD44" s="489">
        <f t="shared" si="29"/>
        <v>-298.20534865019806</v>
      </c>
      <c r="AE44" s="489">
        <f>((AE42+AE45)*(AE41/12))+(((AE43+AE46)/2)*(AE41/12))</f>
        <v>-1514.5789588615733</v>
      </c>
      <c r="AF44" s="489">
        <f t="shared" ref="AF44:AR44" si="30">((AF42*(AF41/12))+((AF43/2)*(AF41/12)))</f>
        <v>-1239.530457993958</v>
      </c>
      <c r="AG44" s="489">
        <f t="shared" si="30"/>
        <v>-958.20475340061967</v>
      </c>
      <c r="AH44" s="489">
        <f t="shared" si="30"/>
        <v>-713.93829807428676</v>
      </c>
      <c r="AI44" s="489">
        <f t="shared" si="30"/>
        <v>-512.8418959435154</v>
      </c>
      <c r="AJ44" s="489">
        <f t="shared" si="30"/>
        <v>-416.86089279013493</v>
      </c>
      <c r="AK44" s="489">
        <f t="shared" si="30"/>
        <v>-417.20827686746009</v>
      </c>
      <c r="AL44" s="489">
        <f t="shared" si="30"/>
        <v>-417.55595043151629</v>
      </c>
      <c r="AM44" s="489">
        <f t="shared" si="30"/>
        <v>-417.90391372354253</v>
      </c>
      <c r="AN44" s="489">
        <f t="shared" si="30"/>
        <v>-418.25216698497883</v>
      </c>
      <c r="AO44" s="489">
        <f t="shared" si="30"/>
        <v>-418.60071045746628</v>
      </c>
      <c r="AP44" s="489">
        <f t="shared" si="30"/>
        <v>-418.94954438284748</v>
      </c>
      <c r="AQ44" s="489">
        <f t="shared" si="30"/>
        <v>-419.29866900316654</v>
      </c>
      <c r="AR44" s="489">
        <f t="shared" si="30"/>
        <v>-419.64808456066919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230867.24946405648</v>
      </c>
      <c r="AY44" s="500">
        <f>IF((SUMIF(U40:AR40,AT41,U43:AR43)+SUMIF(U40:AR40,AT41,U44:AR44))&lt;0,-(SUMIF(U40:AR40,AT41,U43:AR43)+SUMIF(U40:AR40,AT41,U44:AR44)),0)</f>
        <v>0</v>
      </c>
    </row>
    <row r="45" spans="1:51" ht="16.2">
      <c r="B45" s="481" t="s">
        <v>259</v>
      </c>
      <c r="C45" s="482">
        <f t="shared" si="28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231380.09135999999</v>
      </c>
    </row>
    <row r="46" spans="1:51" ht="16.2">
      <c r="B46" s="481" t="s">
        <v>148</v>
      </c>
      <c r="C46" s="482">
        <f t="shared" si="28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31">AU44</f>
        <v>191000</v>
      </c>
      <c r="AV46" s="528" t="str">
        <f t="shared" si="31"/>
        <v>GD</v>
      </c>
      <c r="AW46" s="528" t="str">
        <f t="shared" si="31"/>
        <v>ID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32">SUM(F42:F46)</f>
        <v>122203.74560073584</v>
      </c>
      <c r="G47" s="541">
        <f t="shared" si="32"/>
        <v>121907.05607206978</v>
      </c>
      <c r="H47" s="541">
        <f t="shared" si="32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33">SUM(V42:V46)</f>
        <v>-1139196.8415066958</v>
      </c>
      <c r="W47" s="541">
        <f t="shared" si="33"/>
        <v>-927936.74257669575</v>
      </c>
      <c r="X47" s="541">
        <f t="shared" si="33"/>
        <v>-767403.9580847763</v>
      </c>
      <c r="Y47" s="541">
        <f t="shared" si="33"/>
        <v>-685903.92338007619</v>
      </c>
      <c r="Z47" s="541">
        <f t="shared" si="33"/>
        <v>-623363.07088572613</v>
      </c>
      <c r="AA47" s="541">
        <f t="shared" si="33"/>
        <v>-564427.81872858922</v>
      </c>
      <c r="AB47" s="541">
        <f t="shared" si="33"/>
        <v>-496357.29729955469</v>
      </c>
      <c r="AC47" s="541">
        <f t="shared" si="33"/>
        <v>-416678.50147523766</v>
      </c>
      <c r="AD47" s="541">
        <f t="shared" si="33"/>
        <v>-299312.54063388787</v>
      </c>
      <c r="AE47" s="541">
        <f t="shared" si="33"/>
        <v>-1658528.5495927494</v>
      </c>
      <c r="AF47" s="541">
        <f t="shared" si="33"/>
        <v>-1317584.0800507434</v>
      </c>
      <c r="AG47" s="541">
        <f t="shared" si="33"/>
        <v>-983065.53286414407</v>
      </c>
      <c r="AH47" s="541">
        <f t="shared" si="33"/>
        <v>-731100.32081221836</v>
      </c>
      <c r="AI47" s="541">
        <f t="shared" si="33"/>
        <v>-500233.0713481619</v>
      </c>
      <c r="AJ47" s="541">
        <f t="shared" si="33"/>
        <v>-500649.93224095204</v>
      </c>
      <c r="AK47" s="541">
        <f t="shared" si="33"/>
        <v>-501067.1405178195</v>
      </c>
      <c r="AL47" s="541">
        <f t="shared" si="33"/>
        <v>-501484.696468251</v>
      </c>
      <c r="AM47" s="541">
        <f t="shared" si="33"/>
        <v>-501902.60038197454</v>
      </c>
      <c r="AN47" s="541">
        <f t="shared" si="33"/>
        <v>-502320.85254895949</v>
      </c>
      <c r="AO47" s="541">
        <f t="shared" si="33"/>
        <v>-502739.45325941697</v>
      </c>
      <c r="AP47" s="541">
        <f t="shared" si="33"/>
        <v>-503158.40280379984</v>
      </c>
      <c r="AQ47" s="541">
        <f t="shared" si="33"/>
        <v>-503577.70147280302</v>
      </c>
      <c r="AR47" s="541">
        <f t="shared" si="33"/>
        <v>-503997.34955736366</v>
      </c>
      <c r="AT47" s="501" t="str">
        <f>AT46</f>
        <v>Large Customer Refund</v>
      </c>
      <c r="AU47" s="529">
        <f t="shared" si="31"/>
        <v>805110</v>
      </c>
      <c r="AV47" s="529" t="str">
        <f t="shared" si="31"/>
        <v>GD</v>
      </c>
      <c r="AW47" s="529" t="str">
        <f t="shared" si="31"/>
        <v>ID</v>
      </c>
      <c r="AX47" s="503">
        <v>0</v>
      </c>
      <c r="AY47" s="521">
        <f>AX46</f>
        <v>0</v>
      </c>
    </row>
    <row r="48" spans="1:51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34">E47-E48</f>
        <v>2.2137390881653118E-2</v>
      </c>
      <c r="F49" s="482">
        <f t="shared" si="34"/>
        <v>90.56560073584842</v>
      </c>
      <c r="G49" s="482">
        <f t="shared" si="34"/>
        <v>90.646072069779621</v>
      </c>
      <c r="H49" s="482">
        <f t="shared" si="34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AS49" si="35">V47-V48</f>
        <v>-1.506695756688714E-3</v>
      </c>
      <c r="W49" s="482">
        <f t="shared" si="35"/>
        <v>-2.5766957551240921E-3</v>
      </c>
      <c r="X49" s="482">
        <f t="shared" si="35"/>
        <v>1.9152236636728048E-3</v>
      </c>
      <c r="Y49" s="482">
        <f t="shared" si="35"/>
        <v>-3.3800761448219419E-3</v>
      </c>
      <c r="Z49" s="482">
        <f t="shared" si="35"/>
        <v>-8.8572618551552296E-4</v>
      </c>
      <c r="AA49" s="482">
        <f t="shared" si="35"/>
        <v>1.2714107288047671E-3</v>
      </c>
      <c r="AB49" s="482">
        <f t="shared" si="35"/>
        <v>2.7004453004337847E-3</v>
      </c>
      <c r="AC49" s="482">
        <f t="shared" si="35"/>
        <v>-1.4752376591786742E-3</v>
      </c>
      <c r="AD49" s="482">
        <f t="shared" si="35"/>
        <v>-6.3388788839802146E-4</v>
      </c>
      <c r="AE49" s="482">
        <f t="shared" si="35"/>
        <v>4.0725059807300568E-4</v>
      </c>
      <c r="AF49" s="482">
        <f t="shared" si="35"/>
        <v>-5.0743343308568001E-5</v>
      </c>
      <c r="AG49" s="482">
        <f t="shared" si="35"/>
        <v>-2.8641440439969301E-3</v>
      </c>
      <c r="AH49" s="482">
        <f t="shared" si="35"/>
        <v>-8.1221840810030699E-4</v>
      </c>
      <c r="AI49" s="482">
        <f t="shared" si="35"/>
        <v>-1.3481618952937424E-3</v>
      </c>
      <c r="AJ49" s="482">
        <f t="shared" si="35"/>
        <v>-112597.68224095204</v>
      </c>
      <c r="AK49" s="482">
        <f t="shared" si="35"/>
        <v>-198755.55051781947</v>
      </c>
      <c r="AL49" s="482">
        <f t="shared" si="35"/>
        <v>-267656.99646825099</v>
      </c>
      <c r="AM49" s="482">
        <f t="shared" si="35"/>
        <v>-268074.90038197453</v>
      </c>
      <c r="AN49" s="482">
        <f t="shared" si="35"/>
        <v>-268493.15254895948</v>
      </c>
      <c r="AO49" s="482">
        <f t="shared" si="35"/>
        <v>-502739.45325941697</v>
      </c>
      <c r="AP49" s="482">
        <f t="shared" si="35"/>
        <v>-503158.40280379984</v>
      </c>
      <c r="AQ49" s="482">
        <f t="shared" si="35"/>
        <v>-503577.70147280302</v>
      </c>
      <c r="AR49" s="482">
        <f t="shared" si="35"/>
        <v>-503997.34955736366</v>
      </c>
      <c r="AS49" s="482">
        <f t="shared" si="35"/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:AF51" si="36">U51+1</f>
        <v>201502</v>
      </c>
      <c r="W51" s="484">
        <f t="shared" si="36"/>
        <v>201503</v>
      </c>
      <c r="X51" s="484">
        <f t="shared" si="36"/>
        <v>201504</v>
      </c>
      <c r="Y51" s="484">
        <f t="shared" si="36"/>
        <v>201505</v>
      </c>
      <c r="Z51" s="484">
        <f t="shared" si="36"/>
        <v>201506</v>
      </c>
      <c r="AA51" s="484">
        <f t="shared" si="36"/>
        <v>201507</v>
      </c>
      <c r="AB51" s="484">
        <f t="shared" si="36"/>
        <v>201508</v>
      </c>
      <c r="AC51" s="484">
        <f t="shared" si="36"/>
        <v>201509</v>
      </c>
      <c r="AD51" s="484">
        <f t="shared" si="36"/>
        <v>201510</v>
      </c>
      <c r="AE51" s="484">
        <f t="shared" si="36"/>
        <v>201511</v>
      </c>
      <c r="AF51" s="484">
        <f t="shared" si="36"/>
        <v>201512</v>
      </c>
      <c r="AG51" s="484">
        <v>201601</v>
      </c>
      <c r="AH51" s="484">
        <f>AG51+1</f>
        <v>201602</v>
      </c>
      <c r="AI51" s="484">
        <f t="shared" ref="AI51:AR51" si="37">AH51+1</f>
        <v>201603</v>
      </c>
      <c r="AJ51" s="484">
        <f t="shared" si="37"/>
        <v>201604</v>
      </c>
      <c r="AK51" s="484">
        <f t="shared" si="37"/>
        <v>201605</v>
      </c>
      <c r="AL51" s="484">
        <f t="shared" si="37"/>
        <v>201606</v>
      </c>
      <c r="AM51" s="484">
        <f t="shared" si="37"/>
        <v>201607</v>
      </c>
      <c r="AN51" s="484">
        <f t="shared" si="37"/>
        <v>201608</v>
      </c>
      <c r="AO51" s="484">
        <f t="shared" si="37"/>
        <v>201609</v>
      </c>
      <c r="AP51" s="484">
        <f t="shared" si="37"/>
        <v>201610</v>
      </c>
      <c r="AQ51" s="484">
        <f t="shared" si="37"/>
        <v>201611</v>
      </c>
      <c r="AR51" s="484">
        <f t="shared" si="37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>
        <f>Mar!$K36</f>
        <v>5909720</v>
      </c>
      <c r="AJ52" s="491"/>
      <c r="AK52" s="491"/>
      <c r="AL52" s="491"/>
      <c r="AM52" s="491"/>
      <c r="AN52" s="491"/>
      <c r="AO52" s="491"/>
      <c r="AP52" s="491"/>
      <c r="AQ52" s="491"/>
      <c r="AR52" s="491"/>
      <c r="AS52" s="491">
        <f>Jan!$K36</f>
        <v>8841051</v>
      </c>
    </row>
    <row r="53" spans="1:45">
      <c r="A53" s="483"/>
      <c r="B53" s="481" t="s">
        <v>38</v>
      </c>
      <c r="C53" s="491">
        <f t="shared" ref="C53:C60" si="38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>
        <f>Mar!$K37</f>
        <v>2149496</v>
      </c>
      <c r="AJ53" s="491">
        <f>Feb!$K37</f>
        <v>2339216</v>
      </c>
      <c r="AK53" s="491">
        <f>Feb!$K37</f>
        <v>2339216</v>
      </c>
      <c r="AL53" s="491">
        <f>Feb!$K37</f>
        <v>2339216</v>
      </c>
      <c r="AM53" s="491">
        <f>Feb!$K37</f>
        <v>2339216</v>
      </c>
      <c r="AN53" s="491">
        <f>Feb!$K37</f>
        <v>2339216</v>
      </c>
      <c r="AO53" s="491">
        <f>Feb!$K37</f>
        <v>2339216</v>
      </c>
      <c r="AP53" s="491">
        <f>Feb!$K37</f>
        <v>2339216</v>
      </c>
      <c r="AQ53" s="491">
        <f>Feb!$K37</f>
        <v>2339216</v>
      </c>
      <c r="AR53" s="491">
        <f>Feb!$K37</f>
        <v>2339216</v>
      </c>
      <c r="AS53" s="491">
        <f>Jan!$K37</f>
        <v>2843963</v>
      </c>
    </row>
    <row r="54" spans="1:45">
      <c r="A54" s="483"/>
      <c r="B54" s="481" t="s">
        <v>39</v>
      </c>
      <c r="C54" s="491">
        <f t="shared" si="38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>
        <f>Mar!$K38</f>
        <v>232</v>
      </c>
      <c r="AJ54" s="491"/>
      <c r="AK54" s="491"/>
      <c r="AL54" s="491"/>
      <c r="AM54" s="491"/>
      <c r="AN54" s="491"/>
      <c r="AO54" s="491"/>
      <c r="AP54" s="491"/>
      <c r="AQ54" s="491"/>
      <c r="AR54" s="491"/>
      <c r="AS54" s="491">
        <f>Jan!$K38</f>
        <v>2754</v>
      </c>
    </row>
    <row r="55" spans="1:45">
      <c r="A55" s="483"/>
      <c r="B55" s="481" t="s">
        <v>40</v>
      </c>
      <c r="C55" s="491">
        <f t="shared" si="38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>
        <f>Mar!$K39</f>
        <v>0</v>
      </c>
      <c r="AJ55" s="491"/>
      <c r="AK55" s="491"/>
      <c r="AL55" s="491"/>
      <c r="AM55" s="491"/>
      <c r="AN55" s="491"/>
      <c r="AO55" s="491"/>
      <c r="AP55" s="491"/>
      <c r="AQ55" s="491"/>
      <c r="AR55" s="491"/>
      <c r="AS55" s="491">
        <f>Jan!$K39</f>
        <v>0</v>
      </c>
    </row>
    <row r="56" spans="1:45" hidden="1">
      <c r="A56" s="483"/>
      <c r="B56" s="481" t="s">
        <v>41</v>
      </c>
      <c r="C56" s="491">
        <f t="shared" si="38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f t="shared" si="38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f t="shared" si="38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>
        <f>Mar!$K42</f>
        <v>0</v>
      </c>
      <c r="AJ58" s="491"/>
      <c r="AK58" s="491"/>
      <c r="AL58" s="491"/>
      <c r="AM58" s="491"/>
      <c r="AN58" s="491"/>
      <c r="AO58" s="491"/>
      <c r="AP58" s="491"/>
      <c r="AQ58" s="491"/>
      <c r="AR58" s="491"/>
      <c r="AS58" s="491">
        <f>Jan!$K42</f>
        <v>0</v>
      </c>
    </row>
    <row r="59" spans="1:45" hidden="1">
      <c r="A59" s="483"/>
      <c r="B59" s="481" t="s">
        <v>74</v>
      </c>
      <c r="C59" s="491">
        <f t="shared" ref="C59" si="39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thickBot="1">
      <c r="A60" s="483"/>
      <c r="B60" s="481" t="s">
        <v>21</v>
      </c>
      <c r="C60" s="542">
        <f t="shared" si="38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40">SUM(G52:G59)</f>
        <v>9560411</v>
      </c>
      <c r="H60" s="542">
        <f t="shared" si="40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S60" si="41">SUM(U52:U59)</f>
        <v>11853389</v>
      </c>
      <c r="V60" s="542">
        <f t="shared" si="41"/>
        <v>7975879</v>
      </c>
      <c r="W60" s="542">
        <f t="shared" si="41"/>
        <v>7051984</v>
      </c>
      <c r="X60" s="542">
        <f t="shared" si="41"/>
        <v>5286030</v>
      </c>
      <c r="Y60" s="542">
        <f t="shared" si="41"/>
        <v>2733897</v>
      </c>
      <c r="Z60" s="542">
        <f t="shared" si="41"/>
        <v>2096440</v>
      </c>
      <c r="AA60" s="542">
        <f t="shared" si="41"/>
        <v>1982316</v>
      </c>
      <c r="AB60" s="542">
        <f t="shared" si="41"/>
        <v>2300576</v>
      </c>
      <c r="AC60" s="542">
        <f t="shared" si="41"/>
        <v>2659390</v>
      </c>
      <c r="AD60" s="542">
        <f t="shared" si="41"/>
        <v>3938193</v>
      </c>
      <c r="AE60" s="542">
        <f t="shared" si="41"/>
        <v>9651342</v>
      </c>
      <c r="AF60" s="542">
        <f t="shared" si="41"/>
        <v>11926102</v>
      </c>
      <c r="AG60" s="542">
        <f t="shared" si="41"/>
        <v>11687768</v>
      </c>
      <c r="AH60" s="542">
        <f t="shared" si="41"/>
        <v>8803437</v>
      </c>
      <c r="AI60" s="542">
        <f t="shared" si="41"/>
        <v>8059448</v>
      </c>
      <c r="AJ60" s="542">
        <f t="shared" si="41"/>
        <v>2339216</v>
      </c>
      <c r="AK60" s="542">
        <f t="shared" si="41"/>
        <v>2339216</v>
      </c>
      <c r="AL60" s="542">
        <f t="shared" si="41"/>
        <v>2339216</v>
      </c>
      <c r="AM60" s="542">
        <f t="shared" si="41"/>
        <v>2339216</v>
      </c>
      <c r="AN60" s="542">
        <f t="shared" si="41"/>
        <v>2339216</v>
      </c>
      <c r="AO60" s="542">
        <f t="shared" si="41"/>
        <v>2339216</v>
      </c>
      <c r="AP60" s="542">
        <f t="shared" si="41"/>
        <v>6277409</v>
      </c>
      <c r="AQ60" s="542">
        <f t="shared" si="41"/>
        <v>2339216</v>
      </c>
      <c r="AR60" s="542">
        <f t="shared" si="41"/>
        <v>2339216</v>
      </c>
      <c r="AS60" s="542">
        <f t="shared" si="41"/>
        <v>11687768</v>
      </c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73">
        <v>8059448</v>
      </c>
      <c r="AJ61" s="582"/>
      <c r="AK61" s="582"/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:AF63" si="42">U63+1</f>
        <v>201502</v>
      </c>
      <c r="W63" s="484">
        <f t="shared" si="42"/>
        <v>201503</v>
      </c>
      <c r="X63" s="484">
        <f t="shared" si="42"/>
        <v>201504</v>
      </c>
      <c r="Y63" s="484">
        <f t="shared" si="42"/>
        <v>201505</v>
      </c>
      <c r="Z63" s="484">
        <f t="shared" si="42"/>
        <v>201506</v>
      </c>
      <c r="AA63" s="484">
        <f t="shared" si="42"/>
        <v>201507</v>
      </c>
      <c r="AB63" s="484">
        <f t="shared" si="42"/>
        <v>201508</v>
      </c>
      <c r="AC63" s="484">
        <f t="shared" si="42"/>
        <v>201509</v>
      </c>
      <c r="AD63" s="484">
        <f t="shared" si="42"/>
        <v>201510</v>
      </c>
      <c r="AE63" s="484">
        <f t="shared" si="42"/>
        <v>201511</v>
      </c>
      <c r="AF63" s="484">
        <f t="shared" si="42"/>
        <v>201512</v>
      </c>
      <c r="AG63" s="484">
        <v>201601</v>
      </c>
      <c r="AH63" s="484">
        <f>AG63+1</f>
        <v>201602</v>
      </c>
      <c r="AI63" s="484">
        <f t="shared" ref="AI63:AR63" si="43">AH63+1</f>
        <v>201603</v>
      </c>
      <c r="AJ63" s="484">
        <f t="shared" si="43"/>
        <v>201604</v>
      </c>
      <c r="AK63" s="484">
        <f t="shared" si="43"/>
        <v>201605</v>
      </c>
      <c r="AL63" s="484">
        <f t="shared" si="43"/>
        <v>201606</v>
      </c>
      <c r="AM63" s="484">
        <f t="shared" si="43"/>
        <v>201607</v>
      </c>
      <c r="AN63" s="484">
        <f t="shared" si="43"/>
        <v>201608</v>
      </c>
      <c r="AO63" s="484">
        <f t="shared" si="43"/>
        <v>201609</v>
      </c>
      <c r="AP63" s="484">
        <f t="shared" si="43"/>
        <v>201610</v>
      </c>
      <c r="AQ63" s="484">
        <f t="shared" si="43"/>
        <v>201611</v>
      </c>
      <c r="AR63" s="484">
        <f t="shared" si="43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:AF73" si="44">U73+1</f>
        <v>201502</v>
      </c>
      <c r="W73" s="484">
        <f t="shared" si="44"/>
        <v>201503</v>
      </c>
      <c r="X73" s="484">
        <f t="shared" si="44"/>
        <v>201504</v>
      </c>
      <c r="Y73" s="484">
        <f t="shared" si="44"/>
        <v>201505</v>
      </c>
      <c r="Z73" s="484">
        <f t="shared" si="44"/>
        <v>201506</v>
      </c>
      <c r="AA73" s="484">
        <f t="shared" si="44"/>
        <v>201507</v>
      </c>
      <c r="AB73" s="484">
        <f t="shared" si="44"/>
        <v>201508</v>
      </c>
      <c r="AC73" s="484">
        <f t="shared" si="44"/>
        <v>201509</v>
      </c>
      <c r="AD73" s="484">
        <f t="shared" si="44"/>
        <v>201510</v>
      </c>
      <c r="AE73" s="484">
        <f t="shared" si="44"/>
        <v>201511</v>
      </c>
      <c r="AF73" s="484">
        <f t="shared" si="44"/>
        <v>201512</v>
      </c>
      <c r="AG73" s="484">
        <v>201601</v>
      </c>
      <c r="AH73" s="484">
        <f>AG73+1</f>
        <v>201602</v>
      </c>
      <c r="AI73" s="484">
        <f t="shared" ref="AI73:AR73" si="45">AH73+1</f>
        <v>201603</v>
      </c>
      <c r="AJ73" s="484">
        <f t="shared" si="45"/>
        <v>201604</v>
      </c>
      <c r="AK73" s="484">
        <f t="shared" si="45"/>
        <v>201605</v>
      </c>
      <c r="AL73" s="484">
        <f t="shared" si="45"/>
        <v>201606</v>
      </c>
      <c r="AM73" s="484">
        <f t="shared" si="45"/>
        <v>201607</v>
      </c>
      <c r="AN73" s="484">
        <f t="shared" si="45"/>
        <v>201608</v>
      </c>
      <c r="AO73" s="484">
        <f t="shared" si="45"/>
        <v>201609</v>
      </c>
      <c r="AP73" s="484">
        <f t="shared" si="45"/>
        <v>201610</v>
      </c>
      <c r="AQ73" s="484">
        <f t="shared" si="45"/>
        <v>201611</v>
      </c>
      <c r="AR73" s="484">
        <f t="shared" si="45"/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f>AT4</f>
        <v>201603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46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:AR75" si="47">AA79</f>
        <v>-11951.205399782522</v>
      </c>
      <c r="AC75" s="482">
        <f t="shared" si="47"/>
        <v>-11961.164737615674</v>
      </c>
      <c r="AD75" s="482">
        <f t="shared" si="47"/>
        <v>-11971.132374897021</v>
      </c>
      <c r="AE75" s="482">
        <f t="shared" si="47"/>
        <v>-11981.108318542769</v>
      </c>
      <c r="AF75" s="482">
        <f t="shared" si="47"/>
        <v>-11991.092575474888</v>
      </c>
      <c r="AG75" s="482">
        <f t="shared" si="47"/>
        <v>-12001.085152621117</v>
      </c>
      <c r="AH75" s="482">
        <f t="shared" si="47"/>
        <v>-12011.086056914968</v>
      </c>
      <c r="AI75" s="482">
        <f t="shared" si="47"/>
        <v>-12021.09529529573</v>
      </c>
      <c r="AJ75" s="482">
        <f t="shared" si="47"/>
        <v>-12031.112874708477</v>
      </c>
      <c r="AK75" s="482">
        <f t="shared" si="47"/>
        <v>-12041.138802104068</v>
      </c>
      <c r="AL75" s="482">
        <f t="shared" si="47"/>
        <v>-12051.173084439155</v>
      </c>
      <c r="AM75" s="482">
        <f t="shared" si="47"/>
        <v>-12061.215728676189</v>
      </c>
      <c r="AN75" s="482">
        <f t="shared" si="47"/>
        <v>-12071.266741783418</v>
      </c>
      <c r="AO75" s="482">
        <f t="shared" si="47"/>
        <v>-12081.326130734904</v>
      </c>
      <c r="AP75" s="482">
        <f t="shared" si="47"/>
        <v>-12091.393902510516</v>
      </c>
      <c r="AQ75" s="482">
        <f t="shared" si="47"/>
        <v>-12101.470064095942</v>
      </c>
      <c r="AR75" s="482">
        <f t="shared" si="47"/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51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48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10.017579412746443</v>
      </c>
      <c r="AY76" s="500">
        <v>0</v>
      </c>
    </row>
    <row r="77" spans="1:51" ht="16.2">
      <c r="B77" s="481" t="s">
        <v>4</v>
      </c>
      <c r="C77" s="482">
        <f t="shared" ref="C77:C78" si="49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50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50"/>
        <v>-9.9593378331521034</v>
      </c>
      <c r="AC77" s="489">
        <f t="shared" si="50"/>
        <v>-9.9676372813463967</v>
      </c>
      <c r="AD77" s="489">
        <f t="shared" si="50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51">((AG75*(AG74/12))+((AG76/2)*(AG74/12)))</f>
        <v>-10.000904293850931</v>
      </c>
      <c r="AH77" s="489">
        <f t="shared" si="51"/>
        <v>-10.009238380762474</v>
      </c>
      <c r="AI77" s="489">
        <f t="shared" si="51"/>
        <v>-10.017579412746443</v>
      </c>
      <c r="AJ77" s="489">
        <f t="shared" si="51"/>
        <v>-10.025927395590397</v>
      </c>
      <c r="AK77" s="489">
        <f t="shared" si="51"/>
        <v>-10.034282335086724</v>
      </c>
      <c r="AL77" s="489">
        <f t="shared" si="51"/>
        <v>-10.042644237032629</v>
      </c>
      <c r="AM77" s="489">
        <f t="shared" si="51"/>
        <v>-10.051013107230158</v>
      </c>
      <c r="AN77" s="489">
        <f t="shared" si="51"/>
        <v>-10.059388951486183</v>
      </c>
      <c r="AO77" s="489">
        <f t="shared" si="51"/>
        <v>-10.067771775612421</v>
      </c>
      <c r="AP77" s="489">
        <f t="shared" si="51"/>
        <v>-10.07616158542543</v>
      </c>
      <c r="AQ77" s="489">
        <f t="shared" si="51"/>
        <v>-10.084558386746618</v>
      </c>
      <c r="AR77" s="489">
        <f t="shared" si="51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10.017579412746443</v>
      </c>
    </row>
    <row r="78" spans="1:51" ht="16.2">
      <c r="B78" s="481" t="s">
        <v>148</v>
      </c>
      <c r="C78" s="482">
        <f t="shared" si="49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52">SUM(V75:V78)</f>
        <v>-11901.532960675278</v>
      </c>
      <c r="W79" s="541">
        <f t="shared" si="52"/>
        <v>-11911.450904809175</v>
      </c>
      <c r="X79" s="541">
        <f t="shared" si="52"/>
        <v>-11921.377113896517</v>
      </c>
      <c r="Y79" s="541">
        <f t="shared" si="52"/>
        <v>-11931.311594824763</v>
      </c>
      <c r="Z79" s="541">
        <f t="shared" si="52"/>
        <v>-11941.254354487117</v>
      </c>
      <c r="AA79" s="541">
        <f t="shared" si="52"/>
        <v>-11951.205399782522</v>
      </c>
      <c r="AB79" s="541">
        <f t="shared" si="52"/>
        <v>-11961.164737615674</v>
      </c>
      <c r="AC79" s="541">
        <f t="shared" si="52"/>
        <v>-11971.132374897021</v>
      </c>
      <c r="AD79" s="541">
        <f t="shared" si="52"/>
        <v>-11981.108318542769</v>
      </c>
      <c r="AE79" s="541">
        <f t="shared" si="52"/>
        <v>-11991.092575474888</v>
      </c>
      <c r="AF79" s="541">
        <f t="shared" si="52"/>
        <v>-12001.085152621117</v>
      </c>
      <c r="AG79" s="541">
        <f t="shared" si="52"/>
        <v>-12011.086056914968</v>
      </c>
      <c r="AH79" s="541">
        <f t="shared" si="52"/>
        <v>-12021.09529529573</v>
      </c>
      <c r="AI79" s="541">
        <f t="shared" si="52"/>
        <v>-12031.112874708477</v>
      </c>
      <c r="AJ79" s="541">
        <f t="shared" si="52"/>
        <v>-12041.138802104068</v>
      </c>
      <c r="AK79" s="541">
        <f t="shared" si="52"/>
        <v>-12051.173084439155</v>
      </c>
      <c r="AL79" s="541">
        <f t="shared" si="52"/>
        <v>-12061.215728676189</v>
      </c>
      <c r="AM79" s="541">
        <f t="shared" si="52"/>
        <v>-12071.266741783418</v>
      </c>
      <c r="AN79" s="541">
        <f t="shared" si="52"/>
        <v>-12081.326130734904</v>
      </c>
      <c r="AO79" s="541">
        <f t="shared" si="52"/>
        <v>-12091.393902510516</v>
      </c>
      <c r="AP79" s="541">
        <f t="shared" si="52"/>
        <v>-12101.470064095942</v>
      </c>
      <c r="AQ79" s="541">
        <f t="shared" si="52"/>
        <v>-12111.554622482689</v>
      </c>
      <c r="AR79" s="541">
        <f t="shared" si="52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R81" si="53">V79-V80</f>
        <v>1.7039324720826698E-2</v>
      </c>
      <c r="W81" s="482">
        <f t="shared" si="53"/>
        <v>1.9095190824373276E-2</v>
      </c>
      <c r="X81" s="482">
        <f t="shared" si="53"/>
        <v>2.2886103482960607E-2</v>
      </c>
      <c r="Y81" s="482">
        <f t="shared" si="53"/>
        <v>1.8405175236694049E-2</v>
      </c>
      <c r="Z81" s="482">
        <f t="shared" si="53"/>
        <v>1.5645512883565971E-2</v>
      </c>
      <c r="AA81" s="482">
        <f t="shared" si="53"/>
        <v>1.4600217476981925E-2</v>
      </c>
      <c r="AB81" s="482">
        <f t="shared" si="53"/>
        <v>1.5262384325978928E-2</v>
      </c>
      <c r="AC81" s="482">
        <f t="shared" si="53"/>
        <v>1.7625102978854557E-2</v>
      </c>
      <c r="AD81" s="482">
        <f t="shared" si="53"/>
        <v>2.1681457230442902E-2</v>
      </c>
      <c r="AE81" s="482">
        <f t="shared" si="53"/>
        <v>1.7424525112801348E-2</v>
      </c>
      <c r="AF81" s="482">
        <f t="shared" si="53"/>
        <v>1.4847378883132478E-2</v>
      </c>
      <c r="AG81" s="482">
        <f t="shared" si="53"/>
        <v>1.3943085032224189E-2</v>
      </c>
      <c r="AH81" s="482">
        <f t="shared" si="53"/>
        <v>1.4704704270116054E-2</v>
      </c>
      <c r="AI81" s="482">
        <f t="shared" si="53"/>
        <v>1.7125291522461339E-2</v>
      </c>
      <c r="AJ81" s="482">
        <f t="shared" si="53"/>
        <v>2.1197895932346E-2</v>
      </c>
      <c r="AK81" s="482">
        <f t="shared" si="53"/>
        <v>1.6915560845518485E-2</v>
      </c>
      <c r="AL81" s="482">
        <f t="shared" si="53"/>
        <v>1.4271323811044567E-2</v>
      </c>
      <c r="AM81" s="482">
        <f t="shared" si="53"/>
        <v>-10.03674178341862</v>
      </c>
      <c r="AN81" s="482">
        <f t="shared" si="53"/>
        <v>-20.096130734904364</v>
      </c>
      <c r="AO81" s="482">
        <f t="shared" si="53"/>
        <v>-12091.393902510516</v>
      </c>
      <c r="AP81" s="482">
        <f t="shared" si="53"/>
        <v>-12101.470064095942</v>
      </c>
      <c r="AQ81" s="482">
        <f t="shared" si="53"/>
        <v>-12111.554622482689</v>
      </c>
      <c r="AR81" s="482">
        <f t="shared" si="53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296" priority="26" operator="notEqual">
      <formula>E27</formula>
    </cfRule>
  </conditionalFormatting>
  <conditionalFormatting sqref="F28">
    <cfRule type="cellIs" dxfId="295" priority="25" operator="notEqual">
      <formula>F27</formula>
    </cfRule>
  </conditionalFormatting>
  <conditionalFormatting sqref="G28">
    <cfRule type="cellIs" dxfId="294" priority="24" operator="notEqual">
      <formula>G27</formula>
    </cfRule>
  </conditionalFormatting>
  <conditionalFormatting sqref="H28">
    <cfRule type="cellIs" dxfId="293" priority="23" operator="notEqual">
      <formula>H27</formula>
    </cfRule>
  </conditionalFormatting>
  <conditionalFormatting sqref="C28">
    <cfRule type="cellIs" dxfId="292" priority="22" operator="notEqual">
      <formula>C27</formula>
    </cfRule>
  </conditionalFormatting>
  <conditionalFormatting sqref="F61">
    <cfRule type="cellIs" dxfId="291" priority="21" operator="notEqual">
      <formula>F60</formula>
    </cfRule>
  </conditionalFormatting>
  <conditionalFormatting sqref="G61">
    <cfRule type="cellIs" dxfId="290" priority="20" operator="notEqual">
      <formula>G60</formula>
    </cfRule>
  </conditionalFormatting>
  <conditionalFormatting sqref="H61">
    <cfRule type="cellIs" dxfId="289" priority="19" operator="notEqual">
      <formula>H60</formula>
    </cfRule>
  </conditionalFormatting>
  <conditionalFormatting sqref="C61">
    <cfRule type="cellIs" dxfId="288" priority="18" operator="notEqual">
      <formula>C60</formula>
    </cfRule>
  </conditionalFormatting>
  <conditionalFormatting sqref="I61">
    <cfRule type="cellIs" dxfId="287" priority="17" operator="notEqual">
      <formula>I60</formula>
    </cfRule>
  </conditionalFormatting>
  <conditionalFormatting sqref="AY81 AY48 AY11">
    <cfRule type="cellIs" dxfId="286" priority="16" operator="notEqual">
      <formula>0</formula>
    </cfRule>
  </conditionalFormatting>
  <conditionalFormatting sqref="I28">
    <cfRule type="cellIs" dxfId="285" priority="15" operator="notEqual">
      <formula>I27</formula>
    </cfRule>
  </conditionalFormatting>
  <conditionalFormatting sqref="J28">
    <cfRule type="cellIs" dxfId="284" priority="14" operator="notEqual">
      <formula>J27</formula>
    </cfRule>
  </conditionalFormatting>
  <conditionalFormatting sqref="J61">
    <cfRule type="cellIs" dxfId="283" priority="13" operator="notEqual">
      <formula>J60</formula>
    </cfRule>
  </conditionalFormatting>
  <conditionalFormatting sqref="K28">
    <cfRule type="cellIs" dxfId="282" priority="12" operator="notEqual">
      <formula>K27</formula>
    </cfRule>
  </conditionalFormatting>
  <conditionalFormatting sqref="K61">
    <cfRule type="cellIs" dxfId="281" priority="11" operator="notEqual">
      <formula>K60</formula>
    </cfRule>
  </conditionalFormatting>
  <conditionalFormatting sqref="L28:M28">
    <cfRule type="cellIs" dxfId="280" priority="10" operator="notEqual">
      <formula>L27</formula>
    </cfRule>
  </conditionalFormatting>
  <conditionalFormatting sqref="N28">
    <cfRule type="cellIs" dxfId="279" priority="9" operator="notEqual">
      <formula>N27</formula>
    </cfRule>
  </conditionalFormatting>
  <conditionalFormatting sqref="U61">
    <cfRule type="cellIs" dxfId="278" priority="8" operator="notEqual">
      <formula>U60</formula>
    </cfRule>
  </conditionalFormatting>
  <conditionalFormatting sqref="U28:V28">
    <cfRule type="cellIs" dxfId="277" priority="7" operator="notEqual">
      <formula>U27</formula>
    </cfRule>
  </conditionalFormatting>
  <conditionalFormatting sqref="V28">
    <cfRule type="cellIs" dxfId="276" priority="6" operator="notEqual">
      <formula>V27</formula>
    </cfRule>
  </conditionalFormatting>
  <conditionalFormatting sqref="V61">
    <cfRule type="cellIs" dxfId="275" priority="5" operator="notEqual">
      <formula>V60</formula>
    </cfRule>
  </conditionalFormatting>
  <conditionalFormatting sqref="W28">
    <cfRule type="cellIs" dxfId="274" priority="4" operator="notEqual">
      <formula>W27</formula>
    </cfRule>
  </conditionalFormatting>
  <conditionalFormatting sqref="W61">
    <cfRule type="cellIs" dxfId="273" priority="3" operator="notEqual">
      <formula>W60</formula>
    </cfRule>
  </conditionalFormatting>
  <conditionalFormatting sqref="X28:Y28">
    <cfRule type="cellIs" dxfId="272" priority="2" operator="notEqual">
      <formula>X27</formula>
    </cfRule>
  </conditionalFormatting>
  <conditionalFormatting sqref="Z28">
    <cfRule type="cellIs" dxfId="271" priority="1" operator="notEqual">
      <formula>Z27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topLeftCell="A13" zoomScale="85" zoomScaleNormal="85" zoomScaleSheetLayoutView="85" workbookViewId="0">
      <selection activeCell="AD46" sqref="AD46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4" width="16.33203125" style="482" customWidth="1"/>
    <col min="35" max="44" width="16.33203125" style="482" hidden="1" customWidth="1"/>
    <col min="45" max="45" width="11.6640625" style="482" customWidth="1"/>
    <col min="46" max="46" width="37.88671875" style="482" bestFit="1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D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>AD3+1</f>
        <v>201511</v>
      </c>
      <c r="AF3" s="484">
        <f>AE3+1</f>
        <v>201512</v>
      </c>
      <c r="AG3" s="484">
        <v>201601</v>
      </c>
      <c r="AH3" s="484">
        <f>AG3+1</f>
        <v>201602</v>
      </c>
      <c r="AI3" s="484">
        <f t="shared" ref="AI3:AQ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>AL3+1</f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>AQ3+1</f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/>
      <c r="AK4" s="488"/>
      <c r="AL4" s="488"/>
      <c r="AM4" s="488"/>
      <c r="AN4" s="488"/>
      <c r="AO4" s="488"/>
      <c r="AP4" s="488"/>
      <c r="AQ4" s="488"/>
      <c r="AR4" s="488"/>
      <c r="AT4" s="544">
        <v>201602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f>E13</f>
        <v>2712780.2600000002</v>
      </c>
      <c r="G5" s="482">
        <f>F13</f>
        <v>2255013.9900000002</v>
      </c>
      <c r="H5" s="482">
        <f>G13</f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f>AE13</f>
        <v>-4407824.1695987741</v>
      </c>
      <c r="AG5" s="482">
        <f t="shared" ref="AG5:AR5" si="2">AF13</f>
        <v>-6508323.8685397729</v>
      </c>
      <c r="AH5" s="482">
        <f t="shared" si="2"/>
        <v>-8439847.1132167727</v>
      </c>
      <c r="AI5" s="482">
        <f t="shared" si="2"/>
        <v>-9264796.9494047705</v>
      </c>
      <c r="AJ5" s="482">
        <f t="shared" si="2"/>
        <v>-10398819.535470769</v>
      </c>
      <c r="AK5" s="482">
        <f t="shared" si="2"/>
        <v>-12120838.945960769</v>
      </c>
      <c r="AL5" s="482">
        <f t="shared" si="2"/>
        <v>-12710536.052104771</v>
      </c>
      <c r="AM5" s="482">
        <f t="shared" si="2"/>
        <v>-14075012.994992768</v>
      </c>
      <c r="AN5" s="482">
        <f t="shared" si="2"/>
        <v>-14980904.65771677</v>
      </c>
      <c r="AO5" s="482">
        <f t="shared" si="2"/>
        <v>-14585525.82938277</v>
      </c>
      <c r="AP5" s="482">
        <f t="shared" si="2"/>
        <v>-15041610.532484772</v>
      </c>
      <c r="AQ5" s="482">
        <f t="shared" si="2"/>
        <v>-15116879.301035771</v>
      </c>
      <c r="AR5" s="482">
        <f t="shared" si="2"/>
        <v>-16727771.27722577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 t="shared" ref="C6:C12" si="3">SUM(AG6:AR6)</f>
        <v>-12287260.282684997</v>
      </c>
      <c r="D6" s="482">
        <f>-2523837.34+SUM(E6:AF6,E9:AE9)</f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f>Dec!$H$55</f>
        <v>-532526.84243099857</v>
      </c>
      <c r="AG6" s="482">
        <f>Jan!$H$55</f>
        <v>-173856.58066100068</v>
      </c>
      <c r="AH6" s="482">
        <f>Feb!$H$55</f>
        <v>105835.91384800058</v>
      </c>
      <c r="AI6" s="482">
        <f>Mar!$H$55</f>
        <v>-604740.2805199977</v>
      </c>
      <c r="AJ6" s="482">
        <f>Apr!$H$55</f>
        <v>-2253526.4287800011</v>
      </c>
      <c r="AK6" s="482">
        <f>May!$H$55</f>
        <v>-1368171.1781060011</v>
      </c>
      <c r="AL6" s="482">
        <f>Jun!$H$55</f>
        <v>-2304890.4720699973</v>
      </c>
      <c r="AM6" s="482">
        <f>Jul!$H$55</f>
        <v>-1924994.8295020012</v>
      </c>
      <c r="AN6" s="482">
        <f>Aug!$H$55</f>
        <v>-801970.65527799854</v>
      </c>
      <c r="AO6" s="482">
        <f>Sep!$H$55</f>
        <v>-1342648.9440120016</v>
      </c>
      <c r="AP6" s="482">
        <f>Oct!$H$55</f>
        <v>-790814.72967299959</v>
      </c>
      <c r="AQ6" s="482">
        <f>Nov!$H$55</f>
        <v>-294955.25549999811</v>
      </c>
      <c r="AR6" s="482">
        <f>Dec!$H$55</f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f>IF(SUMIF(U3:AR3,AT4,U8:AR8)&lt;0,-SUMIF(U3:AR3,AT4,U8:AR8),0)+10.22</f>
        <v>23952.84</v>
      </c>
      <c r="AY6" s="500">
        <v>0</v>
      </c>
    </row>
    <row r="7" spans="1:51" ht="16.2">
      <c r="B7" s="481" t="s">
        <v>255</v>
      </c>
      <c r="C7" s="482">
        <f t="shared" si="3"/>
        <v>53264.015058000805</v>
      </c>
      <c r="D7" s="482">
        <f>5059705.37+SUM(E7:AF7,E10:AE10)</f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f>Dec!$I$55</f>
        <v>-1552771.3765099996</v>
      </c>
      <c r="AG7" s="482">
        <f>Jan!$I$55</f>
        <v>-1737451.7240159996</v>
      </c>
      <c r="AH7" s="482">
        <f>Feb!$I$55</f>
        <v>-906843.13003599993</v>
      </c>
      <c r="AI7" s="482">
        <f>Mar!$I$55</f>
        <v>-502690.50554600032</v>
      </c>
      <c r="AJ7" s="482">
        <f>Apr!$I$55</f>
        <v>531507.01829000015</v>
      </c>
      <c r="AK7" s="482">
        <f>May!$I$55</f>
        <v>778474.07196199952</v>
      </c>
      <c r="AL7" s="482">
        <f>Jun!$I$55</f>
        <v>940413.5291820009</v>
      </c>
      <c r="AM7" s="482">
        <f>Jul!$I$55</f>
        <v>1019103.1667780007</v>
      </c>
      <c r="AN7" s="482">
        <f>Aug!$I$55</f>
        <v>1197349.4836119998</v>
      </c>
      <c r="AO7" s="482">
        <f>Sep!$I$55</f>
        <v>886564.2409099997</v>
      </c>
      <c r="AP7" s="482">
        <f>Oct!$I$55</f>
        <v>715545.96112199978</v>
      </c>
      <c r="AQ7" s="482">
        <f>Nov!$I$55</f>
        <v>-1315936.7206899999</v>
      </c>
      <c r="AR7" s="482">
        <f>Dec!$I$55</f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IF((SUMIF(U3:AR3,AT4,U6:AR6)+SUMIF(U3:AR3,AT4,U7:AR7)+SUMIF(U3:AR3,AT4,U8:AR8))&lt;0,-(SUMIF(U3:AR3,AT4,U6:AR6)+SUMIF(U3:AR3,AT4,U7:AR7)++SUMIF(U3:AR3,AT4,U8:AR8)),0)+7556.99</f>
        <v>832506.82618799934</v>
      </c>
    </row>
    <row r="8" spans="1:51" ht="16.2">
      <c r="B8" s="481" t="s">
        <v>258</v>
      </c>
      <c r="C8" s="482">
        <f t="shared" si="3"/>
        <v>-70749.36</v>
      </c>
      <c r="D8" s="482">
        <f>-38846.64+SUM(E8:AF8,E11:AE11)+X12</f>
        <v>-68530.340000000011</v>
      </c>
      <c r="E8" s="482">
        <f>ROUND(((E5+E9+E10+E11)*(E4/12))+((SUM(E6:E7)/2)*(E4/12)),2)</f>
        <v>7045.4</v>
      </c>
      <c r="F8" s="482">
        <f>ROUND(((F5+F9+F10+F11)*(F4/12))+((SUM(F6:F7)/2)*(F4/12)),2)</f>
        <v>6718.12</v>
      </c>
      <c r="G8" s="482">
        <f>ROUND(((G5+G9+G10+G11)*(G4/12))+((SUM(G6:G7)/2)*(G4/12)),2)</f>
        <v>1454.73</v>
      </c>
      <c r="H8" s="537">
        <f t="shared" ref="H8" si="4">ROUND(((H5)*(H4/12))+((SUM(H6:H7)/2)*(H4/12)),2)</f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f>ROUND(((AF5)*(AF4/12))+((SUM(AF6:AF7)/2)*(AF4/12)),2)</f>
        <v>-14761.7</v>
      </c>
      <c r="AG8" s="489">
        <f t="shared" ref="AG8:AR8" si="5">ROUND(((AG5)*(AG4/12))+((SUM(AG6:AG7)/2)*(AG4/12)),2)</f>
        <v>-20214.939999999999</v>
      </c>
      <c r="AH8" s="489">
        <f t="shared" si="5"/>
        <v>-23942.62</v>
      </c>
      <c r="AI8" s="489">
        <f t="shared" si="5"/>
        <v>-26591.8</v>
      </c>
      <c r="AJ8" s="489">
        <f t="shared" si="5"/>
        <v>0</v>
      </c>
      <c r="AK8" s="489">
        <f t="shared" si="5"/>
        <v>0</v>
      </c>
      <c r="AL8" s="489">
        <f t="shared" si="5"/>
        <v>0</v>
      </c>
      <c r="AM8" s="489">
        <f t="shared" si="5"/>
        <v>0</v>
      </c>
      <c r="AN8" s="489">
        <f t="shared" si="5"/>
        <v>0</v>
      </c>
      <c r="AO8" s="489">
        <f t="shared" si="5"/>
        <v>0</v>
      </c>
      <c r="AP8" s="489">
        <f t="shared" si="5"/>
        <v>0</v>
      </c>
      <c r="AQ8" s="489">
        <f t="shared" si="5"/>
        <v>0</v>
      </c>
      <c r="AR8" s="489">
        <f t="shared" si="5"/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f>IF((SUMIF(U3:AR3,AT4,U6:AR6)+SUMIF(U3:AR3,AT4,U7:AR7))&lt;0,-(SUMIF(U3:AR3,AT4,U6:AR6)+SUMIF(U3:AR3,AT4,U7:AR7)),0)+7546.77</f>
        <v>808553.98618799937</v>
      </c>
      <c r="AY8" s="500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29">
        <f>AU43</f>
        <v>191000</v>
      </c>
      <c r="AV10" s="529" t="str">
        <f>AV43</f>
        <v>GD</v>
      </c>
      <c r="AW10" s="529" t="str">
        <f>AW43</f>
        <v>WA</v>
      </c>
      <c r="AX10" s="503">
        <v>0</v>
      </c>
      <c r="AY10" s="521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f>-438.59-1.19</f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f>SUM(C5:C12)</f>
        <v>-12304745.627626995</v>
      </c>
      <c r="D13" s="541"/>
      <c r="E13" s="541">
        <f>SUM(E5:E12)</f>
        <v>2712780.2600000002</v>
      </c>
      <c r="F13" s="541">
        <f t="shared" ref="F13:H13" si="6">SUM(F5:F12)</f>
        <v>2255013.9900000002</v>
      </c>
      <c r="G13" s="541">
        <f>SUM(G5:G12)</f>
        <v>-33498.738666789999</v>
      </c>
      <c r="H13" s="541">
        <f t="shared" si="6"/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f t="shared" ref="V13:X13" si="7">SUM(V5:V12)</f>
        <v>-1694440.0214187815</v>
      </c>
      <c r="W13" s="541">
        <f t="shared" si="7"/>
        <v>-683405.33395377884</v>
      </c>
      <c r="X13" s="541">
        <f t="shared" si="7"/>
        <v>-2769396.4708657796</v>
      </c>
      <c r="Y13" s="541">
        <f>SUM(Y5:Y12)</f>
        <v>-2940906.6891037785</v>
      </c>
      <c r="Z13" s="541">
        <f t="shared" ref="Z13:AE13" si="8">SUM(Z5:Z12)</f>
        <v>-3112721.2246137792</v>
      </c>
      <c r="AA13" s="541">
        <f t="shared" si="8"/>
        <v>-3464489.8670317773</v>
      </c>
      <c r="AB13" s="541">
        <f t="shared" si="8"/>
        <v>-3555298.2266717753</v>
      </c>
      <c r="AC13" s="541">
        <f t="shared" si="8"/>
        <v>-4755858.0107337767</v>
      </c>
      <c r="AD13" s="541">
        <f t="shared" si="8"/>
        <v>-5900360.3440987766</v>
      </c>
      <c r="AE13" s="541">
        <f t="shared" si="8"/>
        <v>-4407824.1695987741</v>
      </c>
      <c r="AF13" s="541">
        <f>SUM(AF5:AF12)</f>
        <v>-6508323.8685397729</v>
      </c>
      <c r="AG13" s="541">
        <f t="shared" ref="AG13:AR13" si="9">SUM(AG5:AG12)</f>
        <v>-8439847.1132167727</v>
      </c>
      <c r="AH13" s="541">
        <f t="shared" si="9"/>
        <v>-9264796.9494047705</v>
      </c>
      <c r="AI13" s="541">
        <f t="shared" si="9"/>
        <v>-10398819.535470769</v>
      </c>
      <c r="AJ13" s="541">
        <f t="shared" si="9"/>
        <v>-12120838.945960769</v>
      </c>
      <c r="AK13" s="541">
        <f t="shared" si="9"/>
        <v>-12710536.052104771</v>
      </c>
      <c r="AL13" s="541">
        <f t="shared" si="9"/>
        <v>-14075012.994992768</v>
      </c>
      <c r="AM13" s="541">
        <f t="shared" si="9"/>
        <v>-14980904.65771677</v>
      </c>
      <c r="AN13" s="541">
        <f t="shared" si="9"/>
        <v>-14585525.82938277</v>
      </c>
      <c r="AO13" s="541">
        <f t="shared" si="9"/>
        <v>-15041610.532484772</v>
      </c>
      <c r="AP13" s="541">
        <f t="shared" si="9"/>
        <v>-15116879.301035771</v>
      </c>
      <c r="AQ13" s="541">
        <f t="shared" si="9"/>
        <v>-16727771.27722577</v>
      </c>
      <c r="AR13" s="541">
        <f t="shared" si="9"/>
        <v>-18813069.496166766</v>
      </c>
    </row>
    <row r="14" spans="1:51" ht="16.2" thickTop="1">
      <c r="B14" s="481" t="s">
        <v>260</v>
      </c>
      <c r="E14" s="482">
        <f>_xll.Get_Balance(E3,"YTD","USD","Total","A","","001",$A$3,"GD","WA","DL")</f>
        <v>2712780.25</v>
      </c>
      <c r="F14" s="482">
        <f>_xll.Get_Balance(F3,"YTD","USD","Total","A","","001",$A$3,"GD","WA","DL")</f>
        <v>2255013.98</v>
      </c>
      <c r="G14" s="482">
        <f>_xll.Get_Balance(G3,"YTD","USD","Total","A","","001",$A$3,"GD","WA","DL")</f>
        <v>-33498.75</v>
      </c>
      <c r="H14" s="482">
        <f>_xll.Get_Balance(H3,"YTD","USD","Total","A","","001",$A$3,"GD","WA","DL")</f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f>_xll.Get_Balance(V3,"YTD","USD","Total","A","","001",$A$3,"GD","WA","DL")</f>
        <v>-1694440.02</v>
      </c>
      <c r="W14" s="482">
        <f>_xll.Get_Balance(W3,"YTD","USD","Total","A","","001",$A$3,"GD","WA","DL")</f>
        <v>-683405.33</v>
      </c>
      <c r="X14" s="482">
        <f>_xll.Get_Balance(X3,"YTD","USD","Total","A","","001",$A$3,"GD","WA","DL")</f>
        <v>-2769396.47</v>
      </c>
      <c r="Y14" s="482">
        <f>_xll.Get_Balance(Y3,"YTD","USD","Total","A","","001",$A$3,"GD","WA","DL")</f>
        <v>-2940906.69</v>
      </c>
      <c r="Z14" s="482">
        <f>_xll.Get_Balance(Z3,"YTD","USD","Total","A","","001",$A$3,"GD","WA","DL")</f>
        <v>-3112721.23</v>
      </c>
      <c r="AA14" s="482">
        <f>_xll.Get_Balance(AA3,"YTD","USD","Total","A","","001",$A$3,"GD","WA","DL")</f>
        <v>-3464489.87</v>
      </c>
      <c r="AB14" s="482">
        <f>_xll.Get_Balance(AB3,"YTD","USD","Total","A","","001",$A$3,"GD","WA","DL")</f>
        <v>-3555298.23</v>
      </c>
      <c r="AC14" s="482">
        <f>_xll.Get_Balance(AC3,"YTD","USD","Total","A","","001",$A$3,"GD","WA","DL")</f>
        <v>-4755858.01</v>
      </c>
      <c r="AD14" s="482">
        <f>_xll.Get_Balance(AD3,"YTD","USD","Total","A","","001",$A$3,"GD","WA","DL")</f>
        <v>-5900360.3399999999</v>
      </c>
      <c r="AE14" s="482">
        <f>_xll.Get_Balance(AE3,"YTD","USD","Total","A","","001",$A$3,"GD","WA","DL")</f>
        <v>-4407824.17</v>
      </c>
      <c r="AF14" s="482">
        <f>_xll.Get_Balance(AF3,"YTD","USD","Total","A","","001",$A$3,"GD","WA","DL")</f>
        <v>-6508323.8700000001</v>
      </c>
      <c r="AG14" s="482">
        <f>_xll.Get_Balance(AG3,"YTD","USD","Total","A","","001",$A$3,"GD","WA","DL")</f>
        <v>-8432290.1199999992</v>
      </c>
      <c r="AH14" s="482">
        <f>_xll.Get_Balance(AH3,"YTD","USD","Total","A","","001",$A$3,"GD","WA","DL")</f>
        <v>-9264796.9499999993</v>
      </c>
      <c r="AI14" s="482">
        <f>_xll.Get_Balance(AI3,"YTD","USD","Total","A","","001",$A$3,"GD","WA","DL")</f>
        <v>-10398819.539999999</v>
      </c>
      <c r="AJ14" s="482">
        <f>_xll.Get_Balance(AJ3,"YTD","USD","Total","A","","001",$A$3,"GD","WA","DL")</f>
        <v>-12153304.789999999</v>
      </c>
      <c r="AK14" s="482">
        <f>_xll.Get_Balance(AK3,"YTD","USD","Total","A","","001",$A$3,"GD","WA","DL")</f>
        <v>-12778894.08</v>
      </c>
      <c r="AL14" s="482">
        <f>_xll.Get_Balance(AL3,"YTD","USD","Total","A","","001",$A$3,"GD","WA","DL")</f>
        <v>-14182183.949999999</v>
      </c>
      <c r="AM14" s="482">
        <f>_xll.Get_Balance(AM3,"YTD","USD","Total","A","","001",$A$3,"GD","WA","DL")</f>
        <v>-14182183.949999999</v>
      </c>
      <c r="AN14" s="482">
        <f>_xll.Get_Balance(AN3,"YTD","USD","Total","A","","001",$A$3,"GD","WA","DL")</f>
        <v>-14182183.949999999</v>
      </c>
      <c r="AO14" s="482">
        <f>_xll.Get_Balance(AO3,"YTD","USD","Total","A","","001",$A$3,"GD","WA","DL")</f>
        <v>0</v>
      </c>
      <c r="AP14" s="482">
        <f>_xll.Get_Balance(AP3,"YTD","USD","Total","A","","001",$A$3,"GD","WA","DL")</f>
        <v>0</v>
      </c>
      <c r="AQ14" s="482">
        <f>_xll.Get_Balance(AQ3,"YTD","USD","Total","A","","001",$A$3,"GD","WA","DL")</f>
        <v>0</v>
      </c>
      <c r="AR14" s="482">
        <f>_xll.Get_Balance(AR3,"YTD","USD","Total","A","","001",$A$3,"GD","WA","DL")</f>
        <v>0</v>
      </c>
    </row>
    <row r="15" spans="1:51">
      <c r="B15" s="481" t="s">
        <v>245</v>
      </c>
      <c r="E15" s="482">
        <f t="shared" ref="E15:H15" si="10">E13-E14</f>
        <v>1.0000000242143869E-2</v>
      </c>
      <c r="F15" s="482">
        <f t="shared" si="10"/>
        <v>1.0000000242143869E-2</v>
      </c>
      <c r="G15" s="482">
        <f t="shared" si="10"/>
        <v>1.1333210000884719E-2</v>
      </c>
      <c r="H15" s="482">
        <f t="shared" si="10"/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f t="shared" ref="V15:AE15" si="11">V13-V14</f>
        <v>-1.418781466782093E-3</v>
      </c>
      <c r="W15" s="482">
        <f t="shared" si="11"/>
        <v>-3.9537788834422827E-3</v>
      </c>
      <c r="X15" s="482">
        <f t="shared" si="11"/>
        <v>-8.6577935144305229E-4</v>
      </c>
      <c r="Y15" s="482">
        <f t="shared" si="11"/>
        <v>8.9622149243950844E-4</v>
      </c>
      <c r="Z15" s="482">
        <f t="shared" si="11"/>
        <v>5.3862207569181919E-3</v>
      </c>
      <c r="AA15" s="482">
        <f t="shared" si="11"/>
        <v>2.9682228341698647E-3</v>
      </c>
      <c r="AB15" s="482">
        <f t="shared" si="11"/>
        <v>3.3282246440649033E-3</v>
      </c>
      <c r="AC15" s="482">
        <f t="shared" si="11"/>
        <v>-7.3377694934606552E-4</v>
      </c>
      <c r="AD15" s="482">
        <f t="shared" si="11"/>
        <v>-4.0987767279148102E-3</v>
      </c>
      <c r="AE15" s="482">
        <f t="shared" si="11"/>
        <v>4.0122587233781815E-4</v>
      </c>
      <c r="AF15" s="482">
        <f>AF13-AF14</f>
        <v>1.4602271839976311E-3</v>
      </c>
      <c r="AG15" s="482">
        <f>AG13-AG14</f>
        <v>-7556.9932167734951</v>
      </c>
      <c r="AH15" s="482">
        <f>AH13-AH14</f>
        <v>5.9522874653339386E-4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D18" si="12">U18+1</f>
        <v>201502</v>
      </c>
      <c r="W18" s="484">
        <f t="shared" si="12"/>
        <v>201503</v>
      </c>
      <c r="X18" s="484">
        <f t="shared" si="12"/>
        <v>201504</v>
      </c>
      <c r="Y18" s="484">
        <f t="shared" si="12"/>
        <v>201505</v>
      </c>
      <c r="Z18" s="484">
        <f t="shared" si="12"/>
        <v>201506</v>
      </c>
      <c r="AA18" s="484">
        <f t="shared" si="12"/>
        <v>201507</v>
      </c>
      <c r="AB18" s="484">
        <f t="shared" si="12"/>
        <v>201508</v>
      </c>
      <c r="AC18" s="484">
        <f t="shared" si="12"/>
        <v>201509</v>
      </c>
      <c r="AD18" s="484">
        <f t="shared" si="12"/>
        <v>201510</v>
      </c>
      <c r="AE18" s="484">
        <f>AD18+1</f>
        <v>201511</v>
      </c>
      <c r="AF18" s="484">
        <f t="shared" ref="AF18" si="13">AE18+1</f>
        <v>201512</v>
      </c>
      <c r="AG18" s="484">
        <v>201601</v>
      </c>
      <c r="AH18" s="484">
        <f>AG18+1</f>
        <v>201602</v>
      </c>
      <c r="AI18" s="484">
        <f t="shared" ref="AI18:AR18" si="14">AH18+1</f>
        <v>201603</v>
      </c>
      <c r="AJ18" s="484">
        <f t="shared" si="14"/>
        <v>201604</v>
      </c>
      <c r="AK18" s="484">
        <f t="shared" si="14"/>
        <v>201605</v>
      </c>
      <c r="AL18" s="484">
        <f t="shared" si="14"/>
        <v>201606</v>
      </c>
      <c r="AM18" s="484">
        <f t="shared" si="14"/>
        <v>201607</v>
      </c>
      <c r="AN18" s="484">
        <f t="shared" si="14"/>
        <v>201608</v>
      </c>
      <c r="AO18" s="484">
        <f t="shared" si="14"/>
        <v>201609</v>
      </c>
      <c r="AP18" s="484">
        <f t="shared" si="14"/>
        <v>201610</v>
      </c>
      <c r="AQ18" s="484">
        <f t="shared" si="14"/>
        <v>201611</v>
      </c>
      <c r="AR18" s="484">
        <f t="shared" si="14"/>
        <v>201612</v>
      </c>
    </row>
    <row r="19" spans="1:45">
      <c r="A19" s="483"/>
      <c r="B19" s="481" t="s">
        <v>37</v>
      </c>
      <c r="C19" s="491">
        <f>SUM(AG19:AR19)</f>
        <v>34438012</v>
      </c>
      <c r="D19" s="491">
        <f>SUM(AE19:AP19)</f>
        <v>69272841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f>Dec!$G23</f>
        <v>19459801</v>
      </c>
      <c r="AG19" s="543">
        <f>Jan!$G23</f>
        <v>20140968</v>
      </c>
      <c r="AH19" s="543">
        <f>Feb!$G23</f>
        <v>14297044</v>
      </c>
      <c r="AI19" s="543"/>
      <c r="AJ19" s="543"/>
      <c r="AK19" s="543"/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f t="shared" ref="C20:C27" si="15">SUM(AG20:AR20)</f>
        <v>32486</v>
      </c>
      <c r="D20" s="491">
        <f>SUM(AE20:AP20)</f>
        <v>43930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f>Dec!$G24</f>
        <v>7942</v>
      </c>
      <c r="AG20" s="543">
        <f>Jan!$G24</f>
        <v>17893</v>
      </c>
      <c r="AH20" s="543">
        <f>Feb!$G24</f>
        <v>14593</v>
      </c>
      <c r="AI20" s="543"/>
      <c r="AJ20" s="543"/>
      <c r="AK20" s="543"/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f t="shared" si="15"/>
        <v>11768846</v>
      </c>
      <c r="D21" s="491">
        <f t="shared" ref="D21:D27" si="16">SUM(AE21:AP21)</f>
        <v>23438298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f>Dec!$G25</f>
        <v>6165932</v>
      </c>
      <c r="AG21" s="543">
        <f>Jan!$G25</f>
        <v>6568112</v>
      </c>
      <c r="AH21" s="543">
        <f>Feb!$G25</f>
        <v>5200734</v>
      </c>
      <c r="AI21" s="543"/>
      <c r="AJ21" s="543"/>
      <c r="AK21" s="543"/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f t="shared" si="15"/>
        <v>754431</v>
      </c>
      <c r="D23" s="491">
        <f t="shared" si="16"/>
        <v>1627609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f>Dec!$G27</f>
        <v>331801</v>
      </c>
      <c r="AG23" s="543">
        <f>Jan!$G27</f>
        <v>345863</v>
      </c>
      <c r="AH23" s="543">
        <f>Feb!$G27</f>
        <v>408568</v>
      </c>
      <c r="AI23" s="543"/>
      <c r="AJ23" s="543"/>
      <c r="AK23" s="543"/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f t="shared" si="15"/>
        <v>0</v>
      </c>
      <c r="D24" s="491">
        <f t="shared" si="16"/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f t="shared" si="15"/>
        <v>0</v>
      </c>
      <c r="D25" s="491">
        <f t="shared" si="16"/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f>Dec!$G29</f>
        <v>0</v>
      </c>
      <c r="AG25" s="543">
        <f>Jan!$G29</f>
        <v>0</v>
      </c>
      <c r="AH25" s="543">
        <f>Feb!$G29</f>
        <v>0</v>
      </c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f t="shared" si="15"/>
        <v>0</v>
      </c>
      <c r="D26" s="491">
        <f t="shared" si="16"/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f t="shared" si="15"/>
        <v>6302982</v>
      </c>
      <c r="D27" s="491">
        <f t="shared" si="16"/>
        <v>12644224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f>Dec!$G31</f>
        <v>3321068</v>
      </c>
      <c r="AG27" s="543">
        <f>Jan!$G31</f>
        <v>3346687</v>
      </c>
      <c r="AH27" s="543">
        <f>Feb!$G31</f>
        <v>2956295</v>
      </c>
      <c r="AI27" s="543"/>
      <c r="AJ27" s="543"/>
      <c r="AK27" s="543"/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f>SUM(AG28:AR28)</f>
        <v>53296757</v>
      </c>
      <c r="D28" s="542">
        <f>SUM(S28:AD28)</f>
        <v>179344916</v>
      </c>
      <c r="E28" s="542">
        <f>SUM(E19:E27)</f>
        <v>6409834</v>
      </c>
      <c r="F28" s="542">
        <f>SUM(F19:F27)</f>
        <v>16252041</v>
      </c>
      <c r="G28" s="542">
        <f t="shared" ref="G28:H28" si="17">SUM(G19:G27)</f>
        <v>24054373</v>
      </c>
      <c r="H28" s="542">
        <f t="shared" si="17"/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f t="shared" ref="V28:AR28" si="18">SUM(V19:V27)</f>
        <v>21809394</v>
      </c>
      <c r="W28" s="542">
        <f t="shared" si="18"/>
        <v>17454090</v>
      </c>
      <c r="X28" s="542">
        <f t="shared" si="18"/>
        <v>14032685</v>
      </c>
      <c r="Y28" s="542">
        <f t="shared" si="18"/>
        <v>7651890</v>
      </c>
      <c r="Z28" s="542">
        <f t="shared" si="18"/>
        <v>5795038</v>
      </c>
      <c r="AA28" s="542">
        <f t="shared" si="18"/>
        <v>5628267</v>
      </c>
      <c r="AB28" s="542">
        <f t="shared" si="18"/>
        <v>5459507</v>
      </c>
      <c r="AC28" s="542">
        <f t="shared" si="18"/>
        <v>7409442</v>
      </c>
      <c r="AD28" s="542">
        <f t="shared" si="18"/>
        <v>10025335</v>
      </c>
      <c r="AE28" s="542">
        <f t="shared" si="18"/>
        <v>24443601</v>
      </c>
      <c r="AF28" s="542">
        <f t="shared" si="18"/>
        <v>29286544</v>
      </c>
      <c r="AG28" s="542">
        <f>SUM(AG19:AG27)</f>
        <v>30419523</v>
      </c>
      <c r="AH28" s="542">
        <f t="shared" si="18"/>
        <v>22877234</v>
      </c>
      <c r="AI28" s="542">
        <f t="shared" si="18"/>
        <v>0</v>
      </c>
      <c r="AJ28" s="542">
        <f t="shared" si="18"/>
        <v>0</v>
      </c>
      <c r="AK28" s="542">
        <f t="shared" si="18"/>
        <v>0</v>
      </c>
      <c r="AL28" s="542">
        <f t="shared" si="18"/>
        <v>0</v>
      </c>
      <c r="AM28" s="542">
        <f t="shared" si="18"/>
        <v>0</v>
      </c>
      <c r="AN28" s="542">
        <f t="shared" si="18"/>
        <v>0</v>
      </c>
      <c r="AO28" s="542">
        <f t="shared" si="18"/>
        <v>0</v>
      </c>
      <c r="AP28" s="542">
        <f t="shared" si="18"/>
        <v>0</v>
      </c>
      <c r="AQ28" s="542">
        <f t="shared" si="18"/>
        <v>0</v>
      </c>
      <c r="AR28" s="542">
        <f t="shared" si="18"/>
        <v>0</v>
      </c>
    </row>
    <row r="29" spans="1:45" ht="16.2" thickTop="1">
      <c r="A29" s="483"/>
      <c r="B29" s="481" t="s">
        <v>269</v>
      </c>
      <c r="C29" s="491">
        <f>SUM(AG29:AR29)</f>
        <v>53296757</v>
      </c>
      <c r="D29" s="491">
        <f>SUM(S29:AD29)</f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>
        <v>22877234</v>
      </c>
      <c r="AI29" s="491"/>
      <c r="AJ29" s="491"/>
      <c r="AK29" s="491"/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f>E31+1</f>
        <v>201310</v>
      </c>
      <c r="G31" s="484">
        <f>F31+1</f>
        <v>201311</v>
      </c>
      <c r="H31" s="484">
        <f>G31+1</f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f t="shared" ref="V31:AD31" si="19">U31+1</f>
        <v>201502</v>
      </c>
      <c r="W31" s="484">
        <f t="shared" si="19"/>
        <v>201503</v>
      </c>
      <c r="X31" s="484">
        <f t="shared" si="19"/>
        <v>201504</v>
      </c>
      <c r="Y31" s="484">
        <f t="shared" si="19"/>
        <v>201505</v>
      </c>
      <c r="Z31" s="484">
        <f t="shared" si="19"/>
        <v>201506</v>
      </c>
      <c r="AA31" s="484">
        <f t="shared" si="19"/>
        <v>201507</v>
      </c>
      <c r="AB31" s="484">
        <f t="shared" si="19"/>
        <v>201508</v>
      </c>
      <c r="AC31" s="484">
        <f t="shared" si="19"/>
        <v>201509</v>
      </c>
      <c r="AD31" s="484">
        <f t="shared" si="19"/>
        <v>201510</v>
      </c>
      <c r="AE31" s="484">
        <f>AD31+1</f>
        <v>201511</v>
      </c>
      <c r="AF31" s="484">
        <f t="shared" ref="AF31" si="20">AE31+1</f>
        <v>201512</v>
      </c>
      <c r="AG31" s="484">
        <v>201601</v>
      </c>
      <c r="AH31" s="484">
        <f>AG31+1</f>
        <v>201602</v>
      </c>
      <c r="AI31" s="484">
        <f t="shared" ref="AI31:AR31" si="21">AH31+1</f>
        <v>201603</v>
      </c>
      <c r="AJ31" s="484">
        <f t="shared" si="21"/>
        <v>201604</v>
      </c>
      <c r="AK31" s="484">
        <f t="shared" si="21"/>
        <v>201605</v>
      </c>
      <c r="AL31" s="484">
        <f t="shared" si="21"/>
        <v>201606</v>
      </c>
      <c r="AM31" s="484">
        <f t="shared" si="21"/>
        <v>201607</v>
      </c>
      <c r="AN31" s="484">
        <f t="shared" si="21"/>
        <v>201608</v>
      </c>
      <c r="AO31" s="484">
        <f t="shared" si="21"/>
        <v>201609</v>
      </c>
      <c r="AP31" s="484">
        <f t="shared" si="21"/>
        <v>201610</v>
      </c>
      <c r="AQ31" s="484">
        <f t="shared" si="21"/>
        <v>201611</v>
      </c>
      <c r="AR31" s="484">
        <f t="shared" si="21"/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f>AT4</f>
        <v>201602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f>IF(SUMIF(E42:AF42,AT40,E46:AF46)&gt;0,SUMIF(E42:AF42,AT40,E46:AF46),0)</f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f>E42+1</f>
        <v>201310</v>
      </c>
      <c r="G42" s="484">
        <f>F42+1</f>
        <v>201311</v>
      </c>
      <c r="H42" s="484">
        <f>G42+1</f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f t="shared" ref="V42:AD42" si="22">U42+1</f>
        <v>201502</v>
      </c>
      <c r="W42" s="484">
        <f t="shared" si="22"/>
        <v>201503</v>
      </c>
      <c r="X42" s="484">
        <f t="shared" si="22"/>
        <v>201504</v>
      </c>
      <c r="Y42" s="484">
        <f t="shared" si="22"/>
        <v>201505</v>
      </c>
      <c r="Z42" s="484">
        <f t="shared" si="22"/>
        <v>201506</v>
      </c>
      <c r="AA42" s="484">
        <f t="shared" si="22"/>
        <v>201507</v>
      </c>
      <c r="AB42" s="484">
        <f t="shared" si="22"/>
        <v>201508</v>
      </c>
      <c r="AC42" s="484">
        <f t="shared" si="22"/>
        <v>201509</v>
      </c>
      <c r="AD42" s="484">
        <f t="shared" si="22"/>
        <v>201510</v>
      </c>
      <c r="AE42" s="484">
        <f>AD42+1</f>
        <v>201511</v>
      </c>
      <c r="AF42" s="484">
        <f t="shared" ref="AF42" si="23">AE42+1</f>
        <v>201512</v>
      </c>
      <c r="AG42" s="484">
        <v>201601</v>
      </c>
      <c r="AH42" s="484">
        <f>AG42+1</f>
        <v>201602</v>
      </c>
      <c r="AI42" s="484">
        <f t="shared" ref="AI42:AR42" si="24">AH42+1</f>
        <v>201603</v>
      </c>
      <c r="AJ42" s="484">
        <f t="shared" si="24"/>
        <v>201604</v>
      </c>
      <c r="AK42" s="484">
        <f t="shared" si="24"/>
        <v>201605</v>
      </c>
      <c r="AL42" s="484">
        <f t="shared" si="24"/>
        <v>201606</v>
      </c>
      <c r="AM42" s="484">
        <f t="shared" si="24"/>
        <v>201607</v>
      </c>
      <c r="AN42" s="484">
        <f t="shared" si="24"/>
        <v>201608</v>
      </c>
      <c r="AO42" s="484">
        <f t="shared" si="24"/>
        <v>201609</v>
      </c>
      <c r="AP42" s="484">
        <f t="shared" si="24"/>
        <v>201610</v>
      </c>
      <c r="AQ42" s="484">
        <f t="shared" si="24"/>
        <v>201611</v>
      </c>
      <c r="AR42" s="484">
        <f t="shared" si="24"/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f>IF(SUMIF(E42:AR42,AT40,E46:AR46)&lt;0,-SUMIF(E42:AR42,AT40,E46:AR46),0)</f>
        <v>4282.8770231876824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/>
      <c r="AK43" s="488"/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f>IF((SUMIF(E42:AR42,AT40,E45:AR45)+SUMIF(E42:AR42,AT40,E46:AR46))&gt;0,(SUMIF(E42:AR42,AT40,E45:AR45)+SUMIF(E42:AR42,AT40,E46:AR46)),0)</f>
        <v>432862.05600681232</v>
      </c>
      <c r="AY43" s="500">
        <f>IF((SUMIF(E42:AR42,AT40,E45:AR45)+SUMIF(E42:AR42,AT40,E46:AR46))&lt;0,-(SUMIF(E42:AR42,AT40,E45:AR45)+SUMIF(E42:AR42,AT40,E46:AR46)),0)</f>
        <v>0</v>
      </c>
    </row>
    <row r="44" spans="1:51" ht="16.2">
      <c r="A44" s="493"/>
      <c r="B44" s="481" t="s">
        <v>253</v>
      </c>
      <c r="E44" s="482">
        <v>-194854.27149590768</v>
      </c>
      <c r="F44" s="482">
        <f>E49</f>
        <v>-46035.360287444513</v>
      </c>
      <c r="G44" s="482">
        <f>F49</f>
        <v>404885.58467682183</v>
      </c>
      <c r="H44" s="482">
        <f>G49</f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f t="shared" ref="AF44:AR44" si="25">AE49</f>
        <v>-2966848.8846008489</v>
      </c>
      <c r="AG44" s="482">
        <f t="shared" si="25"/>
        <v>-2400830.7877258095</v>
      </c>
      <c r="AH44" s="482">
        <f t="shared" si="25"/>
        <v>-1799942.4443073752</v>
      </c>
      <c r="AI44" s="482">
        <f t="shared" si="25"/>
        <v>-1367080.388300563</v>
      </c>
      <c r="AJ44" s="482">
        <f t="shared" si="25"/>
        <v>-1370782.8976855436</v>
      </c>
      <c r="AK44" s="482">
        <f t="shared" si="25"/>
        <v>-1370782.8976855436</v>
      </c>
      <c r="AL44" s="482">
        <f t="shared" si="25"/>
        <v>-1370782.8976855436</v>
      </c>
      <c r="AM44" s="482">
        <f t="shared" si="25"/>
        <v>-1370782.8976855436</v>
      </c>
      <c r="AN44" s="482">
        <f t="shared" si="25"/>
        <v>-1370782.8976855436</v>
      </c>
      <c r="AO44" s="482">
        <f t="shared" si="25"/>
        <v>-1370782.8976855436</v>
      </c>
      <c r="AP44" s="482">
        <f t="shared" si="25"/>
        <v>-1370782.8976855436</v>
      </c>
      <c r="AQ44" s="482">
        <f t="shared" si="25"/>
        <v>-1370782.8976855436</v>
      </c>
      <c r="AR44" s="482">
        <f t="shared" si="25"/>
        <v>-1370782.8976855436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f>IF((SUMIF(E42:AR42,AT40,E45:AR45))&lt;0,-(SUMIF(E42:AR42,AT40,E45:AR45)),0)</f>
        <v>0</v>
      </c>
      <c r="AY44" s="500">
        <f>IF((SUMIF(E42:AR42,AT40,E45:AR45))&gt;0,(SUMIF(E42:AR42,AT40,E45:AR45)),0)</f>
        <v>437144.93303000001</v>
      </c>
    </row>
    <row r="45" spans="1:51" ht="16.2">
      <c r="B45" s="481" t="s">
        <v>23</v>
      </c>
      <c r="C45" s="482">
        <f>SUM(AG45:AR45)</f>
        <v>1043714.1307099999</v>
      </c>
      <c r="D45" s="494">
        <f>SUM(AE45:AP45)</f>
        <v>2074087.1307099999</v>
      </c>
      <c r="E45" s="482">
        <f>SUMPRODUCT(E19:E27,E32:E40)</f>
        <v>149144.67478</v>
      </c>
      <c r="F45" s="482">
        <f>SUMPRODUCT(F19:F27,F32:F40)</f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f>SUMPRODUCT(AG19:AG27,AG32:AG40)</f>
        <v>606569.19767999998</v>
      </c>
      <c r="AH45" s="482">
        <f t="shared" ref="AH45:AR45" si="26">SUMPRODUCT(AH19:AH27,AH32:AH40)</f>
        <v>437144.93303000001</v>
      </c>
      <c r="AI45" s="482">
        <f t="shared" si="26"/>
        <v>0</v>
      </c>
      <c r="AJ45" s="482">
        <f t="shared" si="26"/>
        <v>0</v>
      </c>
      <c r="AK45" s="482">
        <f t="shared" si="26"/>
        <v>0</v>
      </c>
      <c r="AL45" s="482">
        <f t="shared" si="26"/>
        <v>0</v>
      </c>
      <c r="AM45" s="482">
        <f t="shared" si="26"/>
        <v>0</v>
      </c>
      <c r="AN45" s="482">
        <f t="shared" si="26"/>
        <v>0</v>
      </c>
      <c r="AO45" s="482">
        <f t="shared" si="26"/>
        <v>0</v>
      </c>
      <c r="AP45" s="482">
        <f t="shared" si="26"/>
        <v>0</v>
      </c>
      <c r="AQ45" s="482">
        <f t="shared" si="26"/>
        <v>0</v>
      </c>
      <c r="AR45" s="482">
        <f t="shared" si="26"/>
        <v>0</v>
      </c>
      <c r="AT45" s="153" t="s">
        <v>156</v>
      </c>
      <c r="AU45" s="209">
        <f>AU43</f>
        <v>191000</v>
      </c>
      <c r="AV45" s="209" t="str">
        <f t="shared" ref="AV45:AW46" si="27">AV43</f>
        <v>GD</v>
      </c>
      <c r="AW45" s="209" t="str">
        <f t="shared" si="27"/>
        <v>WA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f t="shared" ref="C46:C48" si="28">SUM(AG46:AR46)</f>
        <v>-13666.240669734107</v>
      </c>
      <c r="D46" s="494">
        <f t="shared" ref="D46" si="29">SUM(AE46:AP46)</f>
        <v>-29634.031865505265</v>
      </c>
      <c r="E46" s="482">
        <f>(E44*(E43/12))+((E45/2)*(E43/12))</f>
        <v>-325.7635715368333</v>
      </c>
      <c r="F46" s="482">
        <f>(F44*(F43/12))+((F45/2)*(F43/12))</f>
        <v>485.28585426629616</v>
      </c>
      <c r="G46" s="482">
        <f>((G44+G47)*(G43/12))+(((G45+G48)/2)*(G43/12))</f>
        <v>4107.1195298889406</v>
      </c>
      <c r="H46" s="489">
        <f>(H44*(H43/12))+((H45/2)*(H43/12))</f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f>((AF44+AF47)*(AF43/12))+(((AF45+AF48)/2)*(AF43/12))</f>
        <v>-7258.9031249606332</v>
      </c>
      <c r="AG46" s="489">
        <f t="shared" ref="AG46:AR46" si="30">((AG44+AG47)*(AG43/12))+(((AG45+AG48)/2)*(AG43/12))</f>
        <v>-5680.8542615657343</v>
      </c>
      <c r="AH46" s="489">
        <f t="shared" si="30"/>
        <v>-4282.8770231876824</v>
      </c>
      <c r="AI46" s="489">
        <f t="shared" si="30"/>
        <v>-3702.5093849806917</v>
      </c>
      <c r="AJ46" s="489">
        <f t="shared" si="30"/>
        <v>0</v>
      </c>
      <c r="AK46" s="489">
        <f t="shared" si="30"/>
        <v>0</v>
      </c>
      <c r="AL46" s="489">
        <f t="shared" si="30"/>
        <v>0</v>
      </c>
      <c r="AM46" s="489">
        <f t="shared" si="30"/>
        <v>0</v>
      </c>
      <c r="AN46" s="489">
        <f t="shared" si="30"/>
        <v>0</v>
      </c>
      <c r="AO46" s="489">
        <f t="shared" si="30"/>
        <v>0</v>
      </c>
      <c r="AP46" s="489">
        <f t="shared" si="30"/>
        <v>0</v>
      </c>
      <c r="AQ46" s="489">
        <f t="shared" si="30"/>
        <v>0</v>
      </c>
      <c r="AR46" s="489">
        <f t="shared" si="30"/>
        <v>0</v>
      </c>
      <c r="AT46" s="154" t="str">
        <f>AT45</f>
        <v>Large Customer Refund</v>
      </c>
      <c r="AU46" s="561">
        <f>AU44</f>
        <v>805110</v>
      </c>
      <c r="AV46" s="561" t="str">
        <f t="shared" si="27"/>
        <v>GD</v>
      </c>
      <c r="AW46" s="561" t="str">
        <f t="shared" si="27"/>
        <v>WA</v>
      </c>
      <c r="AX46" s="464">
        <f>AY45</f>
        <v>0</v>
      </c>
      <c r="AY46" s="473">
        <f>AX45</f>
        <v>0</v>
      </c>
    </row>
    <row r="47" spans="1:51" ht="16.2" thickBot="1">
      <c r="B47" s="481" t="s">
        <v>259</v>
      </c>
      <c r="C47" s="482">
        <f t="shared" si="28"/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f>SUM(AX41:AX46)-SUM(AY41:AY46)</f>
        <v>0</v>
      </c>
    </row>
    <row r="48" spans="1:51">
      <c r="B48" s="481" t="s">
        <v>148</v>
      </c>
      <c r="C48" s="482">
        <f t="shared" si="28"/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f>SUM(C45:C48)</f>
        <v>1030047.8900402659</v>
      </c>
      <c r="D49" s="541"/>
      <c r="E49" s="541">
        <f>SUM(E44:E48)</f>
        <v>-46035.360287444513</v>
      </c>
      <c r="F49" s="541">
        <f t="shared" ref="F49:H49" si="31">SUM(F44:F48)</f>
        <v>404885.58467682183</v>
      </c>
      <c r="G49" s="541">
        <f t="shared" si="31"/>
        <v>1486369.5928734979</v>
      </c>
      <c r="H49" s="541">
        <f t="shared" si="31"/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f t="shared" ref="V49:AR49" si="32">SUM(V44:V48)</f>
        <v>-978605.01769356499</v>
      </c>
      <c r="W49" s="541">
        <f t="shared" si="32"/>
        <v>-801445.32791263924</v>
      </c>
      <c r="X49" s="541">
        <f t="shared" si="32"/>
        <v>-669275.24177190254</v>
      </c>
      <c r="Y49" s="541">
        <f t="shared" si="32"/>
        <v>-610882.24266902648</v>
      </c>
      <c r="Z49" s="541">
        <f t="shared" si="32"/>
        <v>-574943.04011245095</v>
      </c>
      <c r="AA49" s="541">
        <f t="shared" si="32"/>
        <v>-537511.27700320142</v>
      </c>
      <c r="AB49" s="541">
        <f t="shared" si="32"/>
        <v>-503286.03358886426</v>
      </c>
      <c r="AC49" s="541">
        <f t="shared" si="32"/>
        <v>-446057.56644618412</v>
      </c>
      <c r="AD49" s="541">
        <f t="shared" si="32"/>
        <v>-360318.05653003836</v>
      </c>
      <c r="AE49" s="541">
        <f t="shared" si="32"/>
        <v>-2966848.8846008489</v>
      </c>
      <c r="AF49" s="541">
        <f t="shared" si="32"/>
        <v>-2400830.7877258095</v>
      </c>
      <c r="AG49" s="541">
        <f t="shared" si="32"/>
        <v>-1799942.4443073752</v>
      </c>
      <c r="AH49" s="541">
        <f t="shared" si="32"/>
        <v>-1367080.388300563</v>
      </c>
      <c r="AI49" s="541">
        <f t="shared" si="32"/>
        <v>-1370782.8976855436</v>
      </c>
      <c r="AJ49" s="541">
        <f t="shared" si="32"/>
        <v>-1370782.8976855436</v>
      </c>
      <c r="AK49" s="541">
        <f t="shared" si="32"/>
        <v>-1370782.8976855436</v>
      </c>
      <c r="AL49" s="541">
        <f t="shared" si="32"/>
        <v>-1370782.8976855436</v>
      </c>
      <c r="AM49" s="541">
        <f t="shared" si="32"/>
        <v>-1370782.8976855436</v>
      </c>
      <c r="AN49" s="541">
        <f t="shared" si="32"/>
        <v>-1370782.8976855436</v>
      </c>
      <c r="AO49" s="541">
        <f t="shared" si="32"/>
        <v>-1370782.8976855436</v>
      </c>
      <c r="AP49" s="541">
        <f t="shared" si="32"/>
        <v>-1370782.8976855436</v>
      </c>
      <c r="AQ49" s="541">
        <f t="shared" si="32"/>
        <v>-1370782.8976855436</v>
      </c>
      <c r="AR49" s="541">
        <f t="shared" si="32"/>
        <v>-1370782.8976855436</v>
      </c>
    </row>
    <row r="50" spans="1:50" ht="16.2" thickTop="1">
      <c r="B50" s="481" t="s">
        <v>260</v>
      </c>
      <c r="E50" s="482">
        <f>_xll.Get_Balance(E42,"YTD","USD","Total","A","","001",$A$42,"GD","WA","DL")</f>
        <v>-46035.14</v>
      </c>
      <c r="F50" s="482">
        <f>_xll.Get_Balance(F42,"YTD","USD","Total","A","","001",$A$42,"GD","WA","DL")</f>
        <v>404885.81</v>
      </c>
      <c r="G50" s="482">
        <f>_xll.Get_Balance(G42,"YTD","USD","Total","A","","001",$A$42,"GD","WA","DL")</f>
        <v>1486369.82</v>
      </c>
      <c r="H50" s="482">
        <f>_xll.Get_Balance(H42,"YTD","USD","Total","A","","001",$A$42,"GD","WA","DL")</f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f>_xll.Get_Balance(V42,"YTD","USD","Total","A","","001",$A$42,"GD","WA","DL")</f>
        <v>-978604.8</v>
      </c>
      <c r="W50" s="482">
        <f>_xll.Get_Balance(W42,"YTD","USD","Total","A","","001",$A$42,"GD","WA","DL")</f>
        <v>-801445.11</v>
      </c>
      <c r="X50" s="482">
        <f>_xll.Get_Balance(X42,"YTD","USD","Total","A","","001",$A$42,"GD","WA","DL")</f>
        <v>-669275.02</v>
      </c>
      <c r="Y50" s="482">
        <f>_xll.Get_Balance(Y42,"YTD","USD","Total","A","","001",$A$42,"GD","WA","DL")</f>
        <v>-610882.02</v>
      </c>
      <c r="Z50" s="482">
        <f>_xll.Get_Balance(Z42,"YTD","USD","Total","A","","001",$A$42,"GD","WA","DL")</f>
        <v>-574942.81999999995</v>
      </c>
      <c r="AA50" s="482">
        <f>_xll.Get_Balance(AA42,"YTD","USD","Total","A","","001",$A$42,"GD","WA","DL")</f>
        <v>-537511.06000000006</v>
      </c>
      <c r="AB50" s="482">
        <f>_xll.Get_Balance(AB42,"YTD","USD","Total","A","","001",$A$42,"GD","WA","DL")</f>
        <v>-503285.82</v>
      </c>
      <c r="AC50" s="482">
        <f>_xll.Get_Balance(AC42,"YTD","USD","Total","A","","001",$A$42,"GD","WA","DL")</f>
        <v>-446057.35</v>
      </c>
      <c r="AD50" s="482">
        <f>_xll.Get_Balance(AD42,"YTD","USD","Total","A","","001",$A$42,"GD","WA","DL")</f>
        <v>-360317.84</v>
      </c>
      <c r="AE50" s="482">
        <f>_xll.Get_Balance(AE42,"YTD","USD","Total","A","","001",$A$42,"GD","WA","DL")</f>
        <v>-2966848.67</v>
      </c>
      <c r="AF50" s="482">
        <f>_xll.Get_Balance(AF42,"YTD","USD","Total","A","","001",$A$42,"GD","WA","DL")</f>
        <v>-2400830.5699999998</v>
      </c>
      <c r="AG50" s="482">
        <f>_xll.Get_Balance(AG42,"YTD","USD","Total","A","","001",$A$42,"GD","WA","DL")</f>
        <v>-1799942.22</v>
      </c>
      <c r="AH50" s="482">
        <f>_xll.Get_Balance(AH42,"YTD","USD","Total","A","","001",$A$42,"GD","WA","DL")</f>
        <v>-1367080.17</v>
      </c>
      <c r="AI50" s="482">
        <f>_xll.Get_Balance(AI42,"YTD","USD","Total","A","","001",$A$42,"GD","WA","DL")</f>
        <v>-991268.94</v>
      </c>
      <c r="AJ50" s="482">
        <f>_xll.Get_Balance(AJ42,"YTD","USD","Total","A","","001",$A$42,"GD","WA","DL")</f>
        <v>-820633.75</v>
      </c>
      <c r="AK50" s="482">
        <f>_xll.Get_Balance(AK42,"YTD","USD","Total","A","","001",$A$42,"GD","WA","DL")</f>
        <v>-706831.07</v>
      </c>
      <c r="AL50" s="482">
        <f>_xll.Get_Balance(AL42,"YTD","USD","Total","A","","001",$A$42,"GD","WA","DL")</f>
        <v>-615740.61</v>
      </c>
      <c r="AM50" s="482">
        <f>_xll.Get_Balance(AM42,"YTD","USD","Total","A","","001",$A$42,"GD","WA","DL")</f>
        <v>-615740.61</v>
      </c>
      <c r="AN50" s="482">
        <f>_xll.Get_Balance(AN42,"YTD","USD","Total","A","","001",$A$42,"GD","WA","DL")</f>
        <v>-615740.61</v>
      </c>
      <c r="AO50" s="482">
        <f>_xll.Get_Balance(AO42,"YTD","USD","Total","A","","001",$A$42,"GD","WA","DL")</f>
        <v>0</v>
      </c>
      <c r="AP50" s="482">
        <f>_xll.Get_Balance(AP42,"YTD","USD","Total","A","","001",$A$42,"GD","WA","DL")</f>
        <v>0</v>
      </c>
      <c r="AQ50" s="482">
        <f>_xll.Get_Balance(AQ42,"YTD","USD","Total","A","","001",$A$42,"GD","WA","DL")</f>
        <v>0</v>
      </c>
      <c r="AR50" s="482">
        <f>_xll.Get_Balance(AR42,"YTD","USD","Total","A","","001",$A$42,"GD","WA","DL")</f>
        <v>0</v>
      </c>
      <c r="AX50" s="563"/>
    </row>
    <row r="51" spans="1:50">
      <c r="B51" s="481" t="s">
        <v>245</v>
      </c>
      <c r="E51" s="482">
        <f t="shared" ref="E51:H51" si="33">E49-E50</f>
        <v>-0.22028744451381499</v>
      </c>
      <c r="F51" s="482">
        <f t="shared" si="33"/>
        <v>-0.22532317816512659</v>
      </c>
      <c r="G51" s="482">
        <f t="shared" si="33"/>
        <v>-0.22712650219909847</v>
      </c>
      <c r="H51" s="482">
        <f t="shared" si="33"/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f t="shared" ref="V51:AR51" si="34">V49-V50</f>
        <v>-0.21769356494769454</v>
      </c>
      <c r="W51" s="482">
        <f t="shared" si="34"/>
        <v>-0.21791263925842941</v>
      </c>
      <c r="X51" s="482">
        <f t="shared" si="34"/>
        <v>-0.22177190252114087</v>
      </c>
      <c r="Y51" s="482">
        <f t="shared" si="34"/>
        <v>-0.22266902646515518</v>
      </c>
      <c r="Z51" s="482">
        <f t="shared" si="34"/>
        <v>-0.22011245100293308</v>
      </c>
      <c r="AA51" s="482">
        <f t="shared" si="34"/>
        <v>-0.21700320136733353</v>
      </c>
      <c r="AB51" s="482">
        <f t="shared" si="34"/>
        <v>-0.21358886425150558</v>
      </c>
      <c r="AC51" s="482">
        <f t="shared" si="34"/>
        <v>-0.21644618414575234</v>
      </c>
      <c r="AD51" s="482">
        <f t="shared" si="34"/>
        <v>-0.21653003833489493</v>
      </c>
      <c r="AE51" s="482">
        <f t="shared" si="34"/>
        <v>-0.21460084896534681</v>
      </c>
      <c r="AF51" s="482">
        <f t="shared" si="34"/>
        <v>-0.21772580966353416</v>
      </c>
      <c r="AG51" s="482">
        <f t="shared" si="34"/>
        <v>-0.22430737526156008</v>
      </c>
      <c r="AH51" s="482">
        <f t="shared" si="34"/>
        <v>-0.21830056305043399</v>
      </c>
      <c r="AI51" s="482">
        <f t="shared" si="34"/>
        <v>-379513.95768554369</v>
      </c>
      <c r="AJ51" s="482">
        <f t="shared" si="34"/>
        <v>-550149.14768554363</v>
      </c>
      <c r="AK51" s="482">
        <f t="shared" si="34"/>
        <v>-663951.82768554369</v>
      </c>
      <c r="AL51" s="482">
        <f t="shared" si="34"/>
        <v>-755042.28768554365</v>
      </c>
      <c r="AM51" s="482">
        <f t="shared" si="34"/>
        <v>-755042.28768554365</v>
      </c>
      <c r="AN51" s="482">
        <f t="shared" si="34"/>
        <v>-755042.28768554365</v>
      </c>
      <c r="AO51" s="482">
        <f t="shared" si="34"/>
        <v>-1370782.8976855436</v>
      </c>
      <c r="AP51" s="482">
        <f t="shared" si="34"/>
        <v>-1370782.8976855436</v>
      </c>
      <c r="AQ51" s="482">
        <f t="shared" si="34"/>
        <v>-1370782.8976855436</v>
      </c>
      <c r="AR51" s="482">
        <f t="shared" si="34"/>
        <v>-1370782.8976855436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f>E54+1</f>
        <v>201310</v>
      </c>
      <c r="G54" s="484">
        <f>F54+1</f>
        <v>201311</v>
      </c>
      <c r="H54" s="484">
        <f>G54+1</f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f t="shared" ref="V54:AD54" si="35">U54+1</f>
        <v>201502</v>
      </c>
      <c r="W54" s="484">
        <f t="shared" si="35"/>
        <v>201503</v>
      </c>
      <c r="X54" s="484">
        <f t="shared" si="35"/>
        <v>201504</v>
      </c>
      <c r="Y54" s="484">
        <f t="shared" si="35"/>
        <v>201505</v>
      </c>
      <c r="Z54" s="484">
        <f t="shared" si="35"/>
        <v>201506</v>
      </c>
      <c r="AA54" s="484">
        <f t="shared" si="35"/>
        <v>201507</v>
      </c>
      <c r="AB54" s="484">
        <f t="shared" si="35"/>
        <v>201508</v>
      </c>
      <c r="AC54" s="484">
        <f t="shared" si="35"/>
        <v>201509</v>
      </c>
      <c r="AD54" s="484">
        <f t="shared" si="35"/>
        <v>201510</v>
      </c>
      <c r="AE54" s="484">
        <f>AD54+1</f>
        <v>201511</v>
      </c>
      <c r="AF54" s="484">
        <f t="shared" ref="AF54" si="36">AE54+1</f>
        <v>201512</v>
      </c>
      <c r="AG54" s="484">
        <v>201601</v>
      </c>
      <c r="AH54" s="484">
        <f>AG54+1</f>
        <v>201602</v>
      </c>
      <c r="AI54" s="484">
        <f t="shared" ref="AI54:AR54" si="37">AH54+1</f>
        <v>201603</v>
      </c>
      <c r="AJ54" s="484">
        <f t="shared" si="37"/>
        <v>201604</v>
      </c>
      <c r="AK54" s="484">
        <f t="shared" si="37"/>
        <v>201605</v>
      </c>
      <c r="AL54" s="484">
        <f t="shared" si="37"/>
        <v>201606</v>
      </c>
      <c r="AM54" s="484">
        <f t="shared" si="37"/>
        <v>201607</v>
      </c>
      <c r="AN54" s="484">
        <f t="shared" si="37"/>
        <v>201608</v>
      </c>
      <c r="AO54" s="484">
        <f t="shared" si="37"/>
        <v>201609</v>
      </c>
      <c r="AP54" s="484">
        <f t="shared" si="37"/>
        <v>201610</v>
      </c>
      <c r="AQ54" s="484">
        <f t="shared" si="37"/>
        <v>201611</v>
      </c>
      <c r="AR54" s="484">
        <f t="shared" si="37"/>
        <v>201612</v>
      </c>
      <c r="AX54" s="563"/>
    </row>
    <row r="55" spans="1:50">
      <c r="A55" s="483"/>
      <c r="B55" s="481" t="s">
        <v>37</v>
      </c>
      <c r="C55" s="491">
        <f>SUM(AG55:AR55)</f>
        <v>34438012</v>
      </c>
      <c r="D55" s="491">
        <f>SUM(AE55:AP55)</f>
        <v>69272841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f>Dec!$G23</f>
        <v>19459801</v>
      </c>
      <c r="AG55" s="543">
        <f>Jan!$G23</f>
        <v>20140968</v>
      </c>
      <c r="AH55" s="543">
        <f>Feb!$G23</f>
        <v>14297044</v>
      </c>
      <c r="AI55" s="543"/>
      <c r="AJ55" s="543"/>
      <c r="AK55" s="543"/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f t="shared" ref="C56:C63" si="38">SUM(AG56:AR56)</f>
        <v>32486</v>
      </c>
      <c r="D56" s="491">
        <f t="shared" ref="D56:D63" si="39">SUM(AE56:AP56)</f>
        <v>43930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f>Dec!$G24</f>
        <v>7942</v>
      </c>
      <c r="AG56" s="543">
        <f>Jan!$G24</f>
        <v>17893</v>
      </c>
      <c r="AH56" s="543">
        <f>Feb!$G24</f>
        <v>14593</v>
      </c>
      <c r="AI56" s="543"/>
      <c r="AJ56" s="543"/>
      <c r="AK56" s="543"/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f t="shared" si="38"/>
        <v>11768846</v>
      </c>
      <c r="D57" s="491">
        <f t="shared" si="39"/>
        <v>23438298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f>Dec!$G25</f>
        <v>6165932</v>
      </c>
      <c r="AG57" s="543">
        <f>Jan!$G25</f>
        <v>6568112</v>
      </c>
      <c r="AH57" s="543">
        <f>Feb!$G25</f>
        <v>5200734</v>
      </c>
      <c r="AI57" s="543"/>
      <c r="AJ57" s="543"/>
      <c r="AK57" s="543"/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f t="shared" si="38"/>
        <v>0</v>
      </c>
      <c r="D58" s="491">
        <f t="shared" si="39"/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f>Dec!$G26</f>
        <v>0</v>
      </c>
      <c r="AG58" s="543">
        <f>Jan!$G26</f>
        <v>0</v>
      </c>
      <c r="AH58" s="543">
        <f>Feb!$G26</f>
        <v>0</v>
      </c>
      <c r="AI58" s="543"/>
      <c r="AJ58" s="543"/>
      <c r="AK58" s="543"/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f t="shared" si="38"/>
        <v>754431</v>
      </c>
      <c r="D59" s="491">
        <f t="shared" si="39"/>
        <v>1627609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f>Dec!$G27</f>
        <v>331801</v>
      </c>
      <c r="AG59" s="543">
        <f>Jan!$G27</f>
        <v>345863</v>
      </c>
      <c r="AH59" s="543">
        <f>Feb!$G27</f>
        <v>408568</v>
      </c>
      <c r="AI59" s="543"/>
      <c r="AJ59" s="543"/>
      <c r="AK59" s="543"/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f t="shared" si="38"/>
        <v>151032</v>
      </c>
      <c r="D60" s="491">
        <f t="shared" si="39"/>
        <v>273393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f>Dec!$G28</f>
        <v>74705</v>
      </c>
      <c r="AG60" s="543">
        <f>Jan!$G28</f>
        <v>83853</v>
      </c>
      <c r="AH60" s="543">
        <f>Feb!$G28</f>
        <v>67179</v>
      </c>
      <c r="AI60" s="543"/>
      <c r="AJ60" s="543"/>
      <c r="AK60" s="543"/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f t="shared" si="38"/>
        <v>0</v>
      </c>
      <c r="D61" s="491">
        <f t="shared" si="39"/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f>Dec!$G29</f>
        <v>0</v>
      </c>
      <c r="AG61" s="543">
        <f>Jan!$G29</f>
        <v>0</v>
      </c>
      <c r="AH61" s="543">
        <f>Feb!$G29</f>
        <v>0</v>
      </c>
      <c r="AI61" s="543"/>
      <c r="AJ61" s="543"/>
      <c r="AK61" s="543"/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f t="shared" si="38"/>
        <v>306053</v>
      </c>
      <c r="D62" s="491">
        <f t="shared" si="39"/>
        <v>432001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f>Dec!$G30</f>
        <v>51167</v>
      </c>
      <c r="AG62" s="543">
        <f>Jan!$G30</f>
        <v>203731</v>
      </c>
      <c r="AH62" s="543">
        <f>Feb!$G30</f>
        <v>102322</v>
      </c>
      <c r="AI62" s="543"/>
      <c r="AJ62" s="543"/>
      <c r="AK62" s="543"/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f t="shared" si="38"/>
        <v>6302982</v>
      </c>
      <c r="D63" s="491">
        <f t="shared" si="39"/>
        <v>12644224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f>Dec!$G31</f>
        <v>3321068</v>
      </c>
      <c r="AG63" s="543">
        <f>Jan!$G31</f>
        <v>3346687</v>
      </c>
      <c r="AH63" s="543">
        <f>Feb!$G31</f>
        <v>2956295</v>
      </c>
      <c r="AI63" s="543"/>
      <c r="AJ63" s="543"/>
      <c r="AK63" s="543"/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f>SUM(AG64:AR64)</f>
        <v>53753842</v>
      </c>
      <c r="D64" s="542">
        <f t="shared" ref="D64:D65" si="40">SUM(S64:AD64)</f>
        <v>180899844</v>
      </c>
      <c r="E64" s="542">
        <f>SUM(E55:E63)</f>
        <v>6495675</v>
      </c>
      <c r="F64" s="542">
        <f>SUM(F55:F63)</f>
        <v>16361170</v>
      </c>
      <c r="G64" s="542">
        <f t="shared" ref="G64:H64" si="41">SUM(G55:G63)</f>
        <v>24248041</v>
      </c>
      <c r="H64" s="542">
        <f t="shared" si="41"/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f t="shared" ref="V64:AR64" si="42">SUM(V55:V63)</f>
        <v>22001617</v>
      </c>
      <c r="W64" s="542">
        <f t="shared" si="42"/>
        <v>17611817</v>
      </c>
      <c r="X64" s="542">
        <f t="shared" si="42"/>
        <v>14163392</v>
      </c>
      <c r="Y64" s="542">
        <f t="shared" si="42"/>
        <v>7782410</v>
      </c>
      <c r="Z64" s="542">
        <f t="shared" si="42"/>
        <v>5881684</v>
      </c>
      <c r="AA64" s="542">
        <f t="shared" si="42"/>
        <v>5669948</v>
      </c>
      <c r="AB64" s="542">
        <f t="shared" si="42"/>
        <v>5554978</v>
      </c>
      <c r="AC64" s="542">
        <f t="shared" si="42"/>
        <v>7484702</v>
      </c>
      <c r="AD64" s="542">
        <f t="shared" si="42"/>
        <v>10158046</v>
      </c>
      <c r="AE64" s="542">
        <f t="shared" si="42"/>
        <v>24566038</v>
      </c>
      <c r="AF64" s="542">
        <f t="shared" si="42"/>
        <v>29412416</v>
      </c>
      <c r="AG64" s="542">
        <f t="shared" si="42"/>
        <v>30707107</v>
      </c>
      <c r="AH64" s="542">
        <f t="shared" si="42"/>
        <v>23046735</v>
      </c>
      <c r="AI64" s="542">
        <f t="shared" si="42"/>
        <v>0</v>
      </c>
      <c r="AJ64" s="542">
        <f t="shared" si="42"/>
        <v>0</v>
      </c>
      <c r="AK64" s="542">
        <f t="shared" si="42"/>
        <v>0</v>
      </c>
      <c r="AL64" s="542">
        <f t="shared" si="42"/>
        <v>0</v>
      </c>
      <c r="AM64" s="542">
        <f t="shared" si="42"/>
        <v>0</v>
      </c>
      <c r="AN64" s="542">
        <f t="shared" si="42"/>
        <v>0</v>
      </c>
      <c r="AO64" s="542">
        <f t="shared" si="42"/>
        <v>0</v>
      </c>
      <c r="AP64" s="542">
        <f t="shared" si="42"/>
        <v>0</v>
      </c>
      <c r="AQ64" s="542">
        <f t="shared" si="42"/>
        <v>0</v>
      </c>
      <c r="AR64" s="542">
        <f t="shared" si="42"/>
        <v>0</v>
      </c>
    </row>
    <row r="65" spans="1:51" ht="16.2" thickTop="1">
      <c r="A65" s="483"/>
      <c r="B65" s="481" t="s">
        <v>269</v>
      </c>
      <c r="C65" s="491">
        <f>SUM(AG65:AR65)</f>
        <v>53753842</v>
      </c>
      <c r="D65" s="491">
        <f t="shared" si="40"/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>
        <v>23046735</v>
      </c>
      <c r="AI65" s="491"/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f>E67+1</f>
        <v>201310</v>
      </c>
      <c r="G67" s="484">
        <f>F67+1</f>
        <v>201311</v>
      </c>
      <c r="H67" s="484">
        <f>G67+1</f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f t="shared" ref="V67:AD67" si="43">U67+1</f>
        <v>201502</v>
      </c>
      <c r="W67" s="484">
        <f t="shared" si="43"/>
        <v>201503</v>
      </c>
      <c r="X67" s="484">
        <f t="shared" si="43"/>
        <v>201504</v>
      </c>
      <c r="Y67" s="484">
        <f t="shared" si="43"/>
        <v>201505</v>
      </c>
      <c r="Z67" s="484">
        <f t="shared" si="43"/>
        <v>201506</v>
      </c>
      <c r="AA67" s="484">
        <f t="shared" si="43"/>
        <v>201507</v>
      </c>
      <c r="AB67" s="484">
        <f t="shared" si="43"/>
        <v>201508</v>
      </c>
      <c r="AC67" s="484">
        <f t="shared" si="43"/>
        <v>201509</v>
      </c>
      <c r="AD67" s="484">
        <f t="shared" si="43"/>
        <v>201510</v>
      </c>
      <c r="AE67" s="484">
        <f>AD67+1</f>
        <v>201511</v>
      </c>
      <c r="AF67" s="484">
        <f t="shared" ref="AF67" si="44">AE67+1</f>
        <v>201512</v>
      </c>
      <c r="AG67" s="484">
        <v>201601</v>
      </c>
      <c r="AH67" s="484">
        <f>AG67+1</f>
        <v>201602</v>
      </c>
      <c r="AI67" s="484">
        <f t="shared" ref="AI67:AR67" si="45">AH67+1</f>
        <v>201603</v>
      </c>
      <c r="AJ67" s="484">
        <f t="shared" si="45"/>
        <v>201604</v>
      </c>
      <c r="AK67" s="484">
        <f t="shared" si="45"/>
        <v>201605</v>
      </c>
      <c r="AL67" s="484">
        <f t="shared" si="45"/>
        <v>201606</v>
      </c>
      <c r="AM67" s="484">
        <f t="shared" si="45"/>
        <v>201607</v>
      </c>
      <c r="AN67" s="484">
        <f t="shared" si="45"/>
        <v>201608</v>
      </c>
      <c r="AO67" s="484">
        <f t="shared" si="45"/>
        <v>201609</v>
      </c>
      <c r="AP67" s="484">
        <f t="shared" si="45"/>
        <v>201610</v>
      </c>
      <c r="AQ67" s="484">
        <f t="shared" si="45"/>
        <v>201611</v>
      </c>
      <c r="AR67" s="484">
        <f t="shared" si="45"/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f>AT4</f>
        <v>201602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f>IF((SUMIF(U78:AR78,AT75,U80:AR80))&gt;0,(SUMIF(U78:AR78,AT75,U80:AR80)),0)</f>
        <v>2670.8831</v>
      </c>
      <c r="AY76" s="500">
        <f>IF((SUMIF(U78:AR78,AT75,U80:AR80))&lt;0,-(SUMIF(U78:AR78,AT75,U80:AR80)),0)</f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f>IF((SUMIF(U78:AR78,AT75,U80:AR80))&lt;0,-(SUMIF(U78:AR78,AT75,U80:AR80)),0)</f>
        <v>0</v>
      </c>
      <c r="AY77" s="500">
        <f>IF((SUMIF(U78:AR78,AT75,U80:AR80))&gt;0,(SUMIF(U78:AR78,AT75,U80:AR80)),0)</f>
        <v>2670.8831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f>E78+1</f>
        <v>201310</v>
      </c>
      <c r="G78" s="484">
        <f>F78+1</f>
        <v>201311</v>
      </c>
      <c r="H78" s="484">
        <f>G78+1</f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f t="shared" ref="V78:AD78" si="46">U78+1</f>
        <v>201502</v>
      </c>
      <c r="W78" s="484">
        <f t="shared" si="46"/>
        <v>201503</v>
      </c>
      <c r="X78" s="484">
        <f t="shared" si="46"/>
        <v>201504</v>
      </c>
      <c r="Y78" s="484">
        <f t="shared" si="46"/>
        <v>201505</v>
      </c>
      <c r="Z78" s="484">
        <f t="shared" si="46"/>
        <v>201506</v>
      </c>
      <c r="AA78" s="484">
        <f t="shared" si="46"/>
        <v>201507</v>
      </c>
      <c r="AB78" s="484">
        <f t="shared" si="46"/>
        <v>201508</v>
      </c>
      <c r="AC78" s="484">
        <f t="shared" si="46"/>
        <v>201509</v>
      </c>
      <c r="AD78" s="484">
        <f t="shared" si="46"/>
        <v>201510</v>
      </c>
      <c r="AE78" s="484">
        <f>AD78+1</f>
        <v>201511</v>
      </c>
      <c r="AF78" s="484">
        <f t="shared" ref="AF78" si="47">AE78+1</f>
        <v>201512</v>
      </c>
      <c r="AG78" s="484">
        <v>201601</v>
      </c>
      <c r="AH78" s="484">
        <f>AG78+1</f>
        <v>201602</v>
      </c>
      <c r="AI78" s="484">
        <f t="shared" ref="AI78:AR78" si="48">AH78+1</f>
        <v>201603</v>
      </c>
      <c r="AJ78" s="484">
        <f t="shared" si="48"/>
        <v>201604</v>
      </c>
      <c r="AK78" s="484">
        <f t="shared" si="48"/>
        <v>201605</v>
      </c>
      <c r="AL78" s="484">
        <f t="shared" si="48"/>
        <v>201606</v>
      </c>
      <c r="AM78" s="484">
        <f t="shared" si="48"/>
        <v>201607</v>
      </c>
      <c r="AN78" s="484">
        <f t="shared" si="48"/>
        <v>201608</v>
      </c>
      <c r="AO78" s="484">
        <f t="shared" si="48"/>
        <v>201609</v>
      </c>
      <c r="AP78" s="484">
        <f t="shared" si="48"/>
        <v>201610</v>
      </c>
      <c r="AQ78" s="484">
        <f t="shared" si="48"/>
        <v>201611</v>
      </c>
      <c r="AR78" s="484">
        <f t="shared" si="48"/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f>E82</f>
        <v>38932.729789999998</v>
      </c>
      <c r="G79" s="482">
        <f>F82</f>
        <v>8140.2385399999985</v>
      </c>
      <c r="H79" s="482">
        <f>G82</f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f>AE82</f>
        <v>-21380.93566000001</v>
      </c>
      <c r="AG79" s="482">
        <f t="shared" ref="AG79:AR79" si="49">AF82</f>
        <v>-18146.93566000001</v>
      </c>
      <c r="AH79" s="482">
        <f t="shared" si="49"/>
        <v>-14523.147320000011</v>
      </c>
      <c r="AI79" s="482">
        <f t="shared" si="49"/>
        <v>-11852.264220000012</v>
      </c>
      <c r="AJ79" s="482">
        <f t="shared" si="49"/>
        <v>-11852.264220000012</v>
      </c>
      <c r="AK79" s="482">
        <f t="shared" si="49"/>
        <v>-11852.264220000012</v>
      </c>
      <c r="AL79" s="482">
        <f t="shared" si="49"/>
        <v>-11852.264220000012</v>
      </c>
      <c r="AM79" s="482">
        <f t="shared" si="49"/>
        <v>-11852.264220000012</v>
      </c>
      <c r="AN79" s="482">
        <f t="shared" si="49"/>
        <v>-11852.264220000012</v>
      </c>
      <c r="AO79" s="482">
        <f t="shared" si="49"/>
        <v>-11852.264220000012</v>
      </c>
      <c r="AP79" s="482">
        <f t="shared" si="49"/>
        <v>-11852.264220000012</v>
      </c>
      <c r="AQ79" s="482">
        <f t="shared" si="49"/>
        <v>-11852.264220000012</v>
      </c>
      <c r="AR79" s="482">
        <f t="shared" si="49"/>
        <v>-11852.264220000012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f>SUM(AG80:AR80)</f>
        <v>6294.6714400000001</v>
      </c>
      <c r="D80" s="494">
        <f>SUM(AE80:AP80)</f>
        <v>11345.671439999998</v>
      </c>
      <c r="E80" s="482">
        <f>SUMPRODUCT(E55:E63,E68:E76)</f>
        <v>-10606.31724</v>
      </c>
      <c r="F80" s="482">
        <f>SUMPRODUCT(F55:F63,F68:F76)</f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f>SUMPRODUCT(AG55:AG63,AG68:AG76)</f>
        <v>3623.7883399999996</v>
      </c>
      <c r="AH80" s="563">
        <f t="shared" ref="AH80:AR80" si="50">SUMPRODUCT(AH55:AH63,AH68:AH76)</f>
        <v>2670.8831</v>
      </c>
      <c r="AI80" s="563">
        <f t="shared" si="50"/>
        <v>0</v>
      </c>
      <c r="AJ80" s="563">
        <f t="shared" si="50"/>
        <v>0</v>
      </c>
      <c r="AK80" s="563">
        <f t="shared" si="50"/>
        <v>0</v>
      </c>
      <c r="AL80" s="563">
        <f t="shared" si="50"/>
        <v>0</v>
      </c>
      <c r="AM80" s="563">
        <f t="shared" si="50"/>
        <v>0</v>
      </c>
      <c r="AN80" s="563">
        <f t="shared" si="50"/>
        <v>0</v>
      </c>
      <c r="AO80" s="563">
        <f t="shared" si="50"/>
        <v>0</v>
      </c>
      <c r="AP80" s="563">
        <f t="shared" si="50"/>
        <v>0</v>
      </c>
      <c r="AQ80" s="563">
        <f t="shared" si="50"/>
        <v>0</v>
      </c>
      <c r="AR80" s="563">
        <f t="shared" si="50"/>
        <v>0</v>
      </c>
      <c r="AT80" s="516"/>
      <c r="AU80" s="530"/>
      <c r="AV80" s="517"/>
      <c r="AW80" s="517"/>
      <c r="AX80" s="517" t="s">
        <v>159</v>
      </c>
      <c r="AY80" s="518">
        <f>SUM(AX76:AX79)-SUM(AY76:AY79)</f>
        <v>0</v>
      </c>
    </row>
    <row r="81" spans="2:44">
      <c r="B81" s="481" t="s">
        <v>148</v>
      </c>
      <c r="C81" s="482">
        <f>SUM(AG81:AR81)</f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f>SUM(C80:C81)</f>
        <v>6294.6714400000001</v>
      </c>
      <c r="D82" s="541"/>
      <c r="E82" s="541">
        <f t="shared" ref="E82:H82" si="51">SUM(E79:E81)</f>
        <v>38932.729789999998</v>
      </c>
      <c r="F82" s="541">
        <f t="shared" si="51"/>
        <v>8140.2385399999985</v>
      </c>
      <c r="G82" s="541">
        <f t="shared" si="51"/>
        <v>-693.68146000000161</v>
      </c>
      <c r="H82" s="541">
        <f t="shared" si="51"/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f t="shared" ref="V82:AR82" si="52">SUM(V79:V81)</f>
        <v>-38138.117780000015</v>
      </c>
      <c r="W82" s="541">
        <f t="shared" si="52"/>
        <v>-34282.961340000016</v>
      </c>
      <c r="X82" s="541">
        <f t="shared" si="52"/>
        <v>-31253.873050000017</v>
      </c>
      <c r="Y82" s="541">
        <f t="shared" si="52"/>
        <v>-29770.929110000015</v>
      </c>
      <c r="Z82" s="541">
        <f t="shared" si="52"/>
        <v>-28708.282540000015</v>
      </c>
      <c r="AA82" s="541">
        <f t="shared" si="52"/>
        <v>-27692.487530000013</v>
      </c>
      <c r="AB82" s="541">
        <f t="shared" si="52"/>
        <v>-26711.886850000014</v>
      </c>
      <c r="AC82" s="541">
        <f t="shared" si="52"/>
        <v>-25249.174790000012</v>
      </c>
      <c r="AD82" s="541">
        <f t="shared" si="52"/>
        <v>-23171.93566000001</v>
      </c>
      <c r="AE82" s="541">
        <f t="shared" si="52"/>
        <v>-21380.93566000001</v>
      </c>
      <c r="AF82" s="541">
        <f t="shared" si="52"/>
        <v>-18146.93566000001</v>
      </c>
      <c r="AG82" s="541">
        <f t="shared" si="52"/>
        <v>-14523.147320000011</v>
      </c>
      <c r="AH82" s="541">
        <f t="shared" si="52"/>
        <v>-11852.264220000012</v>
      </c>
      <c r="AI82" s="541">
        <f t="shared" si="52"/>
        <v>-11852.264220000012</v>
      </c>
      <c r="AJ82" s="541">
        <f t="shared" si="52"/>
        <v>-11852.264220000012</v>
      </c>
      <c r="AK82" s="541">
        <f t="shared" si="52"/>
        <v>-11852.264220000012</v>
      </c>
      <c r="AL82" s="541">
        <f t="shared" si="52"/>
        <v>-11852.264220000012</v>
      </c>
      <c r="AM82" s="541">
        <f t="shared" si="52"/>
        <v>-11852.264220000012</v>
      </c>
      <c r="AN82" s="541">
        <f t="shared" si="52"/>
        <v>-11852.264220000012</v>
      </c>
      <c r="AO82" s="541">
        <f t="shared" si="52"/>
        <v>-11852.264220000012</v>
      </c>
      <c r="AP82" s="541">
        <f t="shared" si="52"/>
        <v>-11852.264220000012</v>
      </c>
      <c r="AQ82" s="541">
        <f t="shared" si="52"/>
        <v>-11852.264220000012</v>
      </c>
      <c r="AR82" s="541">
        <f t="shared" si="52"/>
        <v>-11852.264220000012</v>
      </c>
    </row>
    <row r="83" spans="2:44" ht="16.2" thickTop="1">
      <c r="B83" s="481" t="s">
        <v>260</v>
      </c>
      <c r="E83" s="482">
        <f>_xll.Get_Balance(E78,"YTD","USD","Total","A","","001",$A$78,"GD","WA","DL")</f>
        <v>38932.730000000003</v>
      </c>
      <c r="F83" s="482">
        <f>_xll.Get_Balance(F78,"YTD","USD","Total","A","","001",$A$78,"GD","WA","DL")</f>
        <v>8140.24</v>
      </c>
      <c r="G83" s="482">
        <f>_xll.Get_Balance(G78,"YTD","USD","Total","A","","001",$A$78,"GD","WA","DL")</f>
        <v>-693.68</v>
      </c>
      <c r="H83" s="482">
        <f>_xll.Get_Balance(H78,"YTD","USD","Total","A","","001",$A$78,"GD","WA","DL")</f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f>_xll.Get_Balance(V78,"YTD","USD","Total","A","","001",$A$78,"GD","WA","DL")</f>
        <v>-38138.129999999997</v>
      </c>
      <c r="W83" s="482">
        <f>_xll.Get_Balance(W78,"YTD","USD","Total","A","","001",$A$78,"GD","WA","DL")</f>
        <v>-34282.97</v>
      </c>
      <c r="X83" s="482">
        <f>_xll.Get_Balance(X78,"YTD","USD","Total","A","","001",$A$78,"GD","WA","DL")</f>
        <v>-31253.88</v>
      </c>
      <c r="Y83" s="482">
        <f>_xll.Get_Balance(Y78,"YTD","USD","Total","A","","001",$A$78,"GD","WA","DL")</f>
        <v>-29770.94</v>
      </c>
      <c r="Z83" s="482">
        <f>_xll.Get_Balance(Z78,"YTD","USD","Total","A","","001",$A$78,"GD","WA","DL")</f>
        <v>-28708.29</v>
      </c>
      <c r="AA83" s="482">
        <f>_xll.Get_Balance(AA78,"YTD","USD","Total","A","","001",$A$78,"GD","WA","DL")</f>
        <v>-27692.49</v>
      </c>
      <c r="AB83" s="482">
        <f>_xll.Get_Balance(AB78,"YTD","USD","Total","A","","001",$A$78,"GD","WA","DL")</f>
        <v>-26711.89</v>
      </c>
      <c r="AC83" s="482">
        <f>_xll.Get_Balance(AC78,"YTD","USD","Total","A","","001",$A$78,"GD","WA","DL")</f>
        <v>-25249.18</v>
      </c>
      <c r="AD83" s="482">
        <f>_xll.Get_Balance(AD78,"YTD","USD","Total","A","","001",$A$78,"GD","WA","DL")</f>
        <v>-23171.94</v>
      </c>
      <c r="AE83" s="482">
        <f>_xll.Get_Balance(AE78,"YTD","USD","Total","A","","001",$A$78,"GD","WA","DL")</f>
        <v>-21380.94</v>
      </c>
      <c r="AF83" s="482">
        <f>_xll.Get_Balance(AF78,"YTD","USD","Total","A","","001",$A$78,"GD","WA","DL")</f>
        <v>-18146.939999999999</v>
      </c>
      <c r="AG83" s="482">
        <f>_xll.Get_Balance(AG78,"YTD","USD","Total","A","","001",$A$78,"GD","WA","DL")</f>
        <v>-14523.15</v>
      </c>
      <c r="AH83" s="482">
        <f>_xll.Get_Balance(AH78,"YTD","USD","Total","A","","001",$A$78,"GD","WA","DL")</f>
        <v>-11852.27</v>
      </c>
      <c r="AI83" s="482">
        <f>_xll.Get_Balance(AI78,"YTD","USD","Total","A","","001",$A$78,"GD","WA","DL")</f>
        <v>-9512.61</v>
      </c>
      <c r="AJ83" s="482">
        <f>_xll.Get_Balance(AJ78,"YTD","USD","Total","A","","001",$A$78,"GD","WA","DL")</f>
        <v>-8373.74</v>
      </c>
      <c r="AK83" s="482">
        <f>_xll.Get_Balance(AK78,"YTD","USD","Total","A","","001",$A$78,"GD","WA","DL")</f>
        <v>-7543.49</v>
      </c>
      <c r="AL83" s="482">
        <f>_xll.Get_Balance(AL78,"YTD","USD","Total","A","","001",$A$78,"GD","WA","DL")</f>
        <v>-6882.12</v>
      </c>
      <c r="AM83" s="482">
        <f>_xll.Get_Balance(AM78,"YTD","USD","Total","A","","001",$A$78,"GD","WA","DL")</f>
        <v>-6882.12</v>
      </c>
      <c r="AN83" s="482">
        <f>_xll.Get_Balance(AN78,"YTD","USD","Total","A","","001",$A$78,"GD","WA","DL")</f>
        <v>-6882.12</v>
      </c>
      <c r="AO83" s="482">
        <f>_xll.Get_Balance(AO78,"YTD","USD","Total","A","","001",$A$78,"GD","WA","DL")</f>
        <v>0</v>
      </c>
      <c r="AP83" s="482">
        <f>_xll.Get_Balance(AP78,"YTD","USD","Total","A","","001",$A$78,"GD","WA","DL")</f>
        <v>0</v>
      </c>
      <c r="AQ83" s="482">
        <f>_xll.Get_Balance(AQ78,"YTD","USD","Total","A","","001",$A$78,"GD","WA","DL")</f>
        <v>0</v>
      </c>
      <c r="AR83" s="482">
        <f>_xll.Get_Balance(AR78,"YTD","USD","Total","A","","001",$A$78,"GD","WA","DL")</f>
        <v>0</v>
      </c>
    </row>
    <row r="84" spans="2:44">
      <c r="B84" s="481" t="s">
        <v>245</v>
      </c>
      <c r="E84" s="482">
        <f t="shared" ref="E84:H84" si="53">E82-E83</f>
        <v>-2.1000000560889021E-4</v>
      </c>
      <c r="F84" s="482">
        <f t="shared" si="53"/>
        <v>-1.4600000013160752E-3</v>
      </c>
      <c r="G84" s="482">
        <f t="shared" si="53"/>
        <v>-1.4600000016571357E-3</v>
      </c>
      <c r="H84" s="482">
        <f t="shared" si="53"/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f t="shared" ref="V84:AR84" si="54">V82-V83</f>
        <v>1.2219999982335139E-2</v>
      </c>
      <c r="W84" s="482">
        <f t="shared" si="54"/>
        <v>8.6599999849568121E-3</v>
      </c>
      <c r="X84" s="482">
        <f t="shared" si="54"/>
        <v>6.9499999844992999E-3</v>
      </c>
      <c r="Y84" s="482">
        <f t="shared" si="54"/>
        <v>1.0889999983191956E-2</v>
      </c>
      <c r="Z84" s="482">
        <f t="shared" si="54"/>
        <v>7.4599999861675315E-3</v>
      </c>
      <c r="AA84" s="482">
        <f t="shared" si="54"/>
        <v>2.469999988534255E-3</v>
      </c>
      <c r="AB84" s="482">
        <f t="shared" si="54"/>
        <v>3.1499999859079253E-3</v>
      </c>
      <c r="AC84" s="482">
        <f t="shared" si="54"/>
        <v>5.2099999884376302E-3</v>
      </c>
      <c r="AD84" s="482">
        <f t="shared" si="54"/>
        <v>4.339999988587806E-3</v>
      </c>
      <c r="AE84" s="482">
        <f t="shared" si="54"/>
        <v>4.339999988587806E-3</v>
      </c>
      <c r="AF84" s="482">
        <f t="shared" si="54"/>
        <v>4.339999988587806E-3</v>
      </c>
      <c r="AG84" s="482">
        <f t="shared" si="54"/>
        <v>2.6799999886861769E-3</v>
      </c>
      <c r="AH84" s="482">
        <f t="shared" si="54"/>
        <v>5.7799999885901343E-3</v>
      </c>
      <c r="AI84" s="482">
        <f t="shared" si="54"/>
        <v>-2339.6542200000113</v>
      </c>
      <c r="AJ84" s="482">
        <f t="shared" si="54"/>
        <v>-3478.5242200000121</v>
      </c>
      <c r="AK84" s="482">
        <f t="shared" si="54"/>
        <v>-4308.7742200000121</v>
      </c>
      <c r="AL84" s="482">
        <f t="shared" si="54"/>
        <v>-4970.144220000012</v>
      </c>
      <c r="AM84" s="482">
        <f t="shared" si="54"/>
        <v>-4970.144220000012</v>
      </c>
      <c r="AN84" s="482">
        <f t="shared" si="54"/>
        <v>-4970.144220000012</v>
      </c>
      <c r="AO84" s="482">
        <f t="shared" si="54"/>
        <v>-11852.264220000012</v>
      </c>
      <c r="AP84" s="482">
        <f t="shared" si="54"/>
        <v>-11852.264220000012</v>
      </c>
      <c r="AQ84" s="482">
        <f t="shared" si="54"/>
        <v>-11852.264220000012</v>
      </c>
      <c r="AR84" s="482">
        <f t="shared" si="54"/>
        <v>-11852.264220000012</v>
      </c>
    </row>
  </sheetData>
  <conditionalFormatting sqref="E29 K29:AS29 L65:AS65">
    <cfRule type="cellIs" dxfId="270" priority="23" operator="notEqual">
      <formula>E28</formula>
    </cfRule>
  </conditionalFormatting>
  <conditionalFormatting sqref="F29">
    <cfRule type="cellIs" dxfId="269" priority="22" operator="notEqual">
      <formula>F28</formula>
    </cfRule>
  </conditionalFormatting>
  <conditionalFormatting sqref="G29">
    <cfRule type="cellIs" dxfId="268" priority="21" operator="notEqual">
      <formula>G28</formula>
    </cfRule>
  </conditionalFormatting>
  <conditionalFormatting sqref="H29">
    <cfRule type="cellIs" dxfId="267" priority="20" operator="notEqual">
      <formula>H28</formula>
    </cfRule>
  </conditionalFormatting>
  <conditionalFormatting sqref="G65">
    <cfRule type="cellIs" dxfId="266" priority="17" operator="notEqual">
      <formula>G64</formula>
    </cfRule>
  </conditionalFormatting>
  <conditionalFormatting sqref="H65">
    <cfRule type="cellIs" dxfId="265" priority="16" operator="notEqual">
      <formula>H64</formula>
    </cfRule>
  </conditionalFormatting>
  <conditionalFormatting sqref="E65">
    <cfRule type="cellIs" dxfId="264" priority="19" operator="notEqual">
      <formula>E64</formula>
    </cfRule>
  </conditionalFormatting>
  <conditionalFormatting sqref="F65">
    <cfRule type="cellIs" dxfId="263" priority="18" operator="notEqual">
      <formula>F64</formula>
    </cfRule>
  </conditionalFormatting>
  <conditionalFormatting sqref="AY80 AY47 AY11">
    <cfRule type="cellIs" dxfId="262" priority="15" operator="notEqual">
      <formula>0</formula>
    </cfRule>
  </conditionalFormatting>
  <conditionalFormatting sqref="D65">
    <cfRule type="cellIs" dxfId="261" priority="14" operator="notEqual">
      <formula>D64</formula>
    </cfRule>
  </conditionalFormatting>
  <conditionalFormatting sqref="C65">
    <cfRule type="cellIs" dxfId="260" priority="13" operator="notEqual">
      <formula>C64</formula>
    </cfRule>
  </conditionalFormatting>
  <conditionalFormatting sqref="D29">
    <cfRule type="cellIs" dxfId="259" priority="12" operator="notEqual">
      <formula>D28</formula>
    </cfRule>
  </conditionalFormatting>
  <conditionalFormatting sqref="C29">
    <cfRule type="cellIs" dxfId="258" priority="11" operator="notEqual">
      <formula>C28</formula>
    </cfRule>
  </conditionalFormatting>
  <conditionalFormatting sqref="I29">
    <cfRule type="cellIs" dxfId="257" priority="10" operator="notEqual">
      <formula>I28</formula>
    </cfRule>
  </conditionalFormatting>
  <conditionalFormatting sqref="I65">
    <cfRule type="cellIs" dxfId="256" priority="9" operator="notEqual">
      <formula>I64</formula>
    </cfRule>
  </conditionalFormatting>
  <conditionalFormatting sqref="J29">
    <cfRule type="cellIs" dxfId="255" priority="8" operator="notEqual">
      <formula>J28</formula>
    </cfRule>
  </conditionalFormatting>
  <conditionalFormatting sqref="J65">
    <cfRule type="cellIs" dxfId="254" priority="7" operator="notEqual">
      <formula>J64</formula>
    </cfRule>
  </conditionalFormatting>
  <conditionalFormatting sqref="K65">
    <cfRule type="cellIs" dxfId="253" priority="6" operator="notEqual">
      <formula>K64</formula>
    </cfRule>
  </conditionalFormatting>
  <conditionalFormatting sqref="U29">
    <cfRule type="cellIs" dxfId="252" priority="5" operator="notEqual">
      <formula>U28</formula>
    </cfRule>
  </conditionalFormatting>
  <conditionalFormatting sqref="U65">
    <cfRule type="cellIs" dxfId="251" priority="4" operator="notEqual">
      <formula>U64</formula>
    </cfRule>
  </conditionalFormatting>
  <conditionalFormatting sqref="V29">
    <cfRule type="cellIs" dxfId="250" priority="3" operator="notEqual">
      <formula>V28</formula>
    </cfRule>
  </conditionalFormatting>
  <conditionalFormatting sqref="V65">
    <cfRule type="cellIs" dxfId="249" priority="2" operator="notEqual">
      <formula>V64</formula>
    </cfRule>
  </conditionalFormatting>
  <conditionalFormatting sqref="W65">
    <cfRule type="cellIs" dxfId="248" priority="1" operator="notEqual">
      <formula>W64</formula>
    </cfRule>
  </conditionalFormatting>
  <pageMargins left="0" right="0" top="0.75" bottom="0.75" header="0.3" footer="0.3"/>
  <pageSetup scale="41" orientation="landscape" r:id="rId1"/>
  <customProperties>
    <customPr name="xxe4aPID" r:id="rId2"/>
  </customProperties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zoomScale="89" zoomScaleNormal="89" zoomScaleSheetLayoutView="85" workbookViewId="0">
      <selection activeCell="AG44" sqref="AG44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4" width="16.33203125" style="482" customWidth="1"/>
    <col min="35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f>E3+1</f>
        <v>201310</v>
      </c>
      <c r="G3" s="484">
        <f>F3+1</f>
        <v>201311</v>
      </c>
      <c r="H3" s="484">
        <f>G3+1</f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f t="shared" ref="V3:AF3" si="0">U3+1</f>
        <v>201502</v>
      </c>
      <c r="W3" s="484">
        <f t="shared" si="0"/>
        <v>201503</v>
      </c>
      <c r="X3" s="484">
        <f t="shared" si="0"/>
        <v>201504</v>
      </c>
      <c r="Y3" s="484">
        <f t="shared" si="0"/>
        <v>201505</v>
      </c>
      <c r="Z3" s="484">
        <f t="shared" si="0"/>
        <v>201506</v>
      </c>
      <c r="AA3" s="484">
        <f t="shared" si="0"/>
        <v>201507</v>
      </c>
      <c r="AB3" s="484">
        <f t="shared" si="0"/>
        <v>201508</v>
      </c>
      <c r="AC3" s="484">
        <f t="shared" si="0"/>
        <v>201509</v>
      </c>
      <c r="AD3" s="484">
        <f t="shared" si="0"/>
        <v>201510</v>
      </c>
      <c r="AE3" s="484">
        <f t="shared" si="0"/>
        <v>201511</v>
      </c>
      <c r="AF3" s="484">
        <f t="shared" si="0"/>
        <v>201512</v>
      </c>
      <c r="AG3" s="484">
        <v>201601</v>
      </c>
      <c r="AH3" s="484">
        <f>AG3+1</f>
        <v>201602</v>
      </c>
      <c r="AI3" s="484">
        <f t="shared" ref="AI3:AR3" si="1">AH3+1</f>
        <v>201603</v>
      </c>
      <c r="AJ3" s="484">
        <f t="shared" si="1"/>
        <v>201604</v>
      </c>
      <c r="AK3" s="484">
        <f t="shared" si="1"/>
        <v>201605</v>
      </c>
      <c r="AL3" s="484">
        <f t="shared" si="1"/>
        <v>201606</v>
      </c>
      <c r="AM3" s="484">
        <f t="shared" si="1"/>
        <v>201607</v>
      </c>
      <c r="AN3" s="484">
        <f t="shared" si="1"/>
        <v>201608</v>
      </c>
      <c r="AO3" s="484">
        <f t="shared" si="1"/>
        <v>201609</v>
      </c>
      <c r="AP3" s="484">
        <f t="shared" si="1"/>
        <v>201610</v>
      </c>
      <c r="AQ3" s="484">
        <f t="shared" si="1"/>
        <v>201611</v>
      </c>
      <c r="AR3" s="484">
        <f t="shared" si="1"/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201602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f>E13</f>
        <v>413477.3946999418</v>
      </c>
      <c r="G5" s="482">
        <f>F13</f>
        <v>-179650.44284699953</v>
      </c>
      <c r="H5" s="482">
        <f>G13</f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f>S13</f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f t="shared" ref="AF5:AR5" si="2">AE13</f>
        <v>-2684344.9824949973</v>
      </c>
      <c r="AG5" s="482">
        <f t="shared" si="2"/>
        <v>-3634681.6735539967</v>
      </c>
      <c r="AH5" s="482">
        <f t="shared" si="2"/>
        <v>-4349728.1832369966</v>
      </c>
      <c r="AI5" s="482">
        <f t="shared" si="2"/>
        <v>-4647235.483478996</v>
      </c>
      <c r="AJ5" s="482">
        <f t="shared" si="2"/>
        <v>-5147221.2688729959</v>
      </c>
      <c r="AK5" s="482">
        <f t="shared" si="2"/>
        <v>-6002096.6110229967</v>
      </c>
      <c r="AL5" s="482">
        <f t="shared" si="2"/>
        <v>-6406273.944958997</v>
      </c>
      <c r="AM5" s="482">
        <f t="shared" si="2"/>
        <v>-7224717.6167209959</v>
      </c>
      <c r="AN5" s="482">
        <f t="shared" si="2"/>
        <v>-7883900.3474069955</v>
      </c>
      <c r="AO5" s="482">
        <f t="shared" si="2"/>
        <v>-7979481.4255209956</v>
      </c>
      <c r="AP5" s="482">
        <f t="shared" si="2"/>
        <v>-8279679.969798997</v>
      </c>
      <c r="AQ5" s="482">
        <f t="shared" si="2"/>
        <v>-8418811.6904279981</v>
      </c>
      <c r="AR5" s="482">
        <f t="shared" si="2"/>
        <v>-9064727.144237997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f>IF(SUMIF(U3:AR3,AT4,U8:AR8)&gt;0,SUMIF(U3:AR3,AT4,U8:AR8),0)</f>
        <v>0</v>
      </c>
    </row>
    <row r="6" spans="1:51" ht="16.2">
      <c r="B6" s="481" t="s">
        <v>254</v>
      </c>
      <c r="C6" s="482">
        <f>SUM(AG6:AS6)</f>
        <v>-6193704.8218050003</v>
      </c>
      <c r="D6" s="482">
        <f>-1369125.49+SUM(E6:AF6,E9:AE9)+901115.84+143183.96</f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f>Dec!$J$55</f>
        <v>-283989.88756899955</v>
      </c>
      <c r="AG6" s="482">
        <f>Jan!$J$55</f>
        <v>-74080.34529899992</v>
      </c>
      <c r="AH6" s="482">
        <f>Feb!$J$55</f>
        <v>46444.419911999721</v>
      </c>
      <c r="AI6" s="482">
        <f>Mar!$J$55</f>
        <v>-278768.33809999912</v>
      </c>
      <c r="AJ6" s="482">
        <f>Apr!$J$55</f>
        <v>-1055945.7369300006</v>
      </c>
      <c r="AK6" s="482">
        <f>May!$J$55</f>
        <v>-687696.10780400049</v>
      </c>
      <c r="AL6" s="482">
        <f>Jun!$J$55</f>
        <v>-1172762.1835999992</v>
      </c>
      <c r="AM6" s="482">
        <f>Jul!$J$55</f>
        <v>-1035781.7308680005</v>
      </c>
      <c r="AN6" s="482">
        <f>Aug!$J$55</f>
        <v>-511412.85420199909</v>
      </c>
      <c r="AO6" s="482">
        <f>Sep!$J$55</f>
        <v>-643347.30856800068</v>
      </c>
      <c r="AP6" s="482">
        <f>Oct!$J$55</f>
        <v>-390519.99427700008</v>
      </c>
      <c r="AQ6" s="482">
        <f>Nov!$J$55</f>
        <v>-105844.75449999981</v>
      </c>
      <c r="AR6" s="482">
        <f>Dec!$J$55</f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f>IF(SUMIF(U3:AR3,AT4,U8:AR8)&lt;0,-SUMIF(U3:AR3,AT4,U8:AR8),0)</f>
        <v>3747.17</v>
      </c>
      <c r="AY6" s="500">
        <v>0</v>
      </c>
    </row>
    <row r="7" spans="1:51" ht="16.2">
      <c r="B7" s="481" t="s">
        <v>255</v>
      </c>
      <c r="C7" s="482">
        <f t="shared" ref="C7:C12" si="3">SUM(AG7:AS7)</f>
        <v>-123496.70993799914</v>
      </c>
      <c r="D7" s="482">
        <f>1867859.17+SUM(E7:AF7,E10:AE10)-530386.55-444070.48</f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f>Dec!$K$55</f>
        <v>-663714.97348999989</v>
      </c>
      <c r="AG7" s="482">
        <f>Jan!$K$55</f>
        <v>-637640.7143839997</v>
      </c>
      <c r="AH7" s="482">
        <f>Feb!$K$55</f>
        <v>-340204.55015399994</v>
      </c>
      <c r="AI7" s="482">
        <f>Mar!$K$55</f>
        <v>-217138.12729400001</v>
      </c>
      <c r="AJ7" s="482">
        <f>Apr!$K$55</f>
        <v>205714.00478000002</v>
      </c>
      <c r="AK7" s="482">
        <f>May!$K$55</f>
        <v>288686.77386799984</v>
      </c>
      <c r="AL7" s="482">
        <f>Jun!$K$55</f>
        <v>359995.72183800041</v>
      </c>
      <c r="AM7" s="482">
        <f>Jul!$K$55</f>
        <v>382891.64018200024</v>
      </c>
      <c r="AN7" s="482">
        <f>Aug!$K$55</f>
        <v>422438.76608799992</v>
      </c>
      <c r="AO7" s="482">
        <f>Sep!$K$55</f>
        <v>349920.59428999986</v>
      </c>
      <c r="AP7" s="482">
        <f>Oct!$K$55</f>
        <v>258343.08364799991</v>
      </c>
      <c r="AQ7" s="482">
        <f>Nov!$K$55</f>
        <v>-532788.92931000004</v>
      </c>
      <c r="AR7" s="482">
        <f>Dec!$K$55</f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f>IF((SUMIF(U3:AR3,AT4,U6:AR6)+SUMIF(U3:AR3,AT4,U7:AR7)+SUMIF(U3:AR3,AT4,U8:AR8))&gt;0,(SUMIF(U3:AR3,AT4,U6:AR6)+SUMIF(U3:AR3,AT4,U7:AR7)+SUMIF(U3:AR3,AT4,U8:AR8)),0)</f>
        <v>0</v>
      </c>
      <c r="AY7" s="500">
        <f>IF((SUMIF(U3:AR3,AT4,U6:AR6)+SUMIF(U3:AR3,AT4,U7:AR7)+SUMIF(U3:AR3,AT4,U8:AR8))&lt;0,-(SUMIF(U3:AR3,AT4,U6:AR6)+SUMIF(U3:AR3,AT4,U7:AR7)++SUMIF(U3:AR3,AT4,U8:AR8)),0)</f>
        <v>297507.3002420002</v>
      </c>
    </row>
    <row r="8" spans="1:51" ht="16.2">
      <c r="B8" s="481" t="s">
        <v>258</v>
      </c>
      <c r="C8" s="482">
        <f t="shared" si="3"/>
        <v>-68497.62</v>
      </c>
      <c r="D8" s="482">
        <f>-7356.73+SUM(E8:AF8,E11:AE11)+29.1+W12+X12</f>
        <v>-13104.920000000007</v>
      </c>
      <c r="E8" s="482">
        <f>ROUND(((E5+E9+E10+E11)*(E4/12))+((SUM(E6:E7)/2)*(E4/12)),2)</f>
        <v>376.87</v>
      </c>
      <c r="F8" s="482">
        <f>ROUND(((F5+F9+F10+F11)*(F4/12))+((SUM(F6:F7)/2)*(F4/12)),2)</f>
        <v>52.13</v>
      </c>
      <c r="G8" s="482">
        <f>ROUND(((G5+G9+G10+G11)*(G4/12))+((SUM(G6:G7)/2)*(G4/12)),2)</f>
        <v>-394.85</v>
      </c>
      <c r="H8" s="537">
        <f>ROUND(((H5)*(H4/12))+((SUM(H6:H7)/2)*(H4/12)),2)</f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f>ROUND(((AF5+AF9+AF10+AF11)*(AF4/12))+((SUM(AF6:AF7)/2)*(AF4/12)),2)</f>
        <v>-2631.83</v>
      </c>
      <c r="AG8" s="489">
        <f t="shared" ref="AG8:AR8" si="4">ROUND(((AG5+AG9+AG10+AG11)*(AG4/12))+((SUM(AG6:AG7)/2)*(AG4/12)),2)</f>
        <v>-3325.45</v>
      </c>
      <c r="AH8" s="489">
        <f t="shared" si="4"/>
        <v>-3747.17</v>
      </c>
      <c r="AI8" s="489">
        <f t="shared" si="4"/>
        <v>-4079.32</v>
      </c>
      <c r="AJ8" s="489">
        <f t="shared" si="4"/>
        <v>-4643.6099999999997</v>
      </c>
      <c r="AK8" s="489">
        <f t="shared" si="4"/>
        <v>-5168</v>
      </c>
      <c r="AL8" s="489">
        <f t="shared" si="4"/>
        <v>-5677.21</v>
      </c>
      <c r="AM8" s="489">
        <f t="shared" si="4"/>
        <v>-6292.64</v>
      </c>
      <c r="AN8" s="489">
        <f t="shared" si="4"/>
        <v>-6606.99</v>
      </c>
      <c r="AO8" s="489">
        <f t="shared" si="4"/>
        <v>-6771.83</v>
      </c>
      <c r="AP8" s="489">
        <f t="shared" si="4"/>
        <v>-6954.81</v>
      </c>
      <c r="AQ8" s="489">
        <f t="shared" si="4"/>
        <v>-7281.77</v>
      </c>
      <c r="AR8" s="489">
        <f t="shared" si="4"/>
        <v>-7948.82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f>IF((SUMIF(U3:AR3,AT4,U6:AR6)+SUMIF(U3:AR3,AT4,U7:AR7))&lt;0,-(SUMIF(U3:AR3,AT4,U6:AR6)+SUMIF(U3:AR3,AT4,U7:AR7)),0)</f>
        <v>293760.13024200022</v>
      </c>
      <c r="AY8" s="462">
        <f>IF((SUMIF(U3:AR3,AT4,U6:AR6)+SUMIF(U3:AR3,AT4,U7:AR7))&gt;0,(SUMIF(U3:AR3,AT4,U6:AR6)+SUMIF(U3:AR3,AT4,U7:AR7)),0)</f>
        <v>0</v>
      </c>
    </row>
    <row r="9" spans="1:51" ht="16.2">
      <c r="B9" s="481" t="s">
        <v>262</v>
      </c>
      <c r="C9" s="482">
        <f t="shared" si="3"/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f t="shared" si="3"/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tr">
        <f>AT9</f>
        <v>Tracker Transfer</v>
      </c>
      <c r="AU10" s="561">
        <f>AU44</f>
        <v>191000</v>
      </c>
      <c r="AV10" s="561" t="str">
        <f>AV44</f>
        <v>GD</v>
      </c>
      <c r="AW10" s="561" t="str">
        <f>AW44</f>
        <v>ID</v>
      </c>
      <c r="AX10" s="464">
        <v>0</v>
      </c>
      <c r="AY10" s="473">
        <f>AX9</f>
        <v>0</v>
      </c>
    </row>
    <row r="11" spans="1:51" ht="16.2" thickBot="1">
      <c r="B11" s="481" t="s">
        <v>264</v>
      </c>
      <c r="C11" s="482">
        <f t="shared" si="3"/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f>SUM(AX5:AX10)-SUM(AY5:AY10)</f>
        <v>0</v>
      </c>
    </row>
    <row r="12" spans="1:51">
      <c r="B12" s="481" t="s">
        <v>148</v>
      </c>
      <c r="C12" s="482">
        <f t="shared" si="3"/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f>SUM(E5:E12)</f>
        <v>413477.3946999418</v>
      </c>
      <c r="F13" s="541">
        <f t="shared" ref="F13:H13" si="5">SUM(F5:F12)</f>
        <v>-179650.44284699953</v>
      </c>
      <c r="G13" s="541">
        <f t="shared" si="5"/>
        <v>-770749.33284699952</v>
      </c>
      <c r="H13" s="541">
        <f t="shared" si="5"/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f>SUM(S5:S12)</f>
        <v>312448.97088100051</v>
      </c>
      <c r="T13" s="541">
        <f>SUM(T5:T12)</f>
        <v>-411904.7279799963</v>
      </c>
      <c r="U13" s="541">
        <f t="shared" ref="U13:AR13" si="6">SUM(U5:U12)</f>
        <v>-645308.82581999747</v>
      </c>
      <c r="V13" s="541">
        <f t="shared" si="6"/>
        <v>-754837.52375499834</v>
      </c>
      <c r="W13" s="541">
        <f t="shared" si="6"/>
        <v>-287477.8915199968</v>
      </c>
      <c r="X13" s="541">
        <f t="shared" si="6"/>
        <v>-1224292.1730279976</v>
      </c>
      <c r="Y13" s="541">
        <f t="shared" si="6"/>
        <v>-1390232.6525299973</v>
      </c>
      <c r="Z13" s="541">
        <f t="shared" si="6"/>
        <v>-1678662.999059998</v>
      </c>
      <c r="AA13" s="541">
        <f t="shared" si="6"/>
        <v>-2022423.1820719973</v>
      </c>
      <c r="AB13" s="541">
        <f t="shared" si="6"/>
        <v>-2418884.2503219969</v>
      </c>
      <c r="AC13" s="541">
        <f t="shared" si="6"/>
        <v>-3067053.2533299979</v>
      </c>
      <c r="AD13" s="541">
        <f t="shared" si="6"/>
        <v>-3722405.068684998</v>
      </c>
      <c r="AE13" s="541">
        <f t="shared" si="6"/>
        <v>-2684344.9824949973</v>
      </c>
      <c r="AF13" s="541">
        <f t="shared" si="6"/>
        <v>-3634681.6735539967</v>
      </c>
      <c r="AG13" s="541">
        <f t="shared" si="6"/>
        <v>-4349728.1832369966</v>
      </c>
      <c r="AH13" s="541">
        <f t="shared" si="6"/>
        <v>-4647235.483478996</v>
      </c>
      <c r="AI13" s="541">
        <f t="shared" si="6"/>
        <v>-5147221.2688729959</v>
      </c>
      <c r="AJ13" s="541">
        <f t="shared" si="6"/>
        <v>-6002096.6110229967</v>
      </c>
      <c r="AK13" s="541">
        <f t="shared" si="6"/>
        <v>-6406273.944958997</v>
      </c>
      <c r="AL13" s="541">
        <f t="shared" si="6"/>
        <v>-7224717.6167209959</v>
      </c>
      <c r="AM13" s="541">
        <f t="shared" si="6"/>
        <v>-7883900.3474069955</v>
      </c>
      <c r="AN13" s="541">
        <f t="shared" si="6"/>
        <v>-7979481.4255209956</v>
      </c>
      <c r="AO13" s="541">
        <f t="shared" si="6"/>
        <v>-8279679.969798997</v>
      </c>
      <c r="AP13" s="541">
        <f t="shared" si="6"/>
        <v>-8418811.6904279981</v>
      </c>
      <c r="AQ13" s="541">
        <f t="shared" si="6"/>
        <v>-9064727.144237997</v>
      </c>
      <c r="AR13" s="541">
        <f t="shared" si="6"/>
        <v>-10020380.825296996</v>
      </c>
    </row>
    <row r="14" spans="1:51" ht="16.2" thickTop="1">
      <c r="B14" s="481" t="s">
        <v>260</v>
      </c>
      <c r="E14" s="482">
        <f>_xll.Get_Balance(E3,"YTD","USD","Total","A","","001",$A$3,"GD","ID","DL")</f>
        <v>413477.41</v>
      </c>
      <c r="F14" s="482">
        <f>_xll.Get_Balance(F3,"YTD","USD","Total","A","","001",$A$3,"GD","ID","DL")</f>
        <v>-179650.42</v>
      </c>
      <c r="G14" s="482">
        <f>_xll.Get_Balance(G3,"YTD","USD","Total","A","","001",$A$3,"GD","ID","DL")</f>
        <v>-770749.31</v>
      </c>
      <c r="H14" s="482">
        <f>_xll.Get_Balance(H3,"YTD","USD","Total","A","","001",$A$3,"GD","ID","DL")</f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f>_xll.Get_Balance(S3,"YTD","USD","Total","A","","001",$A$3,"GD","ID","DL")</f>
        <v>312448.96999999997</v>
      </c>
      <c r="T14" s="482">
        <f>_xll.Get_Balance(T3,"YTD","USD","Total","A","","001",$A$3,"GD","ID","DL")</f>
        <v>-411904.73</v>
      </c>
      <c r="U14" s="482">
        <f>_xll.Get_Balance(U3,"YTD","USD","Total","A","","001",$A$3,"GD","ID","DL")</f>
        <v>-645308.82999999996</v>
      </c>
      <c r="V14" s="482">
        <f>_xll.Get_Balance(V3,"YTD","USD","Total","A","","001",$A$3,"GD","ID","DL")</f>
        <v>-754837.52</v>
      </c>
      <c r="W14" s="482">
        <f>_xll.Get_Balance(W3,"YTD","USD","Total","A","","001",$A$3,"GD","ID","DL")</f>
        <v>-287477.89</v>
      </c>
      <c r="X14" s="482">
        <f>_xll.Get_Balance(X3,"YTD","USD","Total","A","","001",$A$3,"GD","ID","DL")</f>
        <v>-1224292.17</v>
      </c>
      <c r="Y14" s="482">
        <f>_xll.Get_Balance(Y3,"YTD","USD","Total","A","","001",$A$3,"GD","ID","DL")</f>
        <v>-1390232.65</v>
      </c>
      <c r="Z14" s="482">
        <f>_xll.Get_Balance(Z3,"YTD","USD","Total","A","","001",$A$3,"GD","ID","DL")</f>
        <v>-1678663</v>
      </c>
      <c r="AA14" s="482">
        <f>_xll.Get_Balance(AA3,"YTD","USD","Total","A","","001",$A$3,"GD","ID","DL")</f>
        <v>-2022423.18</v>
      </c>
      <c r="AB14" s="482">
        <f>_xll.Get_Balance(AB3,"YTD","USD","Total","A","","001",$A$3,"GD","ID","DL")</f>
        <v>-2418884.25</v>
      </c>
      <c r="AC14" s="482">
        <f>_xll.Get_Balance(AC3,"YTD","USD","Total","A","","001",$A$3,"GD","ID","DL")</f>
        <v>-3067053.25</v>
      </c>
      <c r="AD14" s="482">
        <f>_xll.Get_Balance(AD3,"YTD","USD","Total","A","","001",$A$3,"GD","ID","DL")</f>
        <v>-3722405.07</v>
      </c>
      <c r="AE14" s="482">
        <f>_xll.Get_Balance(AE3,"YTD","USD","Total","A","","001",$A$3,"GD","ID","DL")</f>
        <v>-2684344.98</v>
      </c>
      <c r="AF14" s="482">
        <f>_xll.Get_Balance(AF3,"YTD","USD","Total","A","","001",$A$3,"GD","ID","DL")</f>
        <v>-3634681.67</v>
      </c>
      <c r="AG14" s="482">
        <f>_xll.Get_Balance(AG3,"YTD","USD","Total","A","","001",$A$3,"GD","ID","DL")</f>
        <v>-4349728.18</v>
      </c>
      <c r="AH14" s="482">
        <f>_xll.Get_Balance(AH3,"YTD","USD","Total","A","","001",$A$3,"GD","ID","DL")</f>
        <v>-4647235.4800000004</v>
      </c>
      <c r="AI14" s="482">
        <f>_xll.Get_Balance(AI3,"YTD","USD","Total","A","","001",$A$3,"GD","ID","DL")</f>
        <v>-5147221.2699999996</v>
      </c>
      <c r="AJ14" s="482">
        <f>_xll.Get_Balance(AJ3,"YTD","USD","Total","A","","001",$A$3,"GD","ID","DL")</f>
        <v>-6002096.6100000003</v>
      </c>
      <c r="AK14" s="482">
        <f>_xll.Get_Balance(AK3,"YTD","USD","Total","A","","001",$A$3,"GD","ID","DL")</f>
        <v>-6406273.9400000004</v>
      </c>
      <c r="AL14" s="482">
        <f>_xll.Get_Balance(AL3,"YTD","USD","Total","A","","001",$A$3,"GD","ID","DL")</f>
        <v>-7224717.6100000003</v>
      </c>
      <c r="AM14" s="482">
        <f>_xll.Get_Balance(AM3,"YTD","USD","Total","A","","001",$A$3,"GD","ID","DL")</f>
        <v>-7224717.6100000003</v>
      </c>
      <c r="AN14" s="482">
        <f>_xll.Get_Balance(AN3,"YTD","USD","Total","A","","001",$A$3,"GD","ID","DL")</f>
        <v>-7224717.6100000003</v>
      </c>
      <c r="AO14" s="482">
        <f>_xll.Get_Balance(AO3,"YTD","USD","Total","A","","001",$A$3,"GD","ID","DL")</f>
        <v>0</v>
      </c>
      <c r="AP14" s="482">
        <f>_xll.Get_Balance(AP3,"YTD","USD","Total","A","","001",$A$3,"GD","ID","DL")</f>
        <v>0</v>
      </c>
      <c r="AQ14" s="482">
        <f>_xll.Get_Balance(AQ3,"YTD","USD","Total","A","","001",$A$3,"GD","ID","DL")</f>
        <v>0</v>
      </c>
      <c r="AR14" s="482">
        <f>_xll.Get_Balance(AR3,"YTD","USD","Total","A","","001",$A$3,"GD","ID","DL")</f>
        <v>0</v>
      </c>
    </row>
    <row r="15" spans="1:51">
      <c r="B15" s="481" t="s">
        <v>245</v>
      </c>
      <c r="E15" s="482">
        <f t="shared" ref="E15:H15" si="7">E13-E14</f>
        <v>-1.5300058177672327E-2</v>
      </c>
      <c r="F15" s="482">
        <f t="shared" si="7"/>
        <v>-2.2846999519970268E-2</v>
      </c>
      <c r="G15" s="482">
        <f t="shared" si="7"/>
        <v>-2.2846999461762607E-2</v>
      </c>
      <c r="H15" s="482">
        <f t="shared" si="7"/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f t="shared" ref="S15:T15" si="8">S13-S14</f>
        <v>8.8100053835660219E-4</v>
      </c>
      <c r="T15" s="482">
        <f t="shared" si="8"/>
        <v>2.0200036815367639E-3</v>
      </c>
      <c r="U15" s="482">
        <f>U13-U14</f>
        <v>4.1800024919211864E-3</v>
      </c>
      <c r="V15" s="482">
        <f>V13-V14</f>
        <v>-3.7549983244389296E-3</v>
      </c>
      <c r="W15" s="482">
        <f t="shared" ref="W15:AR15" si="9">W13-W14</f>
        <v>-1.5199967892840505E-3</v>
      </c>
      <c r="X15" s="482">
        <f t="shared" si="9"/>
        <v>-3.0279976781457663E-3</v>
      </c>
      <c r="Y15" s="482">
        <f t="shared" si="9"/>
        <v>-2.5299973785877228E-3</v>
      </c>
      <c r="Z15" s="482">
        <f t="shared" si="9"/>
        <v>9.4000203534960747E-4</v>
      </c>
      <c r="AA15" s="482">
        <f t="shared" si="9"/>
        <v>-2.0719973836094141E-3</v>
      </c>
      <c r="AB15" s="482">
        <f t="shared" si="9"/>
        <v>-3.2199686393141747E-4</v>
      </c>
      <c r="AC15" s="482">
        <f t="shared" si="9"/>
        <v>-3.3299978822469711E-3</v>
      </c>
      <c r="AD15" s="482">
        <f t="shared" si="9"/>
        <v>1.3150018639862537E-3</v>
      </c>
      <c r="AE15" s="482">
        <f t="shared" si="9"/>
        <v>-2.4949973449110985E-3</v>
      </c>
      <c r="AF15" s="482">
        <f t="shared" si="9"/>
        <v>-3.5539967939257622E-3</v>
      </c>
      <c r="AG15" s="482">
        <f t="shared" si="9"/>
        <v>-3.2369969412684441E-3</v>
      </c>
      <c r="AH15" s="482">
        <f t="shared" si="9"/>
        <v>-3.4789955243468285E-3</v>
      </c>
      <c r="AI15" s="482">
        <f t="shared" si="9"/>
        <v>1.1270036920905113E-3</v>
      </c>
      <c r="AJ15" s="482">
        <f t="shared" si="9"/>
        <v>-1.0229963809251785E-3</v>
      </c>
      <c r="AK15" s="482">
        <f t="shared" si="9"/>
        <v>-4.9589965492486954E-3</v>
      </c>
      <c r="AL15" s="482">
        <f t="shared" si="9"/>
        <v>-6.7209955304861069E-3</v>
      </c>
      <c r="AM15" s="482">
        <f t="shared" si="9"/>
        <v>-659182.73740699515</v>
      </c>
      <c r="AN15" s="482">
        <f t="shared" si="9"/>
        <v>-754763.8155209953</v>
      </c>
      <c r="AO15" s="482">
        <f t="shared" si="9"/>
        <v>-8279679.969798997</v>
      </c>
      <c r="AP15" s="482">
        <f t="shared" si="9"/>
        <v>-8418811.6904279981</v>
      </c>
      <c r="AQ15" s="482">
        <f t="shared" si="9"/>
        <v>-9064727.144237997</v>
      </c>
      <c r="AR15" s="482">
        <f t="shared" si="9"/>
        <v>-10020380.825296996</v>
      </c>
    </row>
    <row r="16" spans="1:51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f>E18+1</f>
        <v>201310</v>
      </c>
      <c r="G18" s="484">
        <f>F18+1</f>
        <v>201311</v>
      </c>
      <c r="H18" s="484">
        <f>G18+1</f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f t="shared" ref="V18:AF18" si="10">U18+1</f>
        <v>201502</v>
      </c>
      <c r="W18" s="484">
        <f t="shared" si="10"/>
        <v>201503</v>
      </c>
      <c r="X18" s="484">
        <f t="shared" si="10"/>
        <v>201504</v>
      </c>
      <c r="Y18" s="484">
        <f t="shared" si="10"/>
        <v>201505</v>
      </c>
      <c r="Z18" s="484">
        <f t="shared" si="10"/>
        <v>201506</v>
      </c>
      <c r="AA18" s="484">
        <f t="shared" si="10"/>
        <v>201507</v>
      </c>
      <c r="AB18" s="484">
        <f t="shared" si="10"/>
        <v>201508</v>
      </c>
      <c r="AC18" s="484">
        <f t="shared" si="10"/>
        <v>201509</v>
      </c>
      <c r="AD18" s="484">
        <f t="shared" si="10"/>
        <v>201510</v>
      </c>
      <c r="AE18" s="484">
        <f t="shared" si="10"/>
        <v>201511</v>
      </c>
      <c r="AF18" s="484">
        <f t="shared" si="10"/>
        <v>201512</v>
      </c>
      <c r="AG18" s="484">
        <v>201601</v>
      </c>
      <c r="AH18" s="484">
        <f>AG18+1</f>
        <v>201602</v>
      </c>
      <c r="AI18" s="484">
        <f t="shared" ref="AI18:AS18" si="11">AH18+1</f>
        <v>201603</v>
      </c>
      <c r="AJ18" s="484">
        <f t="shared" si="11"/>
        <v>201604</v>
      </c>
      <c r="AK18" s="484">
        <f t="shared" si="11"/>
        <v>201605</v>
      </c>
      <c r="AL18" s="484">
        <f t="shared" si="11"/>
        <v>201606</v>
      </c>
      <c r="AM18" s="484">
        <f t="shared" si="11"/>
        <v>201607</v>
      </c>
      <c r="AN18" s="484">
        <f t="shared" si="11"/>
        <v>201608</v>
      </c>
      <c r="AO18" s="484">
        <f t="shared" si="11"/>
        <v>201609</v>
      </c>
      <c r="AP18" s="484">
        <f t="shared" si="11"/>
        <v>201610</v>
      </c>
      <c r="AQ18" s="484">
        <f t="shared" si="11"/>
        <v>201611</v>
      </c>
      <c r="AR18" s="484">
        <f t="shared" si="11"/>
        <v>201612</v>
      </c>
      <c r="AS18" s="484">
        <f t="shared" si="11"/>
        <v>201613</v>
      </c>
      <c r="AU18" s="558"/>
    </row>
    <row r="19" spans="1:51">
      <c r="A19" s="483"/>
      <c r="B19" s="481" t="s">
        <v>37</v>
      </c>
      <c r="C19" s="491">
        <f>SUM(AG19:AR19)</f>
        <v>15302920</v>
      </c>
      <c r="D19" s="491">
        <f>SUM(AE19:AP19)</f>
        <v>31769980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f>Jul!$K36</f>
        <v>1156092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f>Dec!$K36</f>
        <v>9218989</v>
      </c>
      <c r="AG19" s="491">
        <f>Jan!$K36</f>
        <v>8841051</v>
      </c>
      <c r="AH19" s="491">
        <f>Feb!$K36</f>
        <v>6461869</v>
      </c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f t="shared" ref="C20:C24" si="12">SUM(AG20:AR20)</f>
        <v>5183179</v>
      </c>
      <c r="D20" s="491">
        <f t="shared" ref="D20:D24" si="13">SUM(AE20:AP20)</f>
        <v>10263970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f>Jul!$K37</f>
        <v>1000390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f>Dec!$K37</f>
        <v>2701016</v>
      </c>
      <c r="AG20" s="491">
        <f>Jan!$K37</f>
        <v>2843963</v>
      </c>
      <c r="AH20" s="491">
        <f>Feb!$K37</f>
        <v>2339216</v>
      </c>
      <c r="AI20" s="491"/>
      <c r="AJ20" s="491"/>
      <c r="AK20" s="491"/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f t="shared" si="12"/>
        <v>0</v>
      </c>
      <c r="D21" s="491">
        <f t="shared" si="13"/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f t="shared" si="12"/>
        <v>0</v>
      </c>
      <c r="D22" s="491">
        <f t="shared" si="13"/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f t="shared" si="12"/>
        <v>0</v>
      </c>
      <c r="D23" s="491">
        <f t="shared" si="13"/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f t="shared" si="12"/>
        <v>0</v>
      </c>
      <c r="D24" s="491">
        <f t="shared" si="13"/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f>Jul!$K41</f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f>Dec!$K41</f>
        <v>0</v>
      </c>
      <c r="AG24" s="491">
        <f>Jan!$K41</f>
        <v>0</v>
      </c>
      <c r="AH24" s="491">
        <f>Feb!$K41</f>
        <v>0</v>
      </c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f t="shared" ref="C25:C26" si="14">SUM(I25:T25)</f>
        <v>0</v>
      </c>
      <c r="D25" s="491">
        <f>SUM(G25:R25)</f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f t="shared" si="14"/>
        <v>0</v>
      </c>
      <c r="D26" s="491">
        <f>SUM(G26:R26)</f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f>SUM(U27:AF27)</f>
        <v>69257007</v>
      </c>
      <c r="D27" s="542">
        <f>SUM(F27:Q27)</f>
        <v>79142017</v>
      </c>
      <c r="E27" s="542">
        <f>SUM(E19:E26)</f>
        <v>2507738</v>
      </c>
      <c r="F27" s="542">
        <v>5893546</v>
      </c>
      <c r="G27" s="542">
        <f t="shared" ref="G27:H27" si="15">SUM(G19:G26)</f>
        <v>9508099</v>
      </c>
      <c r="H27" s="542">
        <f t="shared" si="15"/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f t="shared" ref="U27:AR27" si="16">SUM(U19:U26)</f>
        <v>11809937</v>
      </c>
      <c r="V27" s="542">
        <f t="shared" si="16"/>
        <v>7940694</v>
      </c>
      <c r="W27" s="542">
        <f t="shared" si="16"/>
        <v>7017973</v>
      </c>
      <c r="X27" s="542">
        <f t="shared" si="16"/>
        <v>5254736</v>
      </c>
      <c r="Y27" s="542">
        <f t="shared" si="16"/>
        <v>2699945</v>
      </c>
      <c r="Z27" s="542">
        <f t="shared" si="16"/>
        <v>2074520</v>
      </c>
      <c r="AA27" s="542">
        <f t="shared" si="16"/>
        <v>2156482</v>
      </c>
      <c r="AB27" s="542">
        <f t="shared" si="16"/>
        <v>2252954</v>
      </c>
      <c r="AC27" s="542">
        <f t="shared" si="16"/>
        <v>2632656</v>
      </c>
      <c r="AD27" s="542">
        <f t="shared" si="16"/>
        <v>3869259</v>
      </c>
      <c r="AE27" s="542">
        <f t="shared" si="16"/>
        <v>9627846</v>
      </c>
      <c r="AF27" s="542">
        <f t="shared" si="16"/>
        <v>11920005</v>
      </c>
      <c r="AG27" s="542">
        <f t="shared" si="16"/>
        <v>11685014</v>
      </c>
      <c r="AH27" s="542">
        <f t="shared" si="16"/>
        <v>8801085</v>
      </c>
      <c r="AI27" s="542">
        <f t="shared" si="16"/>
        <v>0</v>
      </c>
      <c r="AJ27" s="542">
        <f t="shared" si="16"/>
        <v>0</v>
      </c>
      <c r="AK27" s="542">
        <f t="shared" si="16"/>
        <v>0</v>
      </c>
      <c r="AL27" s="542">
        <f t="shared" si="16"/>
        <v>0</v>
      </c>
      <c r="AM27" s="542">
        <f t="shared" si="16"/>
        <v>0</v>
      </c>
      <c r="AN27" s="542">
        <f t="shared" si="16"/>
        <v>0</v>
      </c>
      <c r="AO27" s="542">
        <f t="shared" si="16"/>
        <v>0</v>
      </c>
      <c r="AP27" s="542">
        <f t="shared" si="16"/>
        <v>0</v>
      </c>
      <c r="AQ27" s="542">
        <f t="shared" si="16"/>
        <v>0</v>
      </c>
      <c r="AR27" s="542">
        <f t="shared" si="16"/>
        <v>0</v>
      </c>
    </row>
    <row r="28" spans="1:51" ht="16.2" thickTop="1">
      <c r="A28" s="483"/>
      <c r="B28" s="481" t="s">
        <v>269</v>
      </c>
      <c r="C28" s="491">
        <f>SUM(U28:AF28)</f>
        <v>69054815</v>
      </c>
      <c r="D28" s="491">
        <f>SUM(F28:Q28)</f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73">
        <v>8801085</v>
      </c>
      <c r="AI28" s="582"/>
      <c r="AJ28" s="582"/>
      <c r="AK28" s="582"/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f>E30+1</f>
        <v>201310</v>
      </c>
      <c r="G30" s="484">
        <f>F30+1</f>
        <v>201311</v>
      </c>
      <c r="H30" s="484">
        <f>G30+1</f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f t="shared" ref="V30:AF30" si="17">U30+1</f>
        <v>201502</v>
      </c>
      <c r="W30" s="484">
        <f t="shared" si="17"/>
        <v>201503</v>
      </c>
      <c r="X30" s="484">
        <f t="shared" si="17"/>
        <v>201504</v>
      </c>
      <c r="Y30" s="484">
        <f t="shared" si="17"/>
        <v>201505</v>
      </c>
      <c r="Z30" s="484">
        <f t="shared" si="17"/>
        <v>201506</v>
      </c>
      <c r="AA30" s="484">
        <f t="shared" si="17"/>
        <v>201507</v>
      </c>
      <c r="AB30" s="484">
        <f t="shared" si="17"/>
        <v>201508</v>
      </c>
      <c r="AC30" s="484">
        <f t="shared" si="17"/>
        <v>201509</v>
      </c>
      <c r="AD30" s="484">
        <f t="shared" si="17"/>
        <v>201510</v>
      </c>
      <c r="AE30" s="484">
        <f t="shared" si="17"/>
        <v>201511</v>
      </c>
      <c r="AF30" s="484">
        <f t="shared" si="17"/>
        <v>201512</v>
      </c>
      <c r="AG30" s="484">
        <v>201601</v>
      </c>
      <c r="AH30" s="484">
        <f>AG30+1</f>
        <v>201602</v>
      </c>
      <c r="AI30" s="484">
        <f t="shared" ref="AI30:AR30" si="18">AH30+1</f>
        <v>201603</v>
      </c>
      <c r="AJ30" s="484">
        <f t="shared" si="18"/>
        <v>201604</v>
      </c>
      <c r="AK30" s="484">
        <f t="shared" si="18"/>
        <v>201605</v>
      </c>
      <c r="AL30" s="484">
        <f t="shared" si="18"/>
        <v>201606</v>
      </c>
      <c r="AM30" s="484">
        <f t="shared" si="18"/>
        <v>201607</v>
      </c>
      <c r="AN30" s="484">
        <f t="shared" si="18"/>
        <v>201608</v>
      </c>
      <c r="AO30" s="484">
        <f t="shared" si="18"/>
        <v>201609</v>
      </c>
      <c r="AP30" s="484">
        <f t="shared" si="18"/>
        <v>201610</v>
      </c>
      <c r="AQ30" s="484">
        <f t="shared" si="18"/>
        <v>201611</v>
      </c>
      <c r="AR30" s="484">
        <f t="shared" si="18"/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f>E40+1</f>
        <v>201310</v>
      </c>
      <c r="G40" s="484">
        <f>F40+1</f>
        <v>201311</v>
      </c>
      <c r="H40" s="484">
        <f>G40+1</f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f t="shared" ref="V40:AF40" si="19">U40+1</f>
        <v>201502</v>
      </c>
      <c r="W40" s="484">
        <f t="shared" si="19"/>
        <v>201503</v>
      </c>
      <c r="X40" s="484">
        <f t="shared" si="19"/>
        <v>201504</v>
      </c>
      <c r="Y40" s="484">
        <f t="shared" si="19"/>
        <v>201505</v>
      </c>
      <c r="Z40" s="484">
        <f t="shared" si="19"/>
        <v>201506</v>
      </c>
      <c r="AA40" s="484">
        <f t="shared" si="19"/>
        <v>201507</v>
      </c>
      <c r="AB40" s="484">
        <f t="shared" si="19"/>
        <v>201508</v>
      </c>
      <c r="AC40" s="484">
        <f t="shared" si="19"/>
        <v>201509</v>
      </c>
      <c r="AD40" s="484">
        <f t="shared" si="19"/>
        <v>201510</v>
      </c>
      <c r="AE40" s="484">
        <f t="shared" si="19"/>
        <v>201511</v>
      </c>
      <c r="AF40" s="484">
        <f t="shared" si="19"/>
        <v>201512</v>
      </c>
      <c r="AG40" s="484">
        <v>201601</v>
      </c>
      <c r="AH40" s="484">
        <f>AG40+1</f>
        <v>201602</v>
      </c>
      <c r="AI40" s="484">
        <f t="shared" ref="AI40:AR40" si="20">AH40+1</f>
        <v>201603</v>
      </c>
      <c r="AJ40" s="484">
        <f t="shared" si="20"/>
        <v>201604</v>
      </c>
      <c r="AK40" s="484">
        <f t="shared" si="20"/>
        <v>201605</v>
      </c>
      <c r="AL40" s="484">
        <f t="shared" si="20"/>
        <v>201606</v>
      </c>
      <c r="AM40" s="484">
        <f t="shared" si="20"/>
        <v>201607</v>
      </c>
      <c r="AN40" s="484">
        <f t="shared" si="20"/>
        <v>201608</v>
      </c>
      <c r="AO40" s="484">
        <f t="shared" si="20"/>
        <v>201609</v>
      </c>
      <c r="AP40" s="484">
        <f t="shared" si="20"/>
        <v>201610</v>
      </c>
      <c r="AQ40" s="484">
        <f t="shared" si="20"/>
        <v>201611</v>
      </c>
      <c r="AR40" s="484">
        <f t="shared" si="20"/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f>AT4</f>
        <v>201602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f>'ID Amort 191000'!E225</f>
        <v>-50127.534716029098</v>
      </c>
      <c r="F42" s="482">
        <f>E47</f>
        <v>-5563.1478626091184</v>
      </c>
      <c r="G42" s="482">
        <f>F47</f>
        <v>122203.74560073584</v>
      </c>
      <c r="H42" s="482">
        <f>G47</f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f>S47</f>
        <v>-2186758.9002166959</v>
      </c>
      <c r="U42" s="482">
        <v>-1737468.3702166961</v>
      </c>
      <c r="V42" s="482">
        <f>U47</f>
        <v>-1379625.346046696</v>
      </c>
      <c r="W42" s="482">
        <f t="shared" ref="W42:Y42" si="21">V47</f>
        <v>-1139196.8415066958</v>
      </c>
      <c r="X42" s="482">
        <f t="shared" si="21"/>
        <v>-927936.74257669575</v>
      </c>
      <c r="Y42" s="482">
        <f t="shared" si="21"/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f t="shared" ref="AC42:AE42" si="22">AB47</f>
        <v>-496357.29729955469</v>
      </c>
      <c r="AD42" s="482">
        <f t="shared" si="22"/>
        <v>-416678.50147523766</v>
      </c>
      <c r="AE42" s="482">
        <f t="shared" si="22"/>
        <v>-299312.54063388787</v>
      </c>
      <c r="AF42" s="482">
        <f>AE47</f>
        <v>-1658528.5495927494</v>
      </c>
      <c r="AG42" s="482">
        <f t="shared" ref="AG42:AR42" si="23">AF47</f>
        <v>-1317584.0800507434</v>
      </c>
      <c r="AH42" s="482">
        <f t="shared" si="23"/>
        <v>-983065.53286414407</v>
      </c>
      <c r="AI42" s="482">
        <f t="shared" si="23"/>
        <v>-731100.32081221836</v>
      </c>
      <c r="AJ42" s="482">
        <f t="shared" si="23"/>
        <v>-731709.57107956184</v>
      </c>
      <c r="AK42" s="482">
        <f t="shared" si="23"/>
        <v>-732319.32905546145</v>
      </c>
      <c r="AL42" s="482">
        <f t="shared" si="23"/>
        <v>-732929.59516300762</v>
      </c>
      <c r="AM42" s="482">
        <f t="shared" si="23"/>
        <v>-733540.36982564349</v>
      </c>
      <c r="AN42" s="482">
        <f t="shared" si="23"/>
        <v>-734151.65346716484</v>
      </c>
      <c r="AO42" s="482">
        <f t="shared" si="23"/>
        <v>-734763.44651172077</v>
      </c>
      <c r="AP42" s="482">
        <f t="shared" si="23"/>
        <v>-735375.74938381382</v>
      </c>
      <c r="AQ42" s="482">
        <f t="shared" si="23"/>
        <v>-735988.5625083003</v>
      </c>
      <c r="AR42" s="482">
        <f t="shared" si="23"/>
        <v>-736601.88631039055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f>IF(SUMIF(U40:AR40,AT41,U44:AR44)&gt;0,SUMIF(U40:AR40,AT41,U44:AR44),0)</f>
        <v>0</v>
      </c>
    </row>
    <row r="43" spans="1:51" ht="16.2">
      <c r="B43" s="481" t="s">
        <v>23</v>
      </c>
      <c r="C43" s="482">
        <f>SUM(AG43:AR43)</f>
        <v>588155.90229</v>
      </c>
      <c r="D43" s="491">
        <f>SUM(AE43:AP43)</f>
        <v>1207039.9022900001</v>
      </c>
      <c r="E43" s="482">
        <f>SUMPRODUCT(E19:E26,E31:E38)</f>
        <v>44587.581640000004</v>
      </c>
      <c r="F43" s="482">
        <v>-849.23</v>
      </c>
      <c r="G43" s="482">
        <v>-398.36</v>
      </c>
      <c r="H43" s="482">
        <f t="shared" ref="H43" si="24">SUMPRODUCT(H19:H26,H31:H38)</f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f t="shared" ref="V43:W43" si="25">SUMPRODUCT(V19:V26,V31:V38)</f>
        <v>241476.50453999999</v>
      </c>
      <c r="W43" s="482">
        <f t="shared" si="25"/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f t="shared" ref="AC43:AD43" si="26">SUMPRODUCT(AC19:AC26,AC31:AC38)</f>
        <v>80059.068960000004</v>
      </c>
      <c r="AD43" s="482">
        <f t="shared" si="26"/>
        <v>117664.16618999999</v>
      </c>
      <c r="AE43" s="482">
        <v>276700</v>
      </c>
      <c r="AF43" s="563">
        <v>342184</v>
      </c>
      <c r="AG43" s="563">
        <f>SUMPRODUCT(AG19:AG24,AG31:AG36)</f>
        <v>335476.75193999999</v>
      </c>
      <c r="AH43" s="563">
        <f t="shared" ref="AH43:AR43" si="27">SUMPRODUCT(AH19:AH24,AH31:AH36)</f>
        <v>252679.15035000001</v>
      </c>
      <c r="AI43" s="563">
        <f t="shared" si="27"/>
        <v>0</v>
      </c>
      <c r="AJ43" s="563">
        <f t="shared" si="27"/>
        <v>0</v>
      </c>
      <c r="AK43" s="563">
        <f t="shared" si="27"/>
        <v>0</v>
      </c>
      <c r="AL43" s="563">
        <f t="shared" si="27"/>
        <v>0</v>
      </c>
      <c r="AM43" s="563">
        <f t="shared" si="27"/>
        <v>0</v>
      </c>
      <c r="AN43" s="563">
        <f t="shared" si="27"/>
        <v>0</v>
      </c>
      <c r="AO43" s="563">
        <f t="shared" si="27"/>
        <v>0</v>
      </c>
      <c r="AP43" s="563">
        <f t="shared" si="27"/>
        <v>0</v>
      </c>
      <c r="AQ43" s="563">
        <f t="shared" si="27"/>
        <v>0</v>
      </c>
      <c r="AR43" s="563">
        <f t="shared" si="27"/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f>IF(SUMIF(U40:AR40,AT41,U44:AR44)&lt;0,-SUMIF(U40:AR40,AT41,U44:AR44),0)</f>
        <v>713.93829807428676</v>
      </c>
      <c r="AY43" s="500">
        <v>0</v>
      </c>
    </row>
    <row r="44" spans="1:51" ht="16.2">
      <c r="B44" s="481" t="s">
        <v>4</v>
      </c>
      <c r="C44" s="482">
        <f t="shared" ref="C44:C46" si="28">SUM(AG44:AR44)</f>
        <v>-7787.5434549059755</v>
      </c>
      <c r="D44" s="491">
        <f>SUM(AE44:AP44)</f>
        <v>-9314.4941644125975</v>
      </c>
      <c r="E44" s="482">
        <f>(E42*(E41/12))+((E43/2)*(E41/12))</f>
        <v>-23.194786580024246</v>
      </c>
      <c r="F44" s="482">
        <f>((F42+F45)*(F41/12))+(((F43+F46)/2)*(F41/12))</f>
        <v>93.835916403610199</v>
      </c>
      <c r="G44" s="482">
        <f>(G42*(G41/12))+((G43/2)*(G41/12))</f>
        <v>101.67047133394655</v>
      </c>
      <c r="H44" s="489">
        <f>(H42*(H41/12))+((H43/2)*(H41/12))-90.81</f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f>(((S42+S45)*(S41/12))+(((S43+S46)/2)*(S41/12)))</f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f t="shared" ref="AC44:AD44" si="29">((AC42*(AC41/12))+((AC43/2)*(AC41/12)))</f>
        <v>-380.27313568296228</v>
      </c>
      <c r="AD44" s="489">
        <f t="shared" si="29"/>
        <v>-298.20534865019806</v>
      </c>
      <c r="AE44" s="489">
        <f>((AE42+AE45)*(AE41/12))+(((AE43+AE46)/2)*(AE41/12))</f>
        <v>-1514.5789588615733</v>
      </c>
      <c r="AF44" s="489">
        <f t="shared" ref="AF44:AR44" si="30">((AF42*(AF41/12))+((AF43/2)*(AF41/12)))</f>
        <v>-1239.530457993958</v>
      </c>
      <c r="AG44" s="489">
        <f t="shared" si="30"/>
        <v>-958.20475340061967</v>
      </c>
      <c r="AH44" s="489">
        <f t="shared" si="30"/>
        <v>-713.93829807428676</v>
      </c>
      <c r="AI44" s="489">
        <f t="shared" si="30"/>
        <v>-609.25026734351536</v>
      </c>
      <c r="AJ44" s="489">
        <f t="shared" si="30"/>
        <v>-609.75797589963486</v>
      </c>
      <c r="AK44" s="489">
        <f t="shared" si="30"/>
        <v>-610.26610754621788</v>
      </c>
      <c r="AL44" s="489">
        <f t="shared" si="30"/>
        <v>-610.77466263583972</v>
      </c>
      <c r="AM44" s="489">
        <f t="shared" si="30"/>
        <v>-611.28364152136965</v>
      </c>
      <c r="AN44" s="489">
        <f t="shared" si="30"/>
        <v>-611.79304455597071</v>
      </c>
      <c r="AO44" s="489">
        <f t="shared" si="30"/>
        <v>-612.30287209310063</v>
      </c>
      <c r="AP44" s="489">
        <f t="shared" si="30"/>
        <v>-612.81312448651158</v>
      </c>
      <c r="AQ44" s="489">
        <f t="shared" si="30"/>
        <v>-613.3238020902503</v>
      </c>
      <c r="AR44" s="489">
        <f t="shared" si="30"/>
        <v>-613.83490525865886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f>IF((SUMIF(U40:AR40,AT41,U43:AR43)+SUMIF(U40:AR40,AT41,U44:AR44))&gt;0,(SUMIF(U40:AR40,AT41,U43:AR43)+SUMIF(U40:AR40,AT41,U44:AR44)),0)</f>
        <v>251965.21205192572</v>
      </c>
      <c r="AY44" s="500">
        <f>IF((SUMIF(U40:AR40,AT41,U43:AR43)+SUMIF(U40:AR40,AT41,U44:AR44))&lt;0,-(SUMIF(U40:AR40,AT41,U43:AR43)+SUMIF(U40:AR40,AT41,U44:AR44)),0)</f>
        <v>0</v>
      </c>
    </row>
    <row r="45" spans="1:51" ht="16.2">
      <c r="B45" s="481" t="s">
        <v>259</v>
      </c>
      <c r="C45" s="482">
        <f t="shared" si="28"/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f>IF((SUMIF(U40:AR40,AT41,U43:AR43))&lt;0,-(SUMIF(U40:AR40,AT41,U43:AR43)),0)</f>
        <v>0</v>
      </c>
      <c r="AY45" s="500">
        <f>IF((SUMIF(U40:AR40,AT41,U43:AR43))&gt;0,(SUMIF(U40:AR40,AT41,U43:AR43)),0)</f>
        <v>252679.15035000001</v>
      </c>
    </row>
    <row r="46" spans="1:51" ht="16.2">
      <c r="B46" s="481" t="s">
        <v>148</v>
      </c>
      <c r="C46" s="482">
        <f t="shared" si="28"/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f>119522.06-1539.15</f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f t="shared" ref="AU46:AW47" si="31">AU44</f>
        <v>191000</v>
      </c>
      <c r="AV46" s="528" t="str">
        <f t="shared" si="31"/>
        <v>GD</v>
      </c>
      <c r="AW46" s="528" t="str">
        <f t="shared" si="31"/>
        <v>ID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f>SUM(E42:E46)</f>
        <v>-5563.1478626091184</v>
      </c>
      <c r="F47" s="541">
        <f t="shared" ref="F47:H47" si="32">SUM(F42:F46)</f>
        <v>122203.74560073584</v>
      </c>
      <c r="G47" s="541">
        <f t="shared" si="32"/>
        <v>121907.05607206978</v>
      </c>
      <c r="H47" s="541">
        <f t="shared" si="32"/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f>SUM(S42:S46)</f>
        <v>-2186758.9002166959</v>
      </c>
      <c r="T47" s="541">
        <f>SUM(T42:T46)</f>
        <v>-1737468.3702166961</v>
      </c>
      <c r="U47" s="541">
        <f>SUM(U42:U46)</f>
        <v>-1379625.346046696</v>
      </c>
      <c r="V47" s="541">
        <f t="shared" ref="V47:AR47" si="33">SUM(V42:V46)</f>
        <v>-1139196.8415066958</v>
      </c>
      <c r="W47" s="541">
        <f t="shared" si="33"/>
        <v>-927936.74257669575</v>
      </c>
      <c r="X47" s="541">
        <f t="shared" si="33"/>
        <v>-767403.9580847763</v>
      </c>
      <c r="Y47" s="541">
        <f t="shared" si="33"/>
        <v>-685903.92338007619</v>
      </c>
      <c r="Z47" s="541">
        <f t="shared" si="33"/>
        <v>-623363.07088572613</v>
      </c>
      <c r="AA47" s="541">
        <f t="shared" si="33"/>
        <v>-564427.81872858922</v>
      </c>
      <c r="AB47" s="541">
        <f t="shared" si="33"/>
        <v>-496357.29729955469</v>
      </c>
      <c r="AC47" s="541">
        <f t="shared" si="33"/>
        <v>-416678.50147523766</v>
      </c>
      <c r="AD47" s="541">
        <f t="shared" si="33"/>
        <v>-299312.54063388787</v>
      </c>
      <c r="AE47" s="541">
        <f t="shared" si="33"/>
        <v>-1658528.5495927494</v>
      </c>
      <c r="AF47" s="541">
        <f t="shared" si="33"/>
        <v>-1317584.0800507434</v>
      </c>
      <c r="AG47" s="541">
        <f t="shared" si="33"/>
        <v>-983065.53286414407</v>
      </c>
      <c r="AH47" s="541">
        <f t="shared" si="33"/>
        <v>-731100.32081221836</v>
      </c>
      <c r="AI47" s="541">
        <f t="shared" si="33"/>
        <v>-731709.57107956184</v>
      </c>
      <c r="AJ47" s="541">
        <f t="shared" si="33"/>
        <v>-732319.32905546145</v>
      </c>
      <c r="AK47" s="541">
        <f t="shared" si="33"/>
        <v>-732929.59516300762</v>
      </c>
      <c r="AL47" s="541">
        <f t="shared" si="33"/>
        <v>-733540.36982564349</v>
      </c>
      <c r="AM47" s="541">
        <f t="shared" si="33"/>
        <v>-734151.65346716484</v>
      </c>
      <c r="AN47" s="541">
        <f t="shared" si="33"/>
        <v>-734763.44651172077</v>
      </c>
      <c r="AO47" s="541">
        <f t="shared" si="33"/>
        <v>-735375.74938381382</v>
      </c>
      <c r="AP47" s="541">
        <f t="shared" si="33"/>
        <v>-735988.5625083003</v>
      </c>
      <c r="AQ47" s="541">
        <f t="shared" si="33"/>
        <v>-736601.88631039055</v>
      </c>
      <c r="AR47" s="541">
        <f t="shared" si="33"/>
        <v>-737215.72121564916</v>
      </c>
      <c r="AT47" s="501" t="str">
        <f>AT46</f>
        <v>Large Customer Refund</v>
      </c>
      <c r="AU47" s="529">
        <f t="shared" si="31"/>
        <v>805110</v>
      </c>
      <c r="AV47" s="529" t="str">
        <f t="shared" si="31"/>
        <v>GD</v>
      </c>
      <c r="AW47" s="529" t="str">
        <f t="shared" si="31"/>
        <v>ID</v>
      </c>
      <c r="AX47" s="503">
        <v>0</v>
      </c>
      <c r="AY47" s="521">
        <f>AX46</f>
        <v>0</v>
      </c>
    </row>
    <row r="48" spans="1:51" ht="16.8" thickTop="1" thickBot="1">
      <c r="B48" s="481" t="s">
        <v>260</v>
      </c>
      <c r="E48" s="482">
        <f>_xll.Get_Balance(E40,"YTD","USD","Total","A","","001",$A$40,"GD","ID","DL")</f>
        <v>-5563.17</v>
      </c>
      <c r="F48" s="482">
        <f>_xll.Get_Balance(F40,"YTD","USD","Total","A","","001",$A$40,"GD","ID","DL")</f>
        <v>122113.18</v>
      </c>
      <c r="G48" s="482">
        <f>_xll.Get_Balance(G40,"YTD","USD","Total","A","","001",$A$40,"GD","ID","DL")</f>
        <v>121816.41</v>
      </c>
      <c r="H48" s="482">
        <f>_xll.Get_Balance(H40,"YTD","USD","Total","A","","001",$A$40,"GD","ID","DL")</f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f>_xll.Get_Balance(S40,"YTD","USD","Total","A","","001",$A$40,"GD","ID","DL")</f>
        <v>-2186758.9</v>
      </c>
      <c r="T48" s="482">
        <f>_xll.Get_Balance(T40,"YTD","USD","Total","A","","001",$A$40,"GD","ID","DL")</f>
        <v>-1737468.37</v>
      </c>
      <c r="U48" s="482">
        <f>_xll.Get_Balance(U40,"YTD","USD","Total","A","","001",$A$40,"GD","ID","DL")</f>
        <v>-1379625.35</v>
      </c>
      <c r="V48" s="482">
        <f>_xll.Get_Balance(V40,"YTD","USD","Total","A","","001",$A$40,"GD","ID","DL")</f>
        <v>-1139196.8400000001</v>
      </c>
      <c r="W48" s="482">
        <f>_xll.Get_Balance(W40,"YTD","USD","Total","A","","001",$A$40,"GD","ID","DL")</f>
        <v>-927936.74</v>
      </c>
      <c r="X48" s="482">
        <f>_xll.Get_Balance(X40,"YTD","USD","Total","A","","001",$A$40,"GD","ID","DL")</f>
        <v>-767403.96</v>
      </c>
      <c r="Y48" s="482">
        <f>_xll.Get_Balance(Y40,"YTD","USD","Total","A","","001",$A$40,"GD","ID","DL")</f>
        <v>-685903.92</v>
      </c>
      <c r="Z48" s="482">
        <f>_xll.Get_Balance(Z40,"YTD","USD","Total","A","","001",$A$40,"GD","ID","DL")</f>
        <v>-623363.06999999995</v>
      </c>
      <c r="AA48" s="482">
        <f>_xll.Get_Balance(AA40,"YTD","USD","Total","A","","001",$A$40,"GD","ID","DL")</f>
        <v>-564427.81999999995</v>
      </c>
      <c r="AB48" s="482">
        <f>_xll.Get_Balance(AB40,"YTD","USD","Total","A","","001",$A$40,"GD","ID","DL")</f>
        <v>-496357.3</v>
      </c>
      <c r="AC48" s="482">
        <f>_xll.Get_Balance(AC40,"YTD","USD","Total","A","","001",$A$40,"GD","ID","DL")</f>
        <v>-416678.5</v>
      </c>
      <c r="AD48" s="482">
        <f>_xll.Get_Balance(AD40,"YTD","USD","Total","A","","001",$A$40,"GD","ID","DL")</f>
        <v>-299312.53999999998</v>
      </c>
      <c r="AE48" s="482">
        <f>_xll.Get_Balance(AE40,"YTD","USD","Total","A","","001",$A$40,"GD","ID","DL")</f>
        <v>-1658528.55</v>
      </c>
      <c r="AF48" s="482">
        <f>_xll.Get_Balance(AF40,"YTD","USD","Total","A","","001",$A$40,"GD","ID","DL")</f>
        <v>-1317584.08</v>
      </c>
      <c r="AG48" s="482">
        <f>_xll.Get_Balance(AG40,"YTD","USD","Total","A","","001",$A$40,"GD","ID","DL")</f>
        <v>-983065.53</v>
      </c>
      <c r="AH48" s="482">
        <f>_xll.Get_Balance(AH40,"YTD","USD","Total","A","","001",$A$40,"GD","ID","DL")</f>
        <v>-731100.32</v>
      </c>
      <c r="AI48" s="482">
        <f>_xll.Get_Balance(AI40,"YTD","USD","Total","A","","001",$A$40,"GD","ID","DL")</f>
        <v>-500233.07</v>
      </c>
      <c r="AJ48" s="482">
        <f>_xll.Get_Balance(AJ40,"YTD","USD","Total","A","","001",$A$40,"GD","ID","DL")</f>
        <v>-388052.25</v>
      </c>
      <c r="AK48" s="482">
        <f>_xll.Get_Balance(AK40,"YTD","USD","Total","A","","001",$A$40,"GD","ID","DL")</f>
        <v>-302311.59000000003</v>
      </c>
      <c r="AL48" s="482">
        <f>_xll.Get_Balance(AL40,"YTD","USD","Total","A","","001",$A$40,"GD","ID","DL")</f>
        <v>-233827.7</v>
      </c>
      <c r="AM48" s="482">
        <f>_xll.Get_Balance(AM40,"YTD","USD","Total","A","","001",$A$40,"GD","ID","DL")</f>
        <v>-233827.7</v>
      </c>
      <c r="AN48" s="482">
        <f>_xll.Get_Balance(AN40,"YTD","USD","Total","A","","001",$A$40,"GD","ID","DL")</f>
        <v>-233827.7</v>
      </c>
      <c r="AO48" s="482">
        <f>_xll.Get_Balance(AO40,"YTD","USD","Total","A","","001",$A$40,"GD","ID","DL")</f>
        <v>0</v>
      </c>
      <c r="AP48" s="482">
        <f>_xll.Get_Balance(AP40,"YTD","USD","Total","A","","001",$A$40,"GD","ID","DL")</f>
        <v>0</v>
      </c>
      <c r="AQ48" s="482">
        <f>_xll.Get_Balance(AQ40,"YTD","USD","Total","A","","001",$A$40,"GD","ID","DL")</f>
        <v>0</v>
      </c>
      <c r="AR48" s="482">
        <f>_xll.Get_Balance(AR40,"YTD","USD","Total","A","","001",$A$40,"GD","ID","DL")</f>
        <v>0</v>
      </c>
      <c r="AT48" s="516"/>
      <c r="AU48" s="530"/>
      <c r="AV48" s="517"/>
      <c r="AW48" s="517"/>
      <c r="AX48" s="517" t="s">
        <v>159</v>
      </c>
      <c r="AY48" s="518">
        <f>SUM(AX42:AX47)-SUM(AY42:AY47)</f>
        <v>0</v>
      </c>
    </row>
    <row r="49" spans="1:45">
      <c r="B49" s="481" t="s">
        <v>245</v>
      </c>
      <c r="E49" s="482">
        <f t="shared" ref="E49:H49" si="34">E47-E48</f>
        <v>2.2137390881653118E-2</v>
      </c>
      <c r="F49" s="482">
        <f t="shared" si="34"/>
        <v>90.56560073584842</v>
      </c>
      <c r="G49" s="482">
        <f t="shared" si="34"/>
        <v>90.646072069779621</v>
      </c>
      <c r="H49" s="482">
        <f t="shared" si="34"/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f>S47-S48</f>
        <v>-2.1669594570994377E-4</v>
      </c>
      <c r="T49" s="482">
        <f>T47-T48</f>
        <v>-2.1669594570994377E-4</v>
      </c>
      <c r="U49" s="482">
        <f>U47-U48</f>
        <v>3.9533041417598724E-3</v>
      </c>
      <c r="V49" s="482">
        <f t="shared" ref="V49:AS49" si="35">V47-V48</f>
        <v>-1.506695756688714E-3</v>
      </c>
      <c r="W49" s="482">
        <f t="shared" si="35"/>
        <v>-2.5766957551240921E-3</v>
      </c>
      <c r="X49" s="482">
        <f t="shared" si="35"/>
        <v>1.9152236636728048E-3</v>
      </c>
      <c r="Y49" s="482">
        <f t="shared" si="35"/>
        <v>-3.3800761448219419E-3</v>
      </c>
      <c r="Z49" s="482">
        <f t="shared" si="35"/>
        <v>-8.8572618551552296E-4</v>
      </c>
      <c r="AA49" s="482">
        <f t="shared" si="35"/>
        <v>1.2714107288047671E-3</v>
      </c>
      <c r="AB49" s="482">
        <f t="shared" si="35"/>
        <v>2.7004453004337847E-3</v>
      </c>
      <c r="AC49" s="482">
        <f t="shared" si="35"/>
        <v>-1.4752376591786742E-3</v>
      </c>
      <c r="AD49" s="482">
        <f t="shared" si="35"/>
        <v>-6.3388788839802146E-4</v>
      </c>
      <c r="AE49" s="482">
        <f t="shared" si="35"/>
        <v>4.0725059807300568E-4</v>
      </c>
      <c r="AF49" s="482">
        <f t="shared" si="35"/>
        <v>-5.0743343308568001E-5</v>
      </c>
      <c r="AG49" s="482">
        <f t="shared" si="35"/>
        <v>-2.8641440439969301E-3</v>
      </c>
      <c r="AH49" s="482">
        <f t="shared" si="35"/>
        <v>-8.1221840810030699E-4</v>
      </c>
      <c r="AI49" s="482">
        <f t="shared" si="35"/>
        <v>-231476.50107956183</v>
      </c>
      <c r="AJ49" s="482">
        <f t="shared" si="35"/>
        <v>-344267.07905546145</v>
      </c>
      <c r="AK49" s="482">
        <f t="shared" si="35"/>
        <v>-430618.00516300759</v>
      </c>
      <c r="AL49" s="482">
        <f t="shared" si="35"/>
        <v>-499712.66982564348</v>
      </c>
      <c r="AM49" s="482">
        <f t="shared" si="35"/>
        <v>-500323.95346716483</v>
      </c>
      <c r="AN49" s="482">
        <f t="shared" si="35"/>
        <v>-500935.74651172076</v>
      </c>
      <c r="AO49" s="482">
        <f t="shared" si="35"/>
        <v>-735375.74938381382</v>
      </c>
      <c r="AP49" s="482">
        <f t="shared" si="35"/>
        <v>-735988.5625083003</v>
      </c>
      <c r="AQ49" s="482">
        <f t="shared" si="35"/>
        <v>-736601.88631039055</v>
      </c>
      <c r="AR49" s="482">
        <f t="shared" si="35"/>
        <v>-737215.72121564916</v>
      </c>
      <c r="AS49" s="482">
        <f t="shared" si="35"/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f>E51+1</f>
        <v>201310</v>
      </c>
      <c r="G51" s="484">
        <f>F51+1</f>
        <v>201311</v>
      </c>
      <c r="H51" s="484">
        <f>G51+1</f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f t="shared" ref="V51:AF51" si="36">U51+1</f>
        <v>201502</v>
      </c>
      <c r="W51" s="484">
        <f t="shared" si="36"/>
        <v>201503</v>
      </c>
      <c r="X51" s="484">
        <f t="shared" si="36"/>
        <v>201504</v>
      </c>
      <c r="Y51" s="484">
        <f t="shared" si="36"/>
        <v>201505</v>
      </c>
      <c r="Z51" s="484">
        <f t="shared" si="36"/>
        <v>201506</v>
      </c>
      <c r="AA51" s="484">
        <f t="shared" si="36"/>
        <v>201507</v>
      </c>
      <c r="AB51" s="484">
        <f t="shared" si="36"/>
        <v>201508</v>
      </c>
      <c r="AC51" s="484">
        <f t="shared" si="36"/>
        <v>201509</v>
      </c>
      <c r="AD51" s="484">
        <f t="shared" si="36"/>
        <v>201510</v>
      </c>
      <c r="AE51" s="484">
        <f t="shared" si="36"/>
        <v>201511</v>
      </c>
      <c r="AF51" s="484">
        <f t="shared" si="36"/>
        <v>201512</v>
      </c>
      <c r="AG51" s="484">
        <v>201601</v>
      </c>
      <c r="AH51" s="484">
        <f>AG51+1</f>
        <v>201602</v>
      </c>
      <c r="AI51" s="484">
        <f t="shared" ref="AI51:AR51" si="37">AH51+1</f>
        <v>201603</v>
      </c>
      <c r="AJ51" s="484">
        <f t="shared" si="37"/>
        <v>201604</v>
      </c>
      <c r="AK51" s="484">
        <f t="shared" si="37"/>
        <v>201605</v>
      </c>
      <c r="AL51" s="484">
        <f t="shared" si="37"/>
        <v>201606</v>
      </c>
      <c r="AM51" s="484">
        <f t="shared" si="37"/>
        <v>201607</v>
      </c>
      <c r="AN51" s="484">
        <f t="shared" si="37"/>
        <v>201608</v>
      </c>
      <c r="AO51" s="484">
        <f t="shared" si="37"/>
        <v>201609</v>
      </c>
      <c r="AP51" s="484">
        <f t="shared" si="37"/>
        <v>201610</v>
      </c>
      <c r="AQ51" s="484">
        <f t="shared" si="37"/>
        <v>201611</v>
      </c>
      <c r="AR51" s="484">
        <f t="shared" si="37"/>
        <v>201612</v>
      </c>
    </row>
    <row r="52" spans="1:45">
      <c r="A52" s="483"/>
      <c r="B52" s="481" t="s">
        <v>37</v>
      </c>
      <c r="C52" s="491">
        <f>SUM(U52:AF52)</f>
        <v>48316153</v>
      </c>
      <c r="D52" s="491">
        <f>SUM(S52:AD52)</f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f>Dec!$K36</f>
        <v>9218989</v>
      </c>
      <c r="AG52" s="491">
        <f>Jan!$K36</f>
        <v>8841051</v>
      </c>
      <c r="AH52" s="491">
        <f>Feb!$K36</f>
        <v>6461869</v>
      </c>
      <c r="AI52" s="491"/>
      <c r="AJ52" s="491"/>
      <c r="AK52" s="491"/>
      <c r="AL52" s="491"/>
      <c r="AM52" s="491"/>
      <c r="AN52" s="491"/>
      <c r="AO52" s="491"/>
      <c r="AP52" s="491"/>
      <c r="AQ52" s="491"/>
      <c r="AR52" s="491"/>
      <c r="AS52" s="491">
        <f>Jan!$K36</f>
        <v>8841051</v>
      </c>
    </row>
    <row r="53" spans="1:45">
      <c r="A53" s="483"/>
      <c r="B53" s="481" t="s">
        <v>38</v>
      </c>
      <c r="C53" s="491">
        <f t="shared" ref="C53:C60" si="38">SUM(U53:AF53)</f>
        <v>20738662</v>
      </c>
      <c r="D53" s="491">
        <f>SUM(S53:AD53)</f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f>Dec!$K37</f>
        <v>2701016</v>
      </c>
      <c r="AG53" s="491">
        <f>Jan!$K37</f>
        <v>2843963</v>
      </c>
      <c r="AH53" s="491">
        <f>Feb!$K37</f>
        <v>2339216</v>
      </c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>
        <f>Jan!$K37</f>
        <v>2843963</v>
      </c>
    </row>
    <row r="54" spans="1:45">
      <c r="A54" s="483"/>
      <c r="B54" s="481" t="s">
        <v>39</v>
      </c>
      <c r="C54" s="491">
        <f t="shared" si="38"/>
        <v>252450</v>
      </c>
      <c r="D54" s="491">
        <f>SUM(S54:AD54)</f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f>Dec!$K38</f>
        <v>6097</v>
      </c>
      <c r="AG54" s="491">
        <f>Jan!$K38</f>
        <v>2754</v>
      </c>
      <c r="AH54" s="491">
        <f>Feb!$K38</f>
        <v>2352</v>
      </c>
      <c r="AI54" s="491"/>
      <c r="AJ54" s="491"/>
      <c r="AK54" s="491"/>
      <c r="AL54" s="491"/>
      <c r="AM54" s="491"/>
      <c r="AN54" s="491"/>
      <c r="AO54" s="491"/>
      <c r="AP54" s="491"/>
      <c r="AQ54" s="491"/>
      <c r="AR54" s="491"/>
      <c r="AS54" s="491">
        <f>Jan!$K38</f>
        <v>2754</v>
      </c>
    </row>
    <row r="55" spans="1:45">
      <c r="A55" s="483"/>
      <c r="B55" s="481" t="s">
        <v>40</v>
      </c>
      <c r="C55" s="491">
        <f t="shared" si="38"/>
        <v>0</v>
      </c>
      <c r="D55" s="491">
        <f>SUM(S55:AD55)</f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f>Dec!$K39</f>
        <v>0</v>
      </c>
      <c r="AG55" s="491">
        <f>Jan!$K39</f>
        <v>0</v>
      </c>
      <c r="AH55" s="491">
        <f>Feb!$K39</f>
        <v>0</v>
      </c>
      <c r="AI55" s="491"/>
      <c r="AJ55" s="491"/>
      <c r="AK55" s="491"/>
      <c r="AL55" s="491"/>
      <c r="AM55" s="491"/>
      <c r="AN55" s="491"/>
      <c r="AO55" s="491"/>
      <c r="AP55" s="491"/>
      <c r="AQ55" s="491"/>
      <c r="AR55" s="491"/>
      <c r="AS55" s="491">
        <f>Jan!$K39</f>
        <v>0</v>
      </c>
    </row>
    <row r="56" spans="1:45" hidden="1">
      <c r="A56" s="483"/>
      <c r="B56" s="481" t="s">
        <v>41</v>
      </c>
      <c r="C56" s="491">
        <f t="shared" si="38"/>
        <v>0</v>
      </c>
      <c r="D56" s="491">
        <f>SUM(G56:R56)</f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f t="shared" si="38"/>
        <v>0</v>
      </c>
      <c r="D57" s="491">
        <f>SUM(G57:R57)</f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f t="shared" si="38"/>
        <v>148273</v>
      </c>
      <c r="D58" s="491">
        <f>SUM(S58:AD58)</f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f>Dec!$K42</f>
        <v>0</v>
      </c>
      <c r="AG58" s="491">
        <f>Jan!$K42</f>
        <v>0</v>
      </c>
      <c r="AH58" s="491">
        <f>Feb!$K42</f>
        <v>0</v>
      </c>
      <c r="AI58" s="491"/>
      <c r="AJ58" s="491"/>
      <c r="AK58" s="491"/>
      <c r="AL58" s="491"/>
      <c r="AM58" s="491"/>
      <c r="AN58" s="491"/>
      <c r="AO58" s="491"/>
      <c r="AP58" s="491"/>
      <c r="AQ58" s="491"/>
      <c r="AR58" s="491"/>
      <c r="AS58" s="491">
        <f>Jan!$K42</f>
        <v>0</v>
      </c>
    </row>
    <row r="59" spans="1:45" hidden="1">
      <c r="A59" s="483"/>
      <c r="B59" s="481" t="s">
        <v>74</v>
      </c>
      <c r="C59" s="491">
        <f t="shared" ref="C59" si="39">SUM(I59:T59)</f>
        <v>0</v>
      </c>
      <c r="D59" s="491">
        <f>SUM(G59:R59)</f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f>Oct!$K43</f>
        <v>3938193</v>
      </c>
    </row>
    <row r="60" spans="1:45" ht="16.8" thickBot="1">
      <c r="A60" s="483"/>
      <c r="B60" s="481" t="s">
        <v>21</v>
      </c>
      <c r="C60" s="542">
        <f t="shared" si="38"/>
        <v>69455538</v>
      </c>
      <c r="D60" s="542">
        <f>SUM(S60:AD60)</f>
        <v>69276413</v>
      </c>
      <c r="E60" s="542" t="s">
        <v>272</v>
      </c>
      <c r="F60" s="542">
        <f>SUM(F52:F59)</f>
        <v>0</v>
      </c>
      <c r="G60" s="542">
        <f t="shared" ref="G60:H60" si="40">SUM(G52:G59)</f>
        <v>9560411</v>
      </c>
      <c r="H60" s="542">
        <f t="shared" si="40"/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f t="shared" ref="U60:AS60" si="41">SUM(U52:U59)</f>
        <v>11853389</v>
      </c>
      <c r="V60" s="542">
        <f t="shared" si="41"/>
        <v>7975879</v>
      </c>
      <c r="W60" s="542">
        <f t="shared" si="41"/>
        <v>7051984</v>
      </c>
      <c r="X60" s="542">
        <f t="shared" si="41"/>
        <v>5286030</v>
      </c>
      <c r="Y60" s="542">
        <f t="shared" si="41"/>
        <v>2733897</v>
      </c>
      <c r="Z60" s="542">
        <f t="shared" si="41"/>
        <v>2096440</v>
      </c>
      <c r="AA60" s="542">
        <f t="shared" si="41"/>
        <v>1982316</v>
      </c>
      <c r="AB60" s="542">
        <f t="shared" si="41"/>
        <v>2300576</v>
      </c>
      <c r="AC60" s="542">
        <f t="shared" si="41"/>
        <v>2659390</v>
      </c>
      <c r="AD60" s="542">
        <f t="shared" si="41"/>
        <v>3938193</v>
      </c>
      <c r="AE60" s="542">
        <f t="shared" si="41"/>
        <v>9651342</v>
      </c>
      <c r="AF60" s="542">
        <f t="shared" si="41"/>
        <v>11926102</v>
      </c>
      <c r="AG60" s="542">
        <f t="shared" si="41"/>
        <v>11687768</v>
      </c>
      <c r="AH60" s="542">
        <f t="shared" si="41"/>
        <v>8803437</v>
      </c>
      <c r="AI60" s="542">
        <f t="shared" si="41"/>
        <v>0</v>
      </c>
      <c r="AJ60" s="542">
        <f t="shared" si="41"/>
        <v>0</v>
      </c>
      <c r="AK60" s="542">
        <f t="shared" si="41"/>
        <v>0</v>
      </c>
      <c r="AL60" s="542">
        <f t="shared" si="41"/>
        <v>0</v>
      </c>
      <c r="AM60" s="542">
        <f t="shared" si="41"/>
        <v>0</v>
      </c>
      <c r="AN60" s="542">
        <f t="shared" si="41"/>
        <v>0</v>
      </c>
      <c r="AO60" s="542">
        <f t="shared" si="41"/>
        <v>0</v>
      </c>
      <c r="AP60" s="542">
        <f t="shared" si="41"/>
        <v>3938193</v>
      </c>
      <c r="AQ60" s="542">
        <f t="shared" si="41"/>
        <v>0</v>
      </c>
      <c r="AR60" s="542">
        <f t="shared" si="41"/>
        <v>0</v>
      </c>
      <c r="AS60" s="542">
        <f t="shared" si="41"/>
        <v>11687768</v>
      </c>
    </row>
    <row r="61" spans="1:45" ht="16.2" thickTop="1">
      <c r="A61" s="483"/>
      <c r="B61" s="481" t="s">
        <v>269</v>
      </c>
      <c r="C61" s="491">
        <f>SUM(U61:AF61)</f>
        <v>69455538</v>
      </c>
      <c r="D61" s="491">
        <f>SUM(S61:AD61)</f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73">
        <v>8803437</v>
      </c>
      <c r="AI61" s="582"/>
      <c r="AJ61" s="582"/>
      <c r="AK61" s="582"/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f>E63+1</f>
        <v>201310</v>
      </c>
      <c r="G63" s="484">
        <f>F63+1</f>
        <v>201311</v>
      </c>
      <c r="H63" s="484">
        <f>G63+1</f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f t="shared" ref="V63:AF63" si="42">U63+1</f>
        <v>201502</v>
      </c>
      <c r="W63" s="484">
        <f t="shared" si="42"/>
        <v>201503</v>
      </c>
      <c r="X63" s="484">
        <f t="shared" si="42"/>
        <v>201504</v>
      </c>
      <c r="Y63" s="484">
        <f t="shared" si="42"/>
        <v>201505</v>
      </c>
      <c r="Z63" s="484">
        <f t="shared" si="42"/>
        <v>201506</v>
      </c>
      <c r="AA63" s="484">
        <f t="shared" si="42"/>
        <v>201507</v>
      </c>
      <c r="AB63" s="484">
        <f t="shared" si="42"/>
        <v>201508</v>
      </c>
      <c r="AC63" s="484">
        <f t="shared" si="42"/>
        <v>201509</v>
      </c>
      <c r="AD63" s="484">
        <f t="shared" si="42"/>
        <v>201510</v>
      </c>
      <c r="AE63" s="484">
        <f t="shared" si="42"/>
        <v>201511</v>
      </c>
      <c r="AF63" s="484">
        <f t="shared" si="42"/>
        <v>201512</v>
      </c>
      <c r="AG63" s="484">
        <v>201601</v>
      </c>
      <c r="AH63" s="484">
        <f>AG63+1</f>
        <v>201602</v>
      </c>
      <c r="AI63" s="484">
        <f t="shared" ref="AI63:AR63" si="43">AH63+1</f>
        <v>201603</v>
      </c>
      <c r="AJ63" s="484">
        <f t="shared" si="43"/>
        <v>201604</v>
      </c>
      <c r="AK63" s="484">
        <f t="shared" si="43"/>
        <v>201605</v>
      </c>
      <c r="AL63" s="484">
        <f t="shared" si="43"/>
        <v>201606</v>
      </c>
      <c r="AM63" s="484">
        <f t="shared" si="43"/>
        <v>201607</v>
      </c>
      <c r="AN63" s="484">
        <f t="shared" si="43"/>
        <v>201608</v>
      </c>
      <c r="AO63" s="484">
        <f t="shared" si="43"/>
        <v>201609</v>
      </c>
      <c r="AP63" s="484">
        <f t="shared" si="43"/>
        <v>201610</v>
      </c>
      <c r="AQ63" s="484">
        <f t="shared" si="43"/>
        <v>201611</v>
      </c>
      <c r="AR63" s="484">
        <f t="shared" si="43"/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f>E73+1</f>
        <v>201310</v>
      </c>
      <c r="G73" s="484">
        <f>F73+1</f>
        <v>201311</v>
      </c>
      <c r="H73" s="484">
        <f>G73+1</f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f t="shared" ref="V73:AF73" si="44">U73+1</f>
        <v>201502</v>
      </c>
      <c r="W73" s="484">
        <f t="shared" si="44"/>
        <v>201503</v>
      </c>
      <c r="X73" s="484">
        <f t="shared" si="44"/>
        <v>201504</v>
      </c>
      <c r="Y73" s="484">
        <f t="shared" si="44"/>
        <v>201505</v>
      </c>
      <c r="Z73" s="484">
        <f t="shared" si="44"/>
        <v>201506</v>
      </c>
      <c r="AA73" s="484">
        <f t="shared" si="44"/>
        <v>201507</v>
      </c>
      <c r="AB73" s="484">
        <f t="shared" si="44"/>
        <v>201508</v>
      </c>
      <c r="AC73" s="484">
        <f t="shared" si="44"/>
        <v>201509</v>
      </c>
      <c r="AD73" s="484">
        <f t="shared" si="44"/>
        <v>201510</v>
      </c>
      <c r="AE73" s="484">
        <f t="shared" si="44"/>
        <v>201511</v>
      </c>
      <c r="AF73" s="484">
        <f t="shared" si="44"/>
        <v>201512</v>
      </c>
      <c r="AG73" s="484">
        <v>201601</v>
      </c>
      <c r="AH73" s="484">
        <f>AG73+1</f>
        <v>201602</v>
      </c>
      <c r="AI73" s="484">
        <f t="shared" ref="AI73:AR73" si="45">AH73+1</f>
        <v>201603</v>
      </c>
      <c r="AJ73" s="484">
        <f t="shared" si="45"/>
        <v>201604</v>
      </c>
      <c r="AK73" s="484">
        <f t="shared" si="45"/>
        <v>201605</v>
      </c>
      <c r="AL73" s="484">
        <f t="shared" si="45"/>
        <v>201606</v>
      </c>
      <c r="AM73" s="484">
        <f t="shared" si="45"/>
        <v>201607</v>
      </c>
      <c r="AN73" s="484">
        <f t="shared" si="45"/>
        <v>201608</v>
      </c>
      <c r="AO73" s="484">
        <f t="shared" si="45"/>
        <v>201609</v>
      </c>
      <c r="AP73" s="484">
        <f t="shared" si="45"/>
        <v>201610</v>
      </c>
      <c r="AQ73" s="484">
        <f t="shared" si="45"/>
        <v>201611</v>
      </c>
      <c r="AR73" s="484">
        <f t="shared" si="45"/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f>AT4</f>
        <v>201602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f t="shared" ref="X75" si="46">W79</f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f t="shared" ref="AB75:AR75" si="47">AA79</f>
        <v>-11951.205399782522</v>
      </c>
      <c r="AC75" s="482">
        <f t="shared" si="47"/>
        <v>-11961.164737615674</v>
      </c>
      <c r="AD75" s="482">
        <f t="shared" si="47"/>
        <v>-11971.132374897021</v>
      </c>
      <c r="AE75" s="482">
        <f t="shared" si="47"/>
        <v>-11981.108318542769</v>
      </c>
      <c r="AF75" s="482">
        <f t="shared" si="47"/>
        <v>-11991.092575474888</v>
      </c>
      <c r="AG75" s="482">
        <f t="shared" si="47"/>
        <v>-12001.085152621117</v>
      </c>
      <c r="AH75" s="482">
        <f t="shared" si="47"/>
        <v>-12011.086056914968</v>
      </c>
      <c r="AI75" s="482">
        <f t="shared" si="47"/>
        <v>-12021.09529529573</v>
      </c>
      <c r="AJ75" s="482">
        <f t="shared" si="47"/>
        <v>-12031.112874708477</v>
      </c>
      <c r="AK75" s="482">
        <f t="shared" si="47"/>
        <v>-12041.138802104068</v>
      </c>
      <c r="AL75" s="482">
        <f t="shared" si="47"/>
        <v>-12051.173084439155</v>
      </c>
      <c r="AM75" s="482">
        <f t="shared" si="47"/>
        <v>-12061.215728676189</v>
      </c>
      <c r="AN75" s="482">
        <f t="shared" si="47"/>
        <v>-12071.266741783418</v>
      </c>
      <c r="AO75" s="482">
        <f t="shared" si="47"/>
        <v>-12081.326130734904</v>
      </c>
      <c r="AP75" s="482">
        <f t="shared" si="47"/>
        <v>-12091.393902510516</v>
      </c>
      <c r="AQ75" s="482">
        <f t="shared" si="47"/>
        <v>-12101.470064095942</v>
      </c>
      <c r="AR75" s="482">
        <f t="shared" si="47"/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f>IF(SUMIF(U72:AR72,AT73,U76:AR76)&lt;0,-SUMIF(U72:AR72,AT73,U76:AR76),0)</f>
        <v>0</v>
      </c>
      <c r="AY75" s="520">
        <f>IF(SUMIF(U73:AR73,AT74,U77:AR77)&gt;0,SUMIF(U73:AR73,AT74,U77:AR77),0)</f>
        <v>0</v>
      </c>
    </row>
    <row r="76" spans="1:51" ht="16.2">
      <c r="B76" s="481" t="s">
        <v>23</v>
      </c>
      <c r="C76" s="482">
        <f>SUM(U76:AF76)</f>
        <v>4.9799999978858978E-3</v>
      </c>
      <c r="D76" s="491">
        <f>SUM(S76:AD76)</f>
        <v>317123.09256000002</v>
      </c>
      <c r="E76" s="482">
        <f>SUMPRODUCT(E52:E59,E64:E71)</f>
        <v>0</v>
      </c>
      <c r="F76" s="482">
        <v>88526.8</v>
      </c>
      <c r="G76" s="482">
        <v>140835.72</v>
      </c>
      <c r="H76" s="482">
        <f t="shared" ref="H76" si="48">SUMPRODUCT(H52:H59,H64:H71)</f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f>SUMPRODUCT(U52:U59,U64:U71)-175667.22</f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f>IF(SUMIF(U73:AR73,AT74,U77:AR77)&lt;0,-SUMIF(U73:AR73,AT74,U77:AR77),0)</f>
        <v>10.009238380762474</v>
      </c>
      <c r="AY76" s="500">
        <v>0</v>
      </c>
    </row>
    <row r="77" spans="1:51" ht="16.2">
      <c r="B77" s="481" t="s">
        <v>4</v>
      </c>
      <c r="C77" s="482">
        <f t="shared" ref="C77:C78" si="49">SUM(U77:AF77)</f>
        <v>-109.46219194583813</v>
      </c>
      <c r="D77" s="491">
        <f>SUM(S77:AD77)</f>
        <v>-378.5328547840578</v>
      </c>
      <c r="E77" s="482">
        <f>(E75*(E74/12))+((E76/2)*(E74/12))</f>
        <v>-1303.5564083333331</v>
      </c>
      <c r="F77" s="482">
        <f>(F75*(F74/12))+((F76/2)*(F74/12))</f>
        <v>-1267.756538673611</v>
      </c>
      <c r="G77" s="482">
        <v>-1173.94</v>
      </c>
      <c r="H77" s="489">
        <f>(H75*(H74/12))+((H76/2)*(H74/12))</f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f t="shared" ref="X77:AD77" si="50">((X75*(X74/12))+((X76/2)*(X74/12)))</f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f t="shared" si="50"/>
        <v>-9.9593378331521034</v>
      </c>
      <c r="AC77" s="489">
        <f t="shared" si="50"/>
        <v>-9.9676372813463967</v>
      </c>
      <c r="AD77" s="489">
        <f t="shared" si="50"/>
        <v>-9.9759436457475186</v>
      </c>
      <c r="AE77" s="489">
        <f>((AE75*(AE74/12))+((AE76/2)*(AE74/12)))</f>
        <v>-9.9842569321189742</v>
      </c>
      <c r="AF77" s="489">
        <f>((AF75*(AF74/12))+((AF76/2)*(AF74/12)))</f>
        <v>-9.992577146229074</v>
      </c>
      <c r="AG77" s="489">
        <f t="shared" ref="AG77:AR77" si="51">((AG75*(AG74/12))+((AG76/2)*(AG74/12)))</f>
        <v>-10.000904293850931</v>
      </c>
      <c r="AH77" s="489">
        <f t="shared" si="51"/>
        <v>-10.009238380762474</v>
      </c>
      <c r="AI77" s="489">
        <f t="shared" si="51"/>
        <v>-10.017579412746443</v>
      </c>
      <c r="AJ77" s="489">
        <f t="shared" si="51"/>
        <v>-10.025927395590397</v>
      </c>
      <c r="AK77" s="489">
        <f t="shared" si="51"/>
        <v>-10.034282335086724</v>
      </c>
      <c r="AL77" s="489">
        <f t="shared" si="51"/>
        <v>-10.042644237032629</v>
      </c>
      <c r="AM77" s="489">
        <f t="shared" si="51"/>
        <v>-10.051013107230158</v>
      </c>
      <c r="AN77" s="489">
        <f t="shared" si="51"/>
        <v>-10.059388951486183</v>
      </c>
      <c r="AO77" s="489">
        <f t="shared" si="51"/>
        <v>-10.067771775612421</v>
      </c>
      <c r="AP77" s="489">
        <f t="shared" si="51"/>
        <v>-10.07616158542543</v>
      </c>
      <c r="AQ77" s="489">
        <f t="shared" si="51"/>
        <v>-10.084558386746618</v>
      </c>
      <c r="AR77" s="489">
        <f t="shared" si="51"/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f>IF((SUMIF(U73:AR73,AT74,U76:AR76)+SUMIF(U73:AR73,AT74,U77:AR77))&gt;0,(SUMIF(U73:AR73,AT74,U76:AR76)+SUMIF(U73:AR73,AT74,U77:AR77)),0)</f>
        <v>0</v>
      </c>
      <c r="AY77" s="500">
        <f>IF((SUMIF(U73:AR73,AT74,U76:AR76)+SUMIF(U73:AR73,AT74,U77:AR77))&lt;0,-(SUMIF(U73:AR73,AT74,U76:AR76)+SUMIF(U73:AR73,AT74,U77:AR77)),0)</f>
        <v>10.009238380762474</v>
      </c>
    </row>
    <row r="78" spans="1:51" ht="16.2">
      <c r="B78" s="481" t="s">
        <v>148</v>
      </c>
      <c r="C78" s="482">
        <f t="shared" si="49"/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f>IF((SUMIF(U73:AR73,AT74,U76:AR76))&lt;0,-(SUMIF(U73:AR73,AT74,U76:AR76)),0)</f>
        <v>0</v>
      </c>
      <c r="AY78" s="500">
        <f>IF((SUMIF(U73:AR73,AT74,U76:AR76))&gt;0,(SUMIF(U73:AR73,AT74,U76:AR76)),0)</f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f t="shared" ref="V79:AR79" si="52">SUM(V75:V78)</f>
        <v>-11901.532960675278</v>
      </c>
      <c r="W79" s="541">
        <f t="shared" si="52"/>
        <v>-11911.450904809175</v>
      </c>
      <c r="X79" s="541">
        <f t="shared" si="52"/>
        <v>-11921.377113896517</v>
      </c>
      <c r="Y79" s="541">
        <f t="shared" si="52"/>
        <v>-11931.311594824763</v>
      </c>
      <c r="Z79" s="541">
        <f t="shared" si="52"/>
        <v>-11941.254354487117</v>
      </c>
      <c r="AA79" s="541">
        <f t="shared" si="52"/>
        <v>-11951.205399782522</v>
      </c>
      <c r="AB79" s="541">
        <f t="shared" si="52"/>
        <v>-11961.164737615674</v>
      </c>
      <c r="AC79" s="541">
        <f t="shared" si="52"/>
        <v>-11971.132374897021</v>
      </c>
      <c r="AD79" s="541">
        <f t="shared" si="52"/>
        <v>-11981.108318542769</v>
      </c>
      <c r="AE79" s="541">
        <f t="shared" si="52"/>
        <v>-11991.092575474888</v>
      </c>
      <c r="AF79" s="541">
        <f t="shared" si="52"/>
        <v>-12001.085152621117</v>
      </c>
      <c r="AG79" s="541">
        <f t="shared" si="52"/>
        <v>-12011.086056914968</v>
      </c>
      <c r="AH79" s="541">
        <f t="shared" si="52"/>
        <v>-12021.09529529573</v>
      </c>
      <c r="AI79" s="541">
        <f t="shared" si="52"/>
        <v>-12031.112874708477</v>
      </c>
      <c r="AJ79" s="541">
        <f t="shared" si="52"/>
        <v>-12041.138802104068</v>
      </c>
      <c r="AK79" s="541">
        <f t="shared" si="52"/>
        <v>-12051.173084439155</v>
      </c>
      <c r="AL79" s="541">
        <f t="shared" si="52"/>
        <v>-12061.215728676189</v>
      </c>
      <c r="AM79" s="541">
        <f t="shared" si="52"/>
        <v>-12071.266741783418</v>
      </c>
      <c r="AN79" s="541">
        <f t="shared" si="52"/>
        <v>-12081.326130734904</v>
      </c>
      <c r="AO79" s="541">
        <f t="shared" si="52"/>
        <v>-12091.393902510516</v>
      </c>
      <c r="AP79" s="541">
        <f t="shared" si="52"/>
        <v>-12101.470064095942</v>
      </c>
      <c r="AQ79" s="541">
        <f t="shared" si="52"/>
        <v>-12111.554622482689</v>
      </c>
      <c r="AR79" s="541">
        <f t="shared" si="52"/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f>_xll.Get_Balance(V73,"YTD","USD","Total","A","","001",$A$73,"GD","ID","DL")</f>
        <v>-11901.55</v>
      </c>
      <c r="W80" s="482">
        <f>_xll.Get_Balance(W73,"YTD","USD","Total","A","","001",$A$73,"GD","ID","DL")</f>
        <v>-11911.47</v>
      </c>
      <c r="X80" s="482">
        <f>_xll.Get_Balance(X73,"YTD","USD","Total","A","","001",$A$73,"GD","ID","DL")</f>
        <v>-11921.4</v>
      </c>
      <c r="Y80" s="482">
        <f>_xll.Get_Balance(Y73,"YTD","USD","Total","A","","001",$A$73,"GD","ID","DL")</f>
        <v>-11931.33</v>
      </c>
      <c r="Z80" s="482">
        <f>_xll.Get_Balance(Z73,"YTD","USD","Total","A","","001",$A$73,"GD","ID","DL")</f>
        <v>-11941.27</v>
      </c>
      <c r="AA80" s="482">
        <f>_xll.Get_Balance(AA73,"YTD","USD","Total","A","","001",$A$73,"GD","ID","DL")</f>
        <v>-11951.22</v>
      </c>
      <c r="AB80" s="482">
        <f>_xll.Get_Balance(AB73,"YTD","USD","Total","A","","001",$A$73,"GD","ID","DL")</f>
        <v>-11961.18</v>
      </c>
      <c r="AC80" s="482">
        <f>_xll.Get_Balance(AC73,"YTD","USD","Total","A","","001",$A$73,"GD","ID","DL")</f>
        <v>-11971.15</v>
      </c>
      <c r="AD80" s="482">
        <f>_xll.Get_Balance(AD73,"YTD","USD","Total","A","","001",$A$73,"GD","ID","DL")</f>
        <v>-11981.13</v>
      </c>
      <c r="AE80" s="482">
        <f>_xll.Get_Balance(AE73,"YTD","USD","Total","A","","001",$A$73,"GD","ID","DL")</f>
        <v>-11991.11</v>
      </c>
      <c r="AF80" s="482">
        <f>_xll.Get_Balance(AF73,"YTD","USD","Total","A","","001",$A$73,"GD","ID","DL")</f>
        <v>-12001.1</v>
      </c>
      <c r="AG80" s="482">
        <f>_xll.Get_Balance(AG73,"YTD","USD","Total","A","","001",$A$73,"GD","ID","DL")</f>
        <v>-12011.1</v>
      </c>
      <c r="AH80" s="482">
        <f>_xll.Get_Balance(AH73,"YTD","USD","Total","A","","001",$A$73,"GD","ID","DL")</f>
        <v>-12021.11</v>
      </c>
      <c r="AI80" s="482">
        <f>_xll.Get_Balance(AI73,"YTD","USD","Total","A","","001",$A$73,"GD","ID","DL")</f>
        <v>-12031.13</v>
      </c>
      <c r="AJ80" s="482">
        <f>_xll.Get_Balance(AJ73,"YTD","USD","Total","A","","001",$A$73,"GD","ID","DL")</f>
        <v>-12041.16</v>
      </c>
      <c r="AK80" s="482">
        <f>_xll.Get_Balance(AK73,"YTD","USD","Total","A","","001",$A$73,"GD","ID","DL")</f>
        <v>-12051.19</v>
      </c>
      <c r="AL80" s="482">
        <f>_xll.Get_Balance(AL73,"YTD","USD","Total","A","","001",$A$73,"GD","ID","DL")</f>
        <v>-12061.23</v>
      </c>
      <c r="AM80" s="482">
        <f>_xll.Get_Balance(AM73,"YTD","USD","Total","A","","001",$A$73,"GD","ID","DL")</f>
        <v>-12061.23</v>
      </c>
      <c r="AN80" s="482">
        <f>_xll.Get_Balance(AN73,"YTD","USD","Total","A","","001",$A$73,"GD","ID","DL")</f>
        <v>-12061.23</v>
      </c>
      <c r="AO80" s="482">
        <f>_xll.Get_Balance(AO73,"YTD","USD","Total","A","","001",$A$73,"GD","ID","DL")</f>
        <v>0</v>
      </c>
      <c r="AP80" s="482">
        <f>_xll.Get_Balance(AP73,"YTD","USD","Total","A","","001",$A$73,"GD","ID","DL")</f>
        <v>0</v>
      </c>
      <c r="AQ80" s="482">
        <f>_xll.Get_Balance(AQ73,"YTD","USD","Total","A","","001",$A$73,"GD","ID","DL")</f>
        <v>0</v>
      </c>
      <c r="AR80" s="482">
        <f>_xll.Get_Balance(AR73,"YTD","USD","Total","A","","001",$A$73,"GD","ID","DL")</f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f t="shared" ref="V81:AR81" si="53">V79-V80</f>
        <v>1.7039324720826698E-2</v>
      </c>
      <c r="W81" s="482">
        <f t="shared" si="53"/>
        <v>1.9095190824373276E-2</v>
      </c>
      <c r="X81" s="482">
        <f t="shared" si="53"/>
        <v>2.2886103482960607E-2</v>
      </c>
      <c r="Y81" s="482">
        <f t="shared" si="53"/>
        <v>1.8405175236694049E-2</v>
      </c>
      <c r="Z81" s="482">
        <f t="shared" si="53"/>
        <v>1.5645512883565971E-2</v>
      </c>
      <c r="AA81" s="482">
        <f t="shared" si="53"/>
        <v>1.4600217476981925E-2</v>
      </c>
      <c r="AB81" s="482">
        <f t="shared" si="53"/>
        <v>1.5262384325978928E-2</v>
      </c>
      <c r="AC81" s="482">
        <f t="shared" si="53"/>
        <v>1.7625102978854557E-2</v>
      </c>
      <c r="AD81" s="482">
        <f t="shared" si="53"/>
        <v>2.1681457230442902E-2</v>
      </c>
      <c r="AE81" s="482">
        <f t="shared" si="53"/>
        <v>1.7424525112801348E-2</v>
      </c>
      <c r="AF81" s="482">
        <f t="shared" si="53"/>
        <v>1.4847378883132478E-2</v>
      </c>
      <c r="AG81" s="482">
        <f t="shared" si="53"/>
        <v>1.3943085032224189E-2</v>
      </c>
      <c r="AH81" s="482">
        <f t="shared" si="53"/>
        <v>1.4704704270116054E-2</v>
      </c>
      <c r="AI81" s="482">
        <f t="shared" si="53"/>
        <v>1.7125291522461339E-2</v>
      </c>
      <c r="AJ81" s="482">
        <f t="shared" si="53"/>
        <v>2.1197895932346E-2</v>
      </c>
      <c r="AK81" s="482">
        <f t="shared" si="53"/>
        <v>1.6915560845518485E-2</v>
      </c>
      <c r="AL81" s="482">
        <f t="shared" si="53"/>
        <v>1.4271323811044567E-2</v>
      </c>
      <c r="AM81" s="482">
        <f t="shared" si="53"/>
        <v>-10.03674178341862</v>
      </c>
      <c r="AN81" s="482">
        <f t="shared" si="53"/>
        <v>-20.096130734904364</v>
      </c>
      <c r="AO81" s="482">
        <f t="shared" si="53"/>
        <v>-12091.393902510516</v>
      </c>
      <c r="AP81" s="482">
        <f t="shared" si="53"/>
        <v>-12101.470064095942</v>
      </c>
      <c r="AQ81" s="482">
        <f t="shared" si="53"/>
        <v>-12111.554622482689</v>
      </c>
      <c r="AR81" s="482">
        <f t="shared" si="53"/>
        <v>-12121.647584668091</v>
      </c>
      <c r="AT81" s="516"/>
      <c r="AU81" s="530"/>
      <c r="AV81" s="517"/>
      <c r="AW81" s="517"/>
      <c r="AX81" s="517" t="s">
        <v>159</v>
      </c>
      <c r="AY81" s="518">
        <f>SUM(AX75:AX80)-SUM(AY75:AY80)</f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247" priority="26" operator="notEqual">
      <formula>E27</formula>
    </cfRule>
  </conditionalFormatting>
  <conditionalFormatting sqref="F28">
    <cfRule type="cellIs" dxfId="246" priority="25" operator="notEqual">
      <formula>F27</formula>
    </cfRule>
  </conditionalFormatting>
  <conditionalFormatting sqref="G28">
    <cfRule type="cellIs" dxfId="245" priority="24" operator="notEqual">
      <formula>G27</formula>
    </cfRule>
  </conditionalFormatting>
  <conditionalFormatting sqref="H28">
    <cfRule type="cellIs" dxfId="244" priority="23" operator="notEqual">
      <formula>H27</formula>
    </cfRule>
  </conditionalFormatting>
  <conditionalFormatting sqref="C28">
    <cfRule type="cellIs" dxfId="243" priority="22" operator="notEqual">
      <formula>C27</formula>
    </cfRule>
  </conditionalFormatting>
  <conditionalFormatting sqref="F61">
    <cfRule type="cellIs" dxfId="242" priority="21" operator="notEqual">
      <formula>F60</formula>
    </cfRule>
  </conditionalFormatting>
  <conditionalFormatting sqref="G61">
    <cfRule type="cellIs" dxfId="241" priority="20" operator="notEqual">
      <formula>G60</formula>
    </cfRule>
  </conditionalFormatting>
  <conditionalFormatting sqref="H61">
    <cfRule type="cellIs" dxfId="240" priority="19" operator="notEqual">
      <formula>H60</formula>
    </cfRule>
  </conditionalFormatting>
  <conditionalFormatting sqref="C61">
    <cfRule type="cellIs" dxfId="239" priority="18" operator="notEqual">
      <formula>C60</formula>
    </cfRule>
  </conditionalFormatting>
  <conditionalFormatting sqref="I61">
    <cfRule type="cellIs" dxfId="238" priority="17" operator="notEqual">
      <formula>I60</formula>
    </cfRule>
  </conditionalFormatting>
  <conditionalFormatting sqref="AY81 AY48 AY11">
    <cfRule type="cellIs" dxfId="237" priority="16" operator="notEqual">
      <formula>0</formula>
    </cfRule>
  </conditionalFormatting>
  <conditionalFormatting sqref="I28">
    <cfRule type="cellIs" dxfId="236" priority="15" operator="notEqual">
      <formula>I27</formula>
    </cfRule>
  </conditionalFormatting>
  <conditionalFormatting sqref="J28">
    <cfRule type="cellIs" dxfId="235" priority="14" operator="notEqual">
      <formula>J27</formula>
    </cfRule>
  </conditionalFormatting>
  <conditionalFormatting sqref="J61">
    <cfRule type="cellIs" dxfId="234" priority="13" operator="notEqual">
      <formula>J60</formula>
    </cfRule>
  </conditionalFormatting>
  <conditionalFormatting sqref="K28">
    <cfRule type="cellIs" dxfId="233" priority="12" operator="notEqual">
      <formula>K27</formula>
    </cfRule>
  </conditionalFormatting>
  <conditionalFormatting sqref="K61">
    <cfRule type="cellIs" dxfId="232" priority="11" operator="notEqual">
      <formula>K60</formula>
    </cfRule>
  </conditionalFormatting>
  <conditionalFormatting sqref="L28:M28">
    <cfRule type="cellIs" dxfId="231" priority="10" operator="notEqual">
      <formula>L27</formula>
    </cfRule>
  </conditionalFormatting>
  <conditionalFormatting sqref="N28">
    <cfRule type="cellIs" dxfId="230" priority="9" operator="notEqual">
      <formula>N27</formula>
    </cfRule>
  </conditionalFormatting>
  <conditionalFormatting sqref="U61">
    <cfRule type="cellIs" dxfId="229" priority="8" operator="notEqual">
      <formula>U60</formula>
    </cfRule>
  </conditionalFormatting>
  <conditionalFormatting sqref="U28:V28">
    <cfRule type="cellIs" dxfId="228" priority="7" operator="notEqual">
      <formula>U27</formula>
    </cfRule>
  </conditionalFormatting>
  <conditionalFormatting sqref="V28">
    <cfRule type="cellIs" dxfId="227" priority="6" operator="notEqual">
      <formula>V27</formula>
    </cfRule>
  </conditionalFormatting>
  <conditionalFormatting sqref="V61">
    <cfRule type="cellIs" dxfId="226" priority="5" operator="notEqual">
      <formula>V60</formula>
    </cfRule>
  </conditionalFormatting>
  <conditionalFormatting sqref="W28">
    <cfRule type="cellIs" dxfId="225" priority="4" operator="notEqual">
      <formula>W27</formula>
    </cfRule>
  </conditionalFormatting>
  <conditionalFormatting sqref="W61">
    <cfRule type="cellIs" dxfId="224" priority="3" operator="notEqual">
      <formula>W60</formula>
    </cfRule>
  </conditionalFormatting>
  <conditionalFormatting sqref="X28:Y28">
    <cfRule type="cellIs" dxfId="223" priority="2" operator="notEqual">
      <formula>X27</formula>
    </cfRule>
  </conditionalFormatting>
  <conditionalFormatting sqref="Z28">
    <cfRule type="cellIs" dxfId="222" priority="1" operator="notEqual">
      <formula>Z27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4"/>
  <sheetViews>
    <sheetView showGridLines="0" zoomScale="70" zoomScaleNormal="70" workbookViewId="0">
      <selection activeCell="H17" sqref="H17"/>
    </sheetView>
  </sheetViews>
  <sheetFormatPr defaultColWidth="16" defaultRowHeight="15"/>
  <cols>
    <col min="1" max="1" width="44.88671875" style="1" customWidth="1"/>
    <col min="2" max="2" width="25.5546875" style="1" customWidth="1"/>
    <col min="3" max="3" width="25.33203125" style="1" customWidth="1"/>
    <col min="4" max="4" width="2.6640625" style="30" customWidth="1"/>
    <col min="5" max="5" width="4.33203125" style="1" customWidth="1"/>
    <col min="6" max="6" width="26.6640625" style="1" customWidth="1"/>
    <col min="7" max="7" width="19" style="1" customWidth="1"/>
    <col min="8" max="8" width="22" style="1" customWidth="1"/>
    <col min="9" max="9" width="20.44140625" style="1" customWidth="1"/>
    <col min="10" max="10" width="26.33203125" style="1" customWidth="1"/>
    <col min="11" max="11" width="21.88671875" style="1" bestFit="1" customWidth="1"/>
    <col min="12" max="12" width="23.88671875" style="1" customWidth="1"/>
    <col min="13" max="13" width="20.88671875" style="1" bestFit="1" customWidth="1"/>
    <col min="14" max="15" width="16" style="1"/>
    <col min="16" max="16" width="16.33203125" style="1" bestFit="1" customWidth="1"/>
    <col min="17" max="16384" width="16" style="1"/>
  </cols>
  <sheetData>
    <row r="1" spans="1:13" ht="16.2" thickBot="1">
      <c r="A1" s="145" t="s">
        <v>64</v>
      </c>
      <c r="B1" s="29"/>
      <c r="C1" s="533">
        <v>201601</v>
      </c>
      <c r="F1" s="534">
        <f>C1</f>
        <v>201601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6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2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6">
      <c r="A4" s="38" t="s">
        <v>88</v>
      </c>
      <c r="C4" s="314">
        <v>4598122.63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314">
        <f>99445.4-3133.26-815.41</f>
        <v>95496.73</v>
      </c>
      <c r="D5" s="34"/>
      <c r="F5" s="38"/>
      <c r="G5" s="38"/>
      <c r="H5" s="11"/>
      <c r="I5" s="166">
        <v>0.70660000000000001</v>
      </c>
      <c r="J5" s="166">
        <v>0.29339999999999999</v>
      </c>
      <c r="K5" s="447">
        <f>ROUND(G45/(G45+K43),4)</f>
        <v>0.70069999999999999</v>
      </c>
      <c r="L5" s="447">
        <f>1-K5</f>
        <v>0.29930000000000001</v>
      </c>
      <c r="M5" s="38"/>
    </row>
    <row r="6" spans="1:13" ht="16.2" thickBot="1">
      <c r="A6" s="49" t="s">
        <v>30</v>
      </c>
      <c r="C6" s="315">
        <f>-2343063.08-444850-73845.1-127100-142987.5-81979.5-102391.76</f>
        <v>-3316216.94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2" thickBot="1">
      <c r="A7" s="66" t="s">
        <v>140</v>
      </c>
      <c r="C7" s="100">
        <f>SUM(C4:C6)</f>
        <v>1377402.4200000004</v>
      </c>
      <c r="D7" s="35"/>
      <c r="F7" s="167" t="s">
        <v>139</v>
      </c>
      <c r="G7" s="167"/>
      <c r="H7" s="125">
        <f>C34</f>
        <v>2150874.2400000002</v>
      </c>
      <c r="I7" s="168">
        <f>H7*I5</f>
        <v>1519807.7379840002</v>
      </c>
      <c r="J7" s="168">
        <f>H7*J5</f>
        <v>631066.5020160001</v>
      </c>
      <c r="K7" s="168"/>
      <c r="L7" s="168"/>
      <c r="M7" s="38"/>
    </row>
    <row r="8" spans="1:13" ht="15.6">
      <c r="A8" s="1" t="s">
        <v>89</v>
      </c>
      <c r="C8" s="314">
        <v>252729.32</v>
      </c>
      <c r="D8" s="35"/>
      <c r="F8" s="38"/>
      <c r="G8" s="38"/>
      <c r="H8" s="169"/>
      <c r="I8" s="169"/>
      <c r="J8" s="169"/>
      <c r="K8" s="169"/>
      <c r="L8" s="169"/>
      <c r="M8" s="38"/>
    </row>
    <row r="9" spans="1:13" ht="15.6">
      <c r="A9" s="38" t="s">
        <v>90</v>
      </c>
      <c r="C9" s="314">
        <f>9224.37-1398.1</f>
        <v>7826.27</v>
      </c>
      <c r="D9" s="36"/>
      <c r="F9" s="167" t="s">
        <v>119</v>
      </c>
      <c r="G9" s="38"/>
      <c r="H9" s="168">
        <f>C55</f>
        <v>9494100.7699999996</v>
      </c>
      <c r="I9" s="168"/>
      <c r="J9" s="168"/>
      <c r="K9" s="168">
        <f>H9*K5</f>
        <v>6652516.4095389992</v>
      </c>
      <c r="L9" s="168">
        <f>H9*L5</f>
        <v>2841584.3604609999</v>
      </c>
      <c r="M9" s="38"/>
    </row>
    <row r="10" spans="1:13" ht="15.6">
      <c r="A10" s="49" t="s">
        <v>91</v>
      </c>
      <c r="C10" s="315">
        <v>-3418.47</v>
      </c>
      <c r="D10" s="36"/>
      <c r="F10" s="170" t="s">
        <v>44</v>
      </c>
      <c r="G10" s="38"/>
      <c r="H10" s="168">
        <f>C56</f>
        <v>22213.74</v>
      </c>
      <c r="I10" s="168"/>
      <c r="J10" s="168"/>
      <c r="K10" s="168">
        <f>H10</f>
        <v>22213.74</v>
      </c>
      <c r="L10" s="168"/>
      <c r="M10" s="38"/>
    </row>
    <row r="11" spans="1:13">
      <c r="A11" s="66" t="s">
        <v>145</v>
      </c>
      <c r="C11" s="100">
        <f>SUM(C8:C10)</f>
        <v>257137.12</v>
      </c>
      <c r="D11" s="36"/>
      <c r="F11" s="170" t="s">
        <v>45</v>
      </c>
      <c r="G11" s="38"/>
      <c r="H11" s="171">
        <f>C57</f>
        <v>10017.379999999999</v>
      </c>
      <c r="I11" s="168"/>
      <c r="J11" s="168"/>
      <c r="K11" s="171"/>
      <c r="L11" s="171">
        <f>H11</f>
        <v>10017.379999999999</v>
      </c>
      <c r="M11" s="38"/>
    </row>
    <row r="12" spans="1:13" ht="15.6">
      <c r="A12" s="1" t="s">
        <v>165</v>
      </c>
      <c r="C12" s="314">
        <f>196594.34-7105.55</f>
        <v>189488.79</v>
      </c>
      <c r="D12" s="36"/>
      <c r="F12" s="170" t="s">
        <v>138</v>
      </c>
      <c r="G12" s="38"/>
      <c r="H12" s="168">
        <f>H9+H10+H11</f>
        <v>9526331.8900000006</v>
      </c>
      <c r="I12" s="168"/>
      <c r="J12" s="168"/>
      <c r="K12" s="168">
        <f>SUM(K9:K11)</f>
        <v>6674730.1495389994</v>
      </c>
      <c r="L12" s="168">
        <f>SUM(L9:L11)</f>
        <v>2851601.7404609998</v>
      </c>
      <c r="M12" s="38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"/>
    </row>
    <row r="14" spans="1:13" ht="16.2" thickBot="1">
      <c r="A14" s="66" t="s">
        <v>92</v>
      </c>
      <c r="C14" s="100">
        <f>SUM(C12:C13)</f>
        <v>189488.79</v>
      </c>
      <c r="D14" s="37"/>
      <c r="F14" s="50" t="s">
        <v>69</v>
      </c>
      <c r="G14" s="176"/>
      <c r="H14" s="125">
        <f>H12+H7</f>
        <v>11677206.130000001</v>
      </c>
      <c r="I14" s="177">
        <f>SUM(I7:I13)</f>
        <v>1519807.7379840002</v>
      </c>
      <c r="J14" s="177">
        <f>SUM(J7:J13)</f>
        <v>631066.5020160001</v>
      </c>
      <c r="K14" s="177">
        <f>K12</f>
        <v>6674730.1495389994</v>
      </c>
      <c r="L14" s="177">
        <f>L12</f>
        <v>2851601.7404609998</v>
      </c>
      <c r="M14" s="38"/>
    </row>
    <row r="15" spans="1:13" ht="15.6">
      <c r="A15" s="1" t="s">
        <v>184</v>
      </c>
      <c r="C15" s="314">
        <f>377606.43-13390.84</f>
        <v>364215.58999999997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"/>
      <c r="L15" s="174">
        <f>H12-K14-L14</f>
        <v>0</v>
      </c>
      <c r="M15" s="38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"/>
      <c r="L16" s="180"/>
      <c r="M16" s="38"/>
    </row>
    <row r="17" spans="1:14" ht="15.6" thickBot="1">
      <c r="A17" s="66" t="s">
        <v>186</v>
      </c>
      <c r="C17" s="100">
        <f>SUM(C15:C16)</f>
        <v>364215.58999999997</v>
      </c>
      <c r="D17" s="37"/>
      <c r="F17" s="172"/>
      <c r="G17" s="173"/>
      <c r="H17" s="180"/>
      <c r="I17" s="181"/>
      <c r="J17" s="184"/>
      <c r="K17" s="38"/>
      <c r="L17" s="180"/>
      <c r="M17" s="38"/>
    </row>
    <row r="18" spans="1:14" ht="16.2" thickBot="1">
      <c r="A18" s="1" t="s">
        <v>163</v>
      </c>
      <c r="C18" s="314">
        <f>60808.77+5780.97-2334.42</f>
        <v>64255.319999999992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4" ht="15.6">
      <c r="A19" s="46" t="s">
        <v>164</v>
      </c>
      <c r="C19" s="315">
        <v>12440.96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4" ht="16.2" thickBot="1">
      <c r="A20" s="67" t="s">
        <v>93</v>
      </c>
      <c r="C20" s="100">
        <f>SUM(C18:C19)</f>
        <v>76696.28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4" ht="15.6">
      <c r="A21" s="46" t="s">
        <v>149</v>
      </c>
      <c r="B21" s="386"/>
      <c r="C21" s="315">
        <f>1850-152</f>
        <v>1698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4" ht="18" customHeight="1">
      <c r="A22" s="65" t="s">
        <v>149</v>
      </c>
      <c r="C22" s="100">
        <f>SUM(C21)</f>
        <v>1698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4" ht="15.6">
      <c r="A23" s="209" t="s">
        <v>181</v>
      </c>
      <c r="C23" s="100">
        <v>0</v>
      </c>
      <c r="D23" s="36"/>
      <c r="F23" s="201" t="s">
        <v>37</v>
      </c>
      <c r="G23" s="264">
        <v>20140968</v>
      </c>
      <c r="H23" s="391">
        <v>0.12132999999999999</v>
      </c>
      <c r="I23" s="197">
        <f t="shared" ref="I23:I31" si="0">G23*H23</f>
        <v>2443703.64744</v>
      </c>
      <c r="J23" s="201" t="s">
        <v>37</v>
      </c>
      <c r="K23" s="264">
        <v>8841051</v>
      </c>
      <c r="L23" s="391">
        <v>0.10854999999999999</v>
      </c>
      <c r="M23" s="197">
        <f>K23*L23</f>
        <v>959696.08604999993</v>
      </c>
      <c r="N23" s="386"/>
    </row>
    <row r="24" spans="1:14" ht="15.6">
      <c r="A24" s="209" t="s">
        <v>187</v>
      </c>
      <c r="C24" s="314">
        <v>0</v>
      </c>
      <c r="D24" s="36"/>
      <c r="F24" s="201" t="s">
        <v>332</v>
      </c>
      <c r="G24" s="264">
        <v>17893</v>
      </c>
      <c r="H24" s="391">
        <v>0.12132999999999999</v>
      </c>
      <c r="I24" s="197">
        <f t="shared" si="0"/>
        <v>2170.9576899999997</v>
      </c>
      <c r="J24" s="201" t="s">
        <v>38</v>
      </c>
      <c r="K24" s="264">
        <v>2843963</v>
      </c>
      <c r="L24" s="391">
        <v>0.10854999999999999</v>
      </c>
      <c r="M24" s="197">
        <f t="shared" ref="M24:M27" si="1">K24*L24</f>
        <v>308712.18364999996</v>
      </c>
      <c r="N24" s="386"/>
    </row>
    <row r="25" spans="1:14" ht="15.6">
      <c r="A25" s="209" t="s">
        <v>190</v>
      </c>
      <c r="C25" s="316">
        <v>0</v>
      </c>
      <c r="D25" s="36"/>
      <c r="F25" s="201" t="s">
        <v>38</v>
      </c>
      <c r="G25" s="264">
        <v>6568112</v>
      </c>
      <c r="H25" s="391">
        <v>0.11426</v>
      </c>
      <c r="I25" s="197">
        <f t="shared" si="0"/>
        <v>750472.47712000005</v>
      </c>
      <c r="J25" s="201" t="s">
        <v>39</v>
      </c>
      <c r="K25" s="264">
        <v>2754</v>
      </c>
      <c r="L25" s="391">
        <v>0.10854999999999999</v>
      </c>
      <c r="M25" s="197">
        <f t="shared" si="1"/>
        <v>298.94669999999996</v>
      </c>
      <c r="N25" s="386"/>
    </row>
    <row r="26" spans="1:14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/>
      <c r="L26" s="391">
        <v>0.10854999999999999</v>
      </c>
      <c r="M26" s="197">
        <f t="shared" si="1"/>
        <v>0</v>
      </c>
      <c r="N26" s="386"/>
    </row>
    <row r="27" spans="1:14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345863</v>
      </c>
      <c r="H27" s="391">
        <v>0.10385</v>
      </c>
      <c r="I27" s="197">
        <f t="shared" si="0"/>
        <v>35917.87255</v>
      </c>
      <c r="J27" s="201" t="s">
        <v>41</v>
      </c>
      <c r="K27" s="264"/>
      <c r="L27" s="391">
        <v>0.10854999999999999</v>
      </c>
      <c r="M27" s="197">
        <f t="shared" si="1"/>
        <v>0</v>
      </c>
      <c r="N27" s="386"/>
    </row>
    <row r="28" spans="1:14" ht="16.2" thickBot="1">
      <c r="A28" s="211" t="s">
        <v>150</v>
      </c>
      <c r="C28" s="314">
        <v>0</v>
      </c>
      <c r="D28" s="37"/>
      <c r="F28" s="201" t="s">
        <v>41</v>
      </c>
      <c r="G28" s="264">
        <v>83853</v>
      </c>
      <c r="H28" s="391">
        <v>0.10385</v>
      </c>
      <c r="I28" s="197">
        <f t="shared" si="0"/>
        <v>8708.1340500000006</v>
      </c>
      <c r="J28" s="200" t="s">
        <v>127</v>
      </c>
      <c r="K28" s="182">
        <f>SUM(K23:K27)</f>
        <v>11687768</v>
      </c>
      <c r="L28" s="183"/>
      <c r="M28" s="198">
        <f>SUM(M23:M27)</f>
        <v>1268707.2163999998</v>
      </c>
      <c r="N28" s="386"/>
    </row>
    <row r="29" spans="1:14" ht="16.8" thickTop="1" thickBot="1">
      <c r="A29" s="211" t="s">
        <v>167</v>
      </c>
      <c r="B29" s="38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11687768</v>
      </c>
      <c r="L29" s="188" t="s">
        <v>102</v>
      </c>
      <c r="M29" s="467">
        <f>M28/K28</f>
        <v>0.10854999999999998</v>
      </c>
      <c r="N29" s="386"/>
    </row>
    <row r="30" spans="1:14" ht="16.2" thickBot="1">
      <c r="A30" s="2" t="s">
        <v>111</v>
      </c>
      <c r="C30" s="125">
        <f>C7+C11+C14+C17+C20+C22+C27+C28+C29</f>
        <v>2266638.2000000002</v>
      </c>
      <c r="D30" s="37"/>
      <c r="F30" s="201" t="s">
        <v>43</v>
      </c>
      <c r="G30" s="264">
        <v>203731</v>
      </c>
      <c r="H30" s="391">
        <v>7.1069999999999994E-2</v>
      </c>
      <c r="I30" s="197">
        <f t="shared" si="0"/>
        <v>14479.16217</v>
      </c>
      <c r="J30" s="201"/>
      <c r="K30" s="231">
        <f>K28-K29</f>
        <v>0</v>
      </c>
      <c r="L30" s="183"/>
      <c r="M30" s="199"/>
    </row>
    <row r="31" spans="1:14" ht="15.6">
      <c r="A31" s="1" t="s">
        <v>112</v>
      </c>
      <c r="C31" s="314">
        <v>0</v>
      </c>
      <c r="D31" s="39"/>
      <c r="F31" s="201" t="s">
        <v>74</v>
      </c>
      <c r="G31" s="264">
        <v>3346687</v>
      </c>
      <c r="H31" s="391">
        <v>5.4000000000000001E-4</v>
      </c>
      <c r="I31" s="197">
        <f t="shared" si="0"/>
        <v>1807.2109800000001</v>
      </c>
      <c r="J31" s="153"/>
      <c r="K31" s="7"/>
      <c r="L31" s="183"/>
      <c r="M31" s="199"/>
    </row>
    <row r="32" spans="1:14" ht="16.2" thickBot="1">
      <c r="A32" s="2" t="s">
        <v>116</v>
      </c>
      <c r="B32" s="2" t="s">
        <v>117</v>
      </c>
      <c r="C32" s="240">
        <f>C30+C31</f>
        <v>2266638.2000000002</v>
      </c>
      <c r="D32" s="40"/>
      <c r="F32" s="200" t="s">
        <v>127</v>
      </c>
      <c r="G32" s="182">
        <f>SUM(G23:G31)</f>
        <v>30707107</v>
      </c>
      <c r="H32" s="7"/>
      <c r="I32" s="198">
        <f>SUM(I23:I31)</f>
        <v>3257259.4619999998</v>
      </c>
      <c r="J32" s="193"/>
      <c r="K32" s="194"/>
      <c r="L32" s="7"/>
      <c r="M32" s="191"/>
    </row>
    <row r="33" spans="1:17" ht="16.8" thickTop="1" thickBot="1">
      <c r="A33" s="1" t="s">
        <v>113</v>
      </c>
      <c r="C33" s="313">
        <f>-C5-C9-C13-C16-C19</f>
        <v>-115763.95999999999</v>
      </c>
      <c r="D33" s="36"/>
      <c r="F33" s="187"/>
      <c r="G33" s="232">
        <v>30707107</v>
      </c>
      <c r="H33" s="188" t="s">
        <v>102</v>
      </c>
      <c r="I33" s="217">
        <f>I32/G32</f>
        <v>0.10607510052965914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2150874.2400000002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8841051</v>
      </c>
      <c r="L36" s="391">
        <v>0.25031999999999999</v>
      </c>
      <c r="M36" s="197">
        <f t="shared" ref="M36:M42" si="2">K36*L36</f>
        <v>2213091.88632</v>
      </c>
      <c r="N36" s="386"/>
      <c r="P36" s="275"/>
      <c r="Q36" s="275"/>
    </row>
    <row r="37" spans="1:17" ht="15.6">
      <c r="A37" s="7" t="s">
        <v>129</v>
      </c>
      <c r="B37" s="86" t="s">
        <v>115</v>
      </c>
      <c r="C37" s="122">
        <v>11527715.779999999</v>
      </c>
      <c r="D37" s="36"/>
      <c r="F37" s="201" t="s">
        <v>37</v>
      </c>
      <c r="G37" s="265">
        <f>G23</f>
        <v>20140968</v>
      </c>
      <c r="H37" s="391">
        <v>0.25030999999999998</v>
      </c>
      <c r="I37" s="197">
        <f t="shared" ref="I37:I44" si="3">G37*H37</f>
        <v>5041485.7000799999</v>
      </c>
      <c r="J37" s="201" t="s">
        <v>38</v>
      </c>
      <c r="K37" s="265">
        <f>K24</f>
        <v>2843963</v>
      </c>
      <c r="L37" s="391">
        <v>0.25031999999999999</v>
      </c>
      <c r="M37" s="197">
        <f t="shared" si="2"/>
        <v>711900.81815999991</v>
      </c>
      <c r="N37" s="386"/>
      <c r="P37" s="275"/>
      <c r="Q37" s="275"/>
    </row>
    <row r="38" spans="1:17" ht="15.6">
      <c r="A38" s="144" t="s">
        <v>14</v>
      </c>
      <c r="B38" s="86" t="s">
        <v>115</v>
      </c>
      <c r="C38" s="122">
        <v>0</v>
      </c>
      <c r="D38" s="36"/>
      <c r="F38" s="201" t="s">
        <v>332</v>
      </c>
      <c r="G38" s="265">
        <f>G24</f>
        <v>17893</v>
      </c>
      <c r="H38" s="391">
        <v>0.25030999999999998</v>
      </c>
      <c r="I38" s="197">
        <f t="shared" si="3"/>
        <v>4478.7968299999993</v>
      </c>
      <c r="J38" s="201" t="s">
        <v>39</v>
      </c>
      <c r="K38" s="265">
        <f>K25</f>
        <v>2754</v>
      </c>
      <c r="L38" s="391">
        <v>0.25031999999999999</v>
      </c>
      <c r="M38" s="197">
        <f t="shared" si="2"/>
        <v>689.38127999999995</v>
      </c>
      <c r="N38" s="386"/>
      <c r="P38" s="275"/>
      <c r="Q38" s="275"/>
    </row>
    <row r="39" spans="1:17" ht="15.6">
      <c r="A39" s="7" t="s">
        <v>146</v>
      </c>
      <c r="B39" s="86" t="s">
        <v>147</v>
      </c>
      <c r="C39" s="122">
        <v>-21352.799999999999</v>
      </c>
      <c r="D39" s="36"/>
      <c r="F39" s="201" t="s">
        <v>38</v>
      </c>
      <c r="G39" s="265">
        <f t="shared" ref="G39:G44" si="4">G25</f>
        <v>6568112</v>
      </c>
      <c r="H39" s="391">
        <v>0.25030999999999998</v>
      </c>
      <c r="I39" s="197">
        <f t="shared" si="3"/>
        <v>1644064.11472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N39" s="386"/>
      <c r="P39" s="275"/>
      <c r="Q39" s="275"/>
    </row>
    <row r="40" spans="1:17" ht="15.6">
      <c r="A40" s="7" t="s">
        <v>131</v>
      </c>
      <c r="B40" s="86" t="s">
        <v>132</v>
      </c>
      <c r="C40" s="122">
        <v>1318953.02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N40" s="386"/>
      <c r="P40" s="275"/>
      <c r="Q40" s="275"/>
    </row>
    <row r="41" spans="1:17" ht="15.6">
      <c r="A41" s="7" t="s">
        <v>153</v>
      </c>
      <c r="B41" s="6" t="s">
        <v>155</v>
      </c>
      <c r="C41" s="122">
        <v>-26412.83</v>
      </c>
      <c r="D41" s="36"/>
      <c r="F41" s="201" t="s">
        <v>40</v>
      </c>
      <c r="G41" s="265">
        <f t="shared" si="4"/>
        <v>345863</v>
      </c>
      <c r="H41" s="391">
        <v>0.25030999999999998</v>
      </c>
      <c r="I41" s="197">
        <f t="shared" si="3"/>
        <v>86572.967529999994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N41" s="386"/>
      <c r="P41" s="275"/>
      <c r="Q41" s="275"/>
    </row>
    <row r="42" spans="1:17" ht="16.2" thickBot="1">
      <c r="A42" s="7" t="s">
        <v>179</v>
      </c>
      <c r="B42" s="230" t="s">
        <v>180</v>
      </c>
      <c r="C42" s="122">
        <v>244864.77</v>
      </c>
      <c r="D42" s="37"/>
      <c r="F42" s="201" t="s">
        <v>41</v>
      </c>
      <c r="G42" s="265">
        <f t="shared" si="4"/>
        <v>83853</v>
      </c>
      <c r="H42" s="391">
        <v>0.25030999999999998</v>
      </c>
      <c r="I42" s="197">
        <f t="shared" si="3"/>
        <v>20989.244429999999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N42" s="386"/>
      <c r="P42" s="275"/>
      <c r="Q42" s="275"/>
    </row>
    <row r="43" spans="1:17" ht="16.2" thickBot="1">
      <c r="A43" s="85" t="s">
        <v>123</v>
      </c>
      <c r="B43" s="12"/>
      <c r="C43" s="125">
        <f>SUM(C37:C42)</f>
        <v>13043767.939999998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11687768</v>
      </c>
      <c r="L43" s="183"/>
      <c r="M43" s="198">
        <f>SUM(M36:M42)</f>
        <v>2925682.0857599997</v>
      </c>
    </row>
    <row r="44" spans="1:17" ht="16.2" thickBot="1">
      <c r="A44" s="83" t="s">
        <v>178</v>
      </c>
      <c r="B44" s="84" t="s">
        <v>120</v>
      </c>
      <c r="C44" s="242">
        <f>3131675.17-397037.78</f>
        <v>2734637.3899999997</v>
      </c>
      <c r="D44" s="37"/>
      <c r="F44" s="201" t="s">
        <v>43</v>
      </c>
      <c r="G44" s="265">
        <f t="shared" si="4"/>
        <v>203731</v>
      </c>
      <c r="H44" s="391">
        <v>0.25030999999999998</v>
      </c>
      <c r="I44" s="197">
        <f t="shared" si="3"/>
        <v>50995.906609999998</v>
      </c>
      <c r="J44" s="195"/>
      <c r="K44" s="233">
        <v>11687768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27360420</v>
      </c>
      <c r="H45" s="183"/>
      <c r="I45" s="198">
        <f>SUM(I37:I44)</f>
        <v>6848586.7302000001</v>
      </c>
      <c r="J45" s="124"/>
      <c r="K45" s="231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27360420</v>
      </c>
      <c r="H46" s="190" t="s">
        <v>102</v>
      </c>
      <c r="I46" s="216">
        <f>I45/G45</f>
        <v>0.25030999999999998</v>
      </c>
      <c r="J46" s="124"/>
      <c r="K46" s="231"/>
      <c r="L46" s="387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1">
        <f>G45-G46</f>
        <v>0</v>
      </c>
      <c r="H47" s="38"/>
      <c r="I47" s="38"/>
      <c r="J47" s="124"/>
      <c r="K47" s="231"/>
      <c r="L47" s="387"/>
      <c r="M47" s="124"/>
    </row>
    <row r="48" spans="1:17" ht="16.2" thickBot="1">
      <c r="A48" s="144" t="s">
        <v>222</v>
      </c>
      <c r="B48" s="6" t="s">
        <v>115</v>
      </c>
      <c r="C48" s="122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6">
      <c r="A49" s="7" t="s">
        <v>130</v>
      </c>
      <c r="B49" s="86" t="s">
        <v>152</v>
      </c>
      <c r="C49" s="122">
        <v>29908.32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2" thickBot="1">
      <c r="A50" s="7" t="s">
        <v>331</v>
      </c>
      <c r="B50" s="219" t="s">
        <v>152</v>
      </c>
      <c r="C50" s="122">
        <v>4454.34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6">
      <c r="A51" s="7" t="s">
        <v>224</v>
      </c>
      <c r="B51" s="454" t="s">
        <v>152</v>
      </c>
      <c r="C51" s="122">
        <v>10435.4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6">
      <c r="A52" s="22" t="s">
        <v>118</v>
      </c>
      <c r="B52" s="6"/>
      <c r="C52" s="100">
        <f>-C33</f>
        <v>115763.95999999999</v>
      </c>
      <c r="D52" s="33"/>
      <c r="F52" s="38" t="s">
        <v>136</v>
      </c>
      <c r="G52" s="38"/>
      <c r="H52" s="213">
        <f>K12</f>
        <v>6674730.1495389994</v>
      </c>
      <c r="I52" s="115">
        <f>I14</f>
        <v>1519807.7379840002</v>
      </c>
      <c r="J52" s="115">
        <f>L12</f>
        <v>2851601.7404609998</v>
      </c>
      <c r="K52" s="115">
        <f>J14</f>
        <v>631066.5020160001</v>
      </c>
      <c r="L52" s="132">
        <f>SUM(H52:K52)</f>
        <v>11677206.129999999</v>
      </c>
      <c r="M52" s="38"/>
    </row>
    <row r="53" spans="1:21" ht="16.2" thickBot="1">
      <c r="A53" s="384" t="s">
        <v>124</v>
      </c>
      <c r="B53" s="475" t="s">
        <v>316</v>
      </c>
      <c r="C53" s="314">
        <f>-3230829.76-409181.41-2436855.41</f>
        <v>-6076866.5800000001</v>
      </c>
      <c r="D53" s="36"/>
      <c r="F53" s="1" t="s">
        <v>109</v>
      </c>
      <c r="H53" s="213">
        <f>-I45</f>
        <v>-6848586.7302000001</v>
      </c>
      <c r="I53" s="115">
        <f>-I32</f>
        <v>-3257259.4619999998</v>
      </c>
      <c r="J53" s="115">
        <f>-M43</f>
        <v>-2925682.0857599997</v>
      </c>
      <c r="K53" s="115">
        <f>-M28</f>
        <v>-1268707.2163999998</v>
      </c>
      <c r="L53" s="263">
        <f>SUM(H53:K53)</f>
        <v>-14300235.494359998</v>
      </c>
    </row>
    <row r="54" spans="1:21" ht="16.2" thickBot="1">
      <c r="A54" s="1" t="s">
        <v>191</v>
      </c>
      <c r="B54" s="6" t="s">
        <v>192</v>
      </c>
      <c r="C54" s="122">
        <v>-375000</v>
      </c>
      <c r="D54" s="36"/>
      <c r="F54" s="1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-2623029.3643599991</v>
      </c>
    </row>
    <row r="55" spans="1:21" ht="16.2" thickBot="1">
      <c r="A55" s="82" t="s">
        <v>119</v>
      </c>
      <c r="B55" s="84"/>
      <c r="C55" s="160">
        <f>SUM(C43:C54)</f>
        <v>9494100.7699999996</v>
      </c>
      <c r="D55" s="36"/>
      <c r="F55" s="1" t="s">
        <v>71</v>
      </c>
      <c r="H55" s="125">
        <f>H52+H53+H54</f>
        <v>-173856.58066100068</v>
      </c>
      <c r="I55" s="125">
        <f>I52+I53+I54</f>
        <v>-1737451.7240159996</v>
      </c>
      <c r="J55" s="125">
        <f>J52+J53+J54</f>
        <v>-74080.34529899992</v>
      </c>
      <c r="K55" s="125">
        <f>K52+K53+K54</f>
        <v>-637640.7143839997</v>
      </c>
      <c r="L55" s="47">
        <f>SUM(H55:K55)</f>
        <v>-2623029.36436</v>
      </c>
    </row>
    <row r="56" spans="1:21" ht="16.8" thickTop="1" thickBot="1">
      <c r="A56" s="1" t="s">
        <v>121</v>
      </c>
      <c r="B56" s="6" t="s">
        <v>115</v>
      </c>
      <c r="C56" s="122">
        <v>22213.74</v>
      </c>
      <c r="D56" s="36"/>
      <c r="F56" s="241" t="s">
        <v>182</v>
      </c>
      <c r="H56" s="1" t="s">
        <v>173</v>
      </c>
      <c r="I56" s="5">
        <f>SUM(H55:I55)</f>
        <v>-1911308.3046770003</v>
      </c>
      <c r="J56" s="15" t="s">
        <v>174</v>
      </c>
      <c r="K56" s="1">
        <f>SUM(J55:K55)</f>
        <v>-711721.05968299962</v>
      </c>
      <c r="L56" s="214">
        <f>ROUND(L54-L55,3)</f>
        <v>0</v>
      </c>
      <c r="T56" s="42"/>
    </row>
    <row r="57" spans="1:21" ht="16.2" thickTop="1">
      <c r="A57" s="1" t="s">
        <v>122</v>
      </c>
      <c r="B57" s="6" t="s">
        <v>115</v>
      </c>
      <c r="C57" s="122">
        <v>10017.379999999999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9526331.8900000006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11677206.130000001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11677206.130000001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1">
        <f>H53+I53+J53+K53</f>
        <v>-14300235.494359998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135">
        <f>H61-I61</f>
        <v>0</v>
      </c>
      <c r="N62" s="5"/>
      <c r="O62" s="5"/>
      <c r="P62" s="21"/>
    </row>
    <row r="63" spans="1:21" ht="15.6">
      <c r="A63" s="44"/>
      <c r="C63" s="353"/>
      <c r="D63" s="36"/>
      <c r="G63" s="386"/>
      <c r="H63" s="386"/>
      <c r="I63" s="386"/>
      <c r="J63" s="386"/>
      <c r="S63" s="6"/>
    </row>
    <row r="64" spans="1:21" ht="15.6">
      <c r="A64" s="44"/>
      <c r="C64" s="8"/>
      <c r="D64" s="43"/>
      <c r="G64" s="386"/>
      <c r="H64" s="386"/>
      <c r="I64" s="386"/>
      <c r="J64" s="386"/>
      <c r="N64" s="22"/>
      <c r="U64" s="2"/>
    </row>
    <row r="65" spans="1:21" ht="15.6">
      <c r="A65" s="2"/>
      <c r="C65" s="8"/>
      <c r="D65" s="36"/>
      <c r="G65" s="386"/>
      <c r="H65" s="386"/>
      <c r="I65" s="386"/>
      <c r="J65" s="386"/>
      <c r="N65" s="22"/>
      <c r="S65" s="23"/>
    </row>
    <row r="66" spans="1:21">
      <c r="C66" s="100"/>
      <c r="D66" s="36"/>
      <c r="G66" s="386"/>
      <c r="H66" s="96"/>
      <c r="I66" s="386"/>
      <c r="J66" s="386"/>
      <c r="N66" s="22"/>
      <c r="S66" s="24"/>
    </row>
    <row r="67" spans="1:21">
      <c r="D67" s="36"/>
      <c r="G67" s="386"/>
      <c r="H67" s="386"/>
      <c r="I67" s="386"/>
      <c r="J67" s="386"/>
      <c r="N67" s="22"/>
      <c r="S67" s="25"/>
    </row>
    <row r="68" spans="1:21">
      <c r="D68" s="36"/>
      <c r="G68" s="386"/>
      <c r="H68" s="386"/>
      <c r="I68" s="386"/>
      <c r="J68" s="386"/>
      <c r="N68" s="22"/>
      <c r="S68" s="24"/>
    </row>
    <row r="69" spans="1:21">
      <c r="D69" s="37"/>
      <c r="G69" s="386"/>
      <c r="H69" s="386"/>
      <c r="I69" s="386"/>
      <c r="J69" s="386"/>
      <c r="N69" s="22"/>
    </row>
    <row r="70" spans="1:21">
      <c r="D70" s="36"/>
      <c r="G70" s="386"/>
      <c r="H70" s="386"/>
      <c r="I70" s="386"/>
      <c r="J70" s="386"/>
      <c r="N70" s="22"/>
      <c r="S70" s="26"/>
    </row>
    <row r="71" spans="1:21">
      <c r="D71" s="36"/>
      <c r="G71" s="386"/>
      <c r="H71" s="386"/>
      <c r="I71" s="386"/>
      <c r="J71" s="386"/>
    </row>
    <row r="72" spans="1:21">
      <c r="D72" s="36"/>
      <c r="G72" s="386"/>
      <c r="H72" s="386"/>
      <c r="I72" s="386"/>
      <c r="J72" s="38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1">
        <v>-2130</v>
      </c>
    </row>
    <row r="1484" spans="3:3">
      <c r="C1484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2 L56 I62">
    <cfRule type="cellIs" dxfId="664" priority="27" stopIfTrue="1" operator="equal">
      <formula>0</formula>
    </cfRule>
    <cfRule type="cellIs" dxfId="663" priority="28" stopIfTrue="1" operator="notEqual">
      <formula>0</formula>
    </cfRule>
  </conditionalFormatting>
  <conditionalFormatting sqref="G34 G47 K30 K45:K47">
    <cfRule type="cellIs" dxfId="662" priority="20" operator="notEqual">
      <formula>0</formula>
    </cfRule>
  </conditionalFormatting>
  <conditionalFormatting sqref="C62">
    <cfRule type="cellIs" dxfId="661" priority="14" stopIfTrue="1" operator="equal">
      <formula>0</formula>
    </cfRule>
    <cfRule type="cellIs" dxfId="660" priority="15" stopIfTrue="1" operator="notEqual">
      <formula>0</formula>
    </cfRule>
  </conditionalFormatting>
  <conditionalFormatting sqref="K30">
    <cfRule type="cellIs" dxfId="659" priority="13" operator="notEqual">
      <formula>0</formula>
    </cfRule>
  </conditionalFormatting>
  <conditionalFormatting sqref="G59">
    <cfRule type="cellIs" dxfId="658" priority="2" operator="equal">
      <formula>"ERROR"</formula>
    </cfRule>
  </conditionalFormatting>
  <conditionalFormatting sqref="G59">
    <cfRule type="cellIs" dxfId="65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Y84"/>
  <sheetViews>
    <sheetView zoomScale="85" zoomScaleNormal="85" zoomScaleSheetLayoutView="85" workbookViewId="0">
      <selection sqref="A1:XFD1048576"/>
    </sheetView>
  </sheetViews>
  <sheetFormatPr defaultColWidth="9.109375" defaultRowHeight="15.6"/>
  <cols>
    <col min="1" max="1" width="17.33203125" style="482" customWidth="1"/>
    <col min="2" max="2" width="18.6640625" style="481" bestFit="1" customWidth="1"/>
    <col min="3" max="3" width="17.5546875" style="482" bestFit="1" customWidth="1"/>
    <col min="4" max="4" width="16.33203125" style="482" customWidth="1"/>
    <col min="5" max="5" width="15.5546875" style="482" hidden="1" customWidth="1"/>
    <col min="6" max="6" width="18.33203125" style="482" hidden="1" customWidth="1"/>
    <col min="7" max="7" width="16.33203125" style="482" hidden="1" customWidth="1"/>
    <col min="8" max="9" width="19.88671875" style="482" hidden="1" customWidth="1"/>
    <col min="10" max="10" width="16.33203125" style="482" hidden="1" customWidth="1"/>
    <col min="11" max="11" width="21.5546875" style="482" hidden="1" customWidth="1"/>
    <col min="12" max="20" width="16.33203125" style="482" hidden="1" customWidth="1"/>
    <col min="21" max="21" width="19.88671875" style="482" hidden="1" customWidth="1"/>
    <col min="22" max="22" width="16.33203125" style="482" hidden="1" customWidth="1"/>
    <col min="23" max="23" width="21.5546875" style="482" hidden="1" customWidth="1"/>
    <col min="24" max="29" width="16.33203125" style="482" hidden="1" customWidth="1"/>
    <col min="30" max="33" width="16.33203125" style="482" customWidth="1"/>
    <col min="34" max="44" width="16.33203125" style="482" hidden="1" customWidth="1"/>
    <col min="45" max="45" width="11.6640625" style="482" customWidth="1"/>
    <col min="46" max="46" width="37.88671875" style="482" bestFit="1" customWidth="1"/>
    <col min="47" max="47" width="14.44140625" style="525" bestFit="1" customWidth="1"/>
    <col min="48" max="48" width="4.6640625" style="482" bestFit="1" customWidth="1"/>
    <col min="49" max="49" width="5" style="482" bestFit="1" customWidth="1"/>
    <col min="50" max="50" width="18.33203125" style="482" customWidth="1"/>
    <col min="51" max="51" width="17.109375" style="482" bestFit="1" customWidth="1"/>
    <col min="52" max="52" width="0.4414062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266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v>201310</v>
      </c>
      <c r="G3" s="484">
        <v>201311</v>
      </c>
      <c r="H3" s="484"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v>201502</v>
      </c>
      <c r="W3" s="484">
        <v>201503</v>
      </c>
      <c r="X3" s="484">
        <v>201504</v>
      </c>
      <c r="Y3" s="484">
        <v>201505</v>
      </c>
      <c r="Z3" s="484">
        <v>201506</v>
      </c>
      <c r="AA3" s="484">
        <v>201507</v>
      </c>
      <c r="AB3" s="484">
        <v>201508</v>
      </c>
      <c r="AC3" s="484">
        <v>201509</v>
      </c>
      <c r="AD3" s="484">
        <v>201510</v>
      </c>
      <c r="AE3" s="484">
        <v>201511</v>
      </c>
      <c r="AF3" s="484">
        <v>201512</v>
      </c>
      <c r="AG3" s="484">
        <v>201601</v>
      </c>
      <c r="AH3" s="484">
        <v>201602</v>
      </c>
      <c r="AI3" s="484">
        <v>201603</v>
      </c>
      <c r="AJ3" s="484">
        <v>201604</v>
      </c>
      <c r="AK3" s="484">
        <v>201605</v>
      </c>
      <c r="AL3" s="484">
        <v>201606</v>
      </c>
      <c r="AM3" s="484">
        <v>201607</v>
      </c>
      <c r="AN3" s="484">
        <v>201608</v>
      </c>
      <c r="AO3" s="484">
        <v>201609</v>
      </c>
      <c r="AP3" s="484">
        <v>201610</v>
      </c>
      <c r="AQ3" s="484">
        <v>201611</v>
      </c>
      <c r="AR3" s="484">
        <v>201612</v>
      </c>
      <c r="AU3" s="484"/>
    </row>
    <row r="4" spans="1:51" s="483" customFormat="1" ht="16.2" thickBot="1">
      <c r="B4" s="485" t="s">
        <v>257</v>
      </c>
      <c r="C4" s="482"/>
      <c r="E4" s="488">
        <v>3.2500000000000001E-2</v>
      </c>
      <c r="F4" s="488">
        <v>3.2500000000000001E-2</v>
      </c>
      <c r="G4" s="488">
        <v>3.2500000000000001E-2</v>
      </c>
      <c r="H4" s="488">
        <v>3.2500000000000001E-2</v>
      </c>
      <c r="I4" s="488">
        <v>3.2500000000000001E-2</v>
      </c>
      <c r="J4" s="488">
        <v>3.2500000000000001E-2</v>
      </c>
      <c r="K4" s="488">
        <v>3.2500000000000001E-2</v>
      </c>
      <c r="L4" s="488">
        <v>3.2500000000000001E-2</v>
      </c>
      <c r="M4" s="488">
        <v>3.2500000000000001E-2</v>
      </c>
      <c r="N4" s="488">
        <v>3.2500000000000001E-2</v>
      </c>
      <c r="O4" s="488">
        <v>3.2500000000000001E-2</v>
      </c>
      <c r="P4" s="488">
        <v>3.2500000000000001E-2</v>
      </c>
      <c r="Q4" s="488">
        <v>3.2500000000000001E-2</v>
      </c>
      <c r="R4" s="488">
        <v>3.2500000000000001E-2</v>
      </c>
      <c r="S4" s="488">
        <v>3.2500000000000001E-2</v>
      </c>
      <c r="T4" s="488">
        <v>3.2500000000000001E-2</v>
      </c>
      <c r="U4" s="488">
        <v>3.2500000000000001E-2</v>
      </c>
      <c r="V4" s="488">
        <v>3.2500000000000001E-2</v>
      </c>
      <c r="W4" s="488">
        <v>3.2500000000000001E-2</v>
      </c>
      <c r="X4" s="488">
        <v>3.2500000000000001E-2</v>
      </c>
      <c r="Y4" s="488">
        <v>3.2500000000000001E-2</v>
      </c>
      <c r="Z4" s="488">
        <v>3.2500000000000001E-2</v>
      </c>
      <c r="AA4" s="488">
        <v>3.2500000000000001E-2</v>
      </c>
      <c r="AB4" s="488">
        <v>3.2500000000000001E-2</v>
      </c>
      <c r="AC4" s="488">
        <v>3.2500000000000001E-2</v>
      </c>
      <c r="AD4" s="488">
        <v>3.2500000000000001E-2</v>
      </c>
      <c r="AE4" s="488">
        <v>3.2500000000000001E-2</v>
      </c>
      <c r="AF4" s="488">
        <v>3.2500000000000001E-2</v>
      </c>
      <c r="AG4" s="488">
        <v>3.2500000000000001E-2</v>
      </c>
      <c r="AH4" s="488">
        <v>3.2500000000000001E-2</v>
      </c>
      <c r="AI4" s="488">
        <v>3.2500000000000001E-2</v>
      </c>
      <c r="AJ4" s="488"/>
      <c r="AK4" s="488"/>
      <c r="AL4" s="488"/>
      <c r="AM4" s="488"/>
      <c r="AN4" s="488"/>
      <c r="AO4" s="488"/>
      <c r="AP4" s="488"/>
      <c r="AQ4" s="488"/>
      <c r="AR4" s="488"/>
      <c r="AT4" s="544">
        <v>201601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2497021.39</v>
      </c>
      <c r="F5" s="482">
        <v>2712780.2600000002</v>
      </c>
      <c r="G5" s="482">
        <v>2255013.9900000002</v>
      </c>
      <c r="H5" s="482">
        <v>-33498.738666789999</v>
      </c>
      <c r="I5" s="482">
        <v>-4220307.8686667895</v>
      </c>
      <c r="J5" s="482">
        <v>-4984433.4563877899</v>
      </c>
      <c r="K5" s="482">
        <v>-5871867.3473837869</v>
      </c>
      <c r="L5" s="482">
        <v>-5287493.0298517896</v>
      </c>
      <c r="M5" s="482">
        <v>-4882582.0171147902</v>
      </c>
      <c r="N5" s="482">
        <v>-4072260.114518791</v>
      </c>
      <c r="O5" s="482">
        <v>-3063910.5457287901</v>
      </c>
      <c r="P5" s="482">
        <v>-1998209.0562817894</v>
      </c>
      <c r="Q5" s="482">
        <v>-1241540.0398927876</v>
      </c>
      <c r="R5" s="482">
        <v>-752741.83775978826</v>
      </c>
      <c r="S5" s="482">
        <v>-587853.14358878916</v>
      </c>
      <c r="T5" s="482">
        <v>1779828.4686352164</v>
      </c>
      <c r="U5" s="482">
        <v>-165690.83250377711</v>
      </c>
      <c r="V5" s="482">
        <v>-1154882.2995837801</v>
      </c>
      <c r="W5" s="482">
        <v>-1694440.0214187815</v>
      </c>
      <c r="X5" s="482">
        <v>-683405.33395377884</v>
      </c>
      <c r="Y5" s="482">
        <v>-2769396.4708657796</v>
      </c>
      <c r="Z5" s="482">
        <v>-2940906.6891037785</v>
      </c>
      <c r="AA5" s="482">
        <v>-3112721.2246137792</v>
      </c>
      <c r="AB5" s="482">
        <v>-3464489.8670317773</v>
      </c>
      <c r="AC5" s="482">
        <v>-3555298.2266717753</v>
      </c>
      <c r="AD5" s="482">
        <v>-4755858.0107337767</v>
      </c>
      <c r="AE5" s="482">
        <v>-5900360.3440987766</v>
      </c>
      <c r="AF5" s="482">
        <v>-4407824.1695987741</v>
      </c>
      <c r="AG5" s="482">
        <v>-6508323.8685397729</v>
      </c>
      <c r="AH5" s="482">
        <v>-8432290.1232167743</v>
      </c>
      <c r="AI5" s="482">
        <v>-9258785.8466737736</v>
      </c>
      <c r="AJ5" s="482">
        <v>-6276292.1057247715</v>
      </c>
      <c r="AK5" s="482">
        <v>-6802334.2929667719</v>
      </c>
      <c r="AL5" s="482">
        <v>-6227083.131406771</v>
      </c>
      <c r="AM5" s="482">
        <v>-5870066.1574367722</v>
      </c>
      <c r="AN5" s="482">
        <v>-5716789.7203747705</v>
      </c>
      <c r="AO5" s="482">
        <v>-5321410.8920407686</v>
      </c>
      <c r="AP5" s="482">
        <v>-5777495.5951427706</v>
      </c>
      <c r="AQ5" s="482">
        <v>-5852764.363693771</v>
      </c>
      <c r="AR5" s="482">
        <v>-7463656.3398837689</v>
      </c>
      <c r="AT5" s="497" t="s">
        <v>294</v>
      </c>
      <c r="AU5" s="527">
        <v>419600</v>
      </c>
      <c r="AV5" s="498" t="s">
        <v>288</v>
      </c>
      <c r="AW5" s="498" t="s">
        <v>289</v>
      </c>
      <c r="AX5" s="519">
        <v>0</v>
      </c>
      <c r="AY5" s="520">
        <v>0</v>
      </c>
    </row>
    <row r="6" spans="1:51" ht="16.2">
      <c r="B6" s="481" t="s">
        <v>254</v>
      </c>
      <c r="C6" s="482">
        <v>-3642268.9923129925</v>
      </c>
      <c r="D6" s="482">
        <v>-7550270.0734567707</v>
      </c>
      <c r="E6" s="482">
        <v>-814688.69</v>
      </c>
      <c r="F6" s="482">
        <v>-726195.14</v>
      </c>
      <c r="G6" s="482">
        <v>-363626.87</v>
      </c>
      <c r="H6" s="482">
        <v>-1349424.41</v>
      </c>
      <c r="I6" s="482">
        <v>780719.13050599955</v>
      </c>
      <c r="J6" s="482">
        <v>666007.07733000256</v>
      </c>
      <c r="K6" s="482">
        <v>1165260.4529029969</v>
      </c>
      <c r="L6" s="482">
        <v>286815.84260799922</v>
      </c>
      <c r="M6" s="482">
        <v>-9385.0491200005636</v>
      </c>
      <c r="N6" s="482">
        <v>26985.713581000688</v>
      </c>
      <c r="O6" s="482">
        <v>-21317.404686999042</v>
      </c>
      <c r="P6" s="482">
        <v>-349090.61823999789</v>
      </c>
      <c r="Q6" s="482">
        <v>-532274.93525400059</v>
      </c>
      <c r="R6" s="482">
        <v>-727764.02710000053</v>
      </c>
      <c r="S6" s="482">
        <v>-2016344.4799999939</v>
      </c>
      <c r="T6" s="482">
        <v>-533760.94830399379</v>
      </c>
      <c r="U6" s="482">
        <v>688681.53940400109</v>
      </c>
      <c r="V6" s="482">
        <v>188634.08427399769</v>
      </c>
      <c r="W6" s="482">
        <v>1135107.4385570027</v>
      </c>
      <c r="X6" s="482">
        <v>-2310603.7085020011</v>
      </c>
      <c r="Y6" s="482">
        <v>-1026688.9535339989</v>
      </c>
      <c r="Z6" s="482">
        <v>-1511176.335440001</v>
      </c>
      <c r="AA6" s="482">
        <v>-1483614.197077998</v>
      </c>
      <c r="AB6" s="482">
        <v>-1288286.6270379988</v>
      </c>
      <c r="AC6" s="482">
        <v>-2088616.5970920017</v>
      </c>
      <c r="AD6" s="482">
        <v>-1862270.5500129997</v>
      </c>
      <c r="AE6" s="482">
        <v>-294955.25549999811</v>
      </c>
      <c r="AF6" s="482">
        <v>-532526.84243099857</v>
      </c>
      <c r="AG6" s="482">
        <v>-173856.58066100068</v>
      </c>
      <c r="AH6" s="482">
        <v>104271.67657900043</v>
      </c>
      <c r="AI6" s="482">
        <v>3155445.8915170026</v>
      </c>
      <c r="AJ6" s="482">
        <v>-731521.16344200075</v>
      </c>
      <c r="AK6" s="482">
        <v>-275383.91669399873</v>
      </c>
      <c r="AL6" s="482">
        <v>-980629.26678000088</v>
      </c>
      <c r="AM6" s="482">
        <v>-977679.20593799814</v>
      </c>
      <c r="AN6" s="482">
        <v>-801970.65527799854</v>
      </c>
      <c r="AO6" s="482">
        <v>-1342648.9440120016</v>
      </c>
      <c r="AP6" s="482">
        <v>-790814.72967299959</v>
      </c>
      <c r="AQ6" s="482">
        <v>-294955.25549999811</v>
      </c>
      <c r="AR6" s="482">
        <v>-532526.84243099857</v>
      </c>
      <c r="AT6" s="499" t="s">
        <v>295</v>
      </c>
      <c r="AU6" s="528">
        <v>431600</v>
      </c>
      <c r="AV6" s="358" t="s">
        <v>288</v>
      </c>
      <c r="AW6" s="358" t="s">
        <v>289</v>
      </c>
      <c r="AX6" s="381">
        <v>20204.72</v>
      </c>
      <c r="AY6" s="500">
        <v>0</v>
      </c>
    </row>
    <row r="7" spans="1:51" ht="16.2">
      <c r="B7" s="481" t="s">
        <v>255</v>
      </c>
      <c r="C7" s="482">
        <v>666775.93202799954</v>
      </c>
      <c r="D7" s="482">
        <v>1110916.7149170018</v>
      </c>
      <c r="E7" s="482">
        <v>1023402.16</v>
      </c>
      <c r="F7" s="482">
        <v>261710.75</v>
      </c>
      <c r="G7" s="482">
        <v>-780538.84</v>
      </c>
      <c r="H7" s="482">
        <v>-1676402.67</v>
      </c>
      <c r="I7" s="482">
        <v>-1532396.8182269996</v>
      </c>
      <c r="J7" s="482">
        <v>-1538759.6083259992</v>
      </c>
      <c r="K7" s="482">
        <v>-565794.93537099916</v>
      </c>
      <c r="L7" s="482">
        <v>131848.5201290003</v>
      </c>
      <c r="M7" s="482">
        <v>831816.90171599982</v>
      </c>
      <c r="N7" s="482">
        <v>991014.35520899994</v>
      </c>
      <c r="O7" s="482">
        <v>1093864.5741339996</v>
      </c>
      <c r="P7" s="482">
        <v>1110140.8646289995</v>
      </c>
      <c r="Q7" s="482">
        <v>1023770.0773869999</v>
      </c>
      <c r="R7" s="482">
        <v>894465.65127099957</v>
      </c>
      <c r="S7" s="482">
        <v>1314360.0922239996</v>
      </c>
      <c r="T7" s="482">
        <v>-1413941.2128349997</v>
      </c>
      <c r="U7" s="482">
        <v>-1606244.3564840001</v>
      </c>
      <c r="V7" s="482">
        <v>-724338.56610899908</v>
      </c>
      <c r="W7" s="482">
        <v>-120857.11109200004</v>
      </c>
      <c r="X7" s="482">
        <v>229663.83159000031</v>
      </c>
      <c r="Y7" s="482">
        <v>862900.97529599979</v>
      </c>
      <c r="Z7" s="482">
        <v>1347548.3399299998</v>
      </c>
      <c r="AA7" s="482">
        <v>1140740.15466</v>
      </c>
      <c r="AB7" s="482">
        <v>1206971.3773980001</v>
      </c>
      <c r="AC7" s="482">
        <v>899296.28302999982</v>
      </c>
      <c r="AD7" s="482">
        <v>732178.99664799974</v>
      </c>
      <c r="AE7" s="482">
        <v>-1315498.72</v>
      </c>
      <c r="AF7" s="482">
        <v>-1552771.3765099996</v>
      </c>
      <c r="AG7" s="482">
        <v>-1729904.9540159996</v>
      </c>
      <c r="AH7" s="482">
        <v>-906843.13003599993</v>
      </c>
      <c r="AI7" s="482">
        <v>-151943.51056800038</v>
      </c>
      <c r="AJ7" s="482">
        <v>205478.97620000015</v>
      </c>
      <c r="AK7" s="482">
        <v>850635.07825399959</v>
      </c>
      <c r="AL7" s="482">
        <v>1337646.2407499996</v>
      </c>
      <c r="AM7" s="482">
        <v>1130955.6430000002</v>
      </c>
      <c r="AN7" s="482">
        <v>1197349.4836119998</v>
      </c>
      <c r="AO7" s="482">
        <v>886564.2409099997</v>
      </c>
      <c r="AP7" s="482">
        <v>715545.96112199978</v>
      </c>
      <c r="AQ7" s="482">
        <v>-1315936.7206899999</v>
      </c>
      <c r="AR7" s="482">
        <v>-1552771.3765099996</v>
      </c>
      <c r="AT7" s="499" t="s">
        <v>296</v>
      </c>
      <c r="AU7" s="528">
        <v>191010</v>
      </c>
      <c r="AV7" s="358" t="s">
        <v>288</v>
      </c>
      <c r="AW7" s="358" t="s">
        <v>289</v>
      </c>
      <c r="AX7" s="381">
        <v>0</v>
      </c>
      <c r="AY7" s="500">
        <v>1923966.2546770002</v>
      </c>
    </row>
    <row r="8" spans="1:51" ht="16.2">
      <c r="B8" s="481" t="s">
        <v>258</v>
      </c>
      <c r="C8" s="482">
        <v>-65137.630000000005</v>
      </c>
      <c r="D8" s="482">
        <v>-68530.340000000011</v>
      </c>
      <c r="E8" s="482">
        <v>7045.4</v>
      </c>
      <c r="F8" s="482">
        <v>6718.12</v>
      </c>
      <c r="G8" s="482">
        <v>1454.73</v>
      </c>
      <c r="H8" s="537">
        <v>-4188.2</v>
      </c>
      <c r="I8" s="489">
        <v>-12447.9</v>
      </c>
      <c r="J8" s="489">
        <v>-14681.36</v>
      </c>
      <c r="K8" s="489">
        <v>-15091.2</v>
      </c>
      <c r="L8" s="489">
        <v>-13753.35</v>
      </c>
      <c r="M8" s="489">
        <v>-12109.95</v>
      </c>
      <c r="N8" s="489">
        <v>-9650.5</v>
      </c>
      <c r="O8" s="489">
        <v>-6845.68</v>
      </c>
      <c r="P8" s="489">
        <v>-4381.2299999999996</v>
      </c>
      <c r="Q8" s="489">
        <v>-2696.94</v>
      </c>
      <c r="R8" s="489">
        <v>-1812.93</v>
      </c>
      <c r="S8" s="559">
        <v>5755.39</v>
      </c>
      <c r="T8" s="489">
        <v>2182.86</v>
      </c>
      <c r="U8" s="489">
        <v>-1691.28</v>
      </c>
      <c r="V8" s="489">
        <v>-3853.24</v>
      </c>
      <c r="W8" s="489">
        <v>-3215.64</v>
      </c>
      <c r="X8" s="489">
        <v>-4669.8599999999997</v>
      </c>
      <c r="Y8" s="489">
        <v>-7722.24</v>
      </c>
      <c r="Z8" s="489">
        <v>-8186.54</v>
      </c>
      <c r="AA8" s="489">
        <v>-8894.6</v>
      </c>
      <c r="AB8" s="489">
        <v>-9493.11</v>
      </c>
      <c r="AC8" s="489">
        <v>-11239.47</v>
      </c>
      <c r="AD8" s="489">
        <v>-14410.78</v>
      </c>
      <c r="AE8" s="489">
        <v>-9730.68</v>
      </c>
      <c r="AF8" s="489">
        <v>-14761.7</v>
      </c>
      <c r="AG8" s="489">
        <v>-20204.72</v>
      </c>
      <c r="AH8" s="489">
        <v>-23924.27</v>
      </c>
      <c r="AI8" s="489">
        <v>-21008.639999999999</v>
      </c>
      <c r="AJ8" s="489">
        <v>0</v>
      </c>
      <c r="AK8" s="489">
        <v>0</v>
      </c>
      <c r="AL8" s="489">
        <v>0</v>
      </c>
      <c r="AM8" s="489">
        <v>0</v>
      </c>
      <c r="AN8" s="489">
        <v>0</v>
      </c>
      <c r="AO8" s="489">
        <v>0</v>
      </c>
      <c r="AP8" s="489">
        <v>0</v>
      </c>
      <c r="AQ8" s="489">
        <v>0</v>
      </c>
      <c r="AR8" s="489">
        <v>0</v>
      </c>
      <c r="AT8" s="499" t="s">
        <v>297</v>
      </c>
      <c r="AU8" s="528">
        <v>805120</v>
      </c>
      <c r="AV8" s="358" t="s">
        <v>288</v>
      </c>
      <c r="AW8" s="358" t="s">
        <v>289</v>
      </c>
      <c r="AX8" s="381">
        <v>1903761.5346770003</v>
      </c>
      <c r="AY8" s="500">
        <v>0</v>
      </c>
    </row>
    <row r="9" spans="1:51" ht="16.2">
      <c r="B9" s="481" t="s">
        <v>262</v>
      </c>
      <c r="C9" s="482">
        <v>0</v>
      </c>
      <c r="E9" s="482">
        <v>0</v>
      </c>
      <c r="F9" s="482">
        <v>0</v>
      </c>
      <c r="G9" s="490">
        <v>1383047.9967132099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1478321.29</v>
      </c>
      <c r="T9" s="482">
        <v>0</v>
      </c>
      <c r="U9" s="482">
        <v>-69937.37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7086535.71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528">
        <v>191010</v>
      </c>
      <c r="AV9" s="358" t="s">
        <v>288</v>
      </c>
      <c r="AW9" s="358" t="s">
        <v>289</v>
      </c>
      <c r="AX9" s="381">
        <v>0</v>
      </c>
      <c r="AY9" s="500">
        <v>0</v>
      </c>
    </row>
    <row r="10" spans="1:51" ht="16.8" thickBot="1">
      <c r="B10" s="481" t="s">
        <v>263</v>
      </c>
      <c r="C10" s="482">
        <v>0</v>
      </c>
      <c r="E10" s="482">
        <v>0</v>
      </c>
      <c r="F10" s="482">
        <v>0</v>
      </c>
      <c r="G10" s="490">
        <v>-2577820.6653800001</v>
      </c>
      <c r="H10" s="490">
        <v>-1111877.48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1484092.96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-4011333.16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">
        <v>11</v>
      </c>
      <c r="AU10" s="529">
        <v>191000</v>
      </c>
      <c r="AV10" s="529" t="s">
        <v>288</v>
      </c>
      <c r="AW10" s="529" t="s">
        <v>289</v>
      </c>
      <c r="AX10" s="503">
        <v>0</v>
      </c>
      <c r="AY10" s="521">
        <v>0</v>
      </c>
    </row>
    <row r="11" spans="1:51" ht="16.2" thickBot="1">
      <c r="B11" s="481" t="s">
        <v>264</v>
      </c>
      <c r="C11" s="482">
        <v>0</v>
      </c>
      <c r="E11" s="482">
        <v>0</v>
      </c>
      <c r="F11" s="482">
        <v>0</v>
      </c>
      <c r="G11" s="490">
        <v>48970.92</v>
      </c>
      <c r="H11" s="490">
        <v>-44916.37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101496.36</v>
      </c>
      <c r="T11" s="482">
        <v>0</v>
      </c>
      <c r="U11" s="482">
        <v>0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37518.67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v>0</v>
      </c>
    </row>
    <row r="12" spans="1:51">
      <c r="B12" s="481" t="s">
        <v>148</v>
      </c>
      <c r="C12" s="482"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0</v>
      </c>
      <c r="W12" s="482">
        <v>0</v>
      </c>
      <c r="X12" s="482">
        <v>-381.4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-0.39</v>
      </c>
      <c r="AF12" s="482">
        <v>-439.78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>
        <v>-3040630.6902849926</v>
      </c>
      <c r="D13" s="541"/>
      <c r="E13" s="541">
        <v>2712780.2600000002</v>
      </c>
      <c r="F13" s="541">
        <v>2255013.9900000002</v>
      </c>
      <c r="G13" s="541">
        <v>-33498.738666789999</v>
      </c>
      <c r="H13" s="541">
        <v>-4220307.8686667895</v>
      </c>
      <c r="I13" s="541">
        <v>-4984433.4563877899</v>
      </c>
      <c r="J13" s="541">
        <v>-5871867.3473837869</v>
      </c>
      <c r="K13" s="541">
        <v>-5287493.0298517896</v>
      </c>
      <c r="L13" s="541">
        <v>-4882582.0171147902</v>
      </c>
      <c r="M13" s="541">
        <v>-4072260.114518791</v>
      </c>
      <c r="N13" s="541">
        <v>-3063910.5457287901</v>
      </c>
      <c r="O13" s="541">
        <v>-1998209.0562817894</v>
      </c>
      <c r="P13" s="541">
        <v>-1241540.0398927876</v>
      </c>
      <c r="Q13" s="541">
        <v>-752741.83775978826</v>
      </c>
      <c r="R13" s="541">
        <v>-587853.14358878916</v>
      </c>
      <c r="S13" s="541">
        <v>1779828.4686352164</v>
      </c>
      <c r="T13" s="541">
        <v>-165690.83250377711</v>
      </c>
      <c r="U13" s="541">
        <v>-1154882.2995837759</v>
      </c>
      <c r="V13" s="541">
        <v>-1694440.0214187815</v>
      </c>
      <c r="W13" s="541">
        <v>-683405.33395377884</v>
      </c>
      <c r="X13" s="541">
        <v>-2769396.4708657796</v>
      </c>
      <c r="Y13" s="541">
        <v>-2940906.6891037785</v>
      </c>
      <c r="Z13" s="541">
        <v>-3112721.2246137792</v>
      </c>
      <c r="AA13" s="541">
        <v>-3464489.8670317773</v>
      </c>
      <c r="AB13" s="541">
        <v>-3555298.2266717753</v>
      </c>
      <c r="AC13" s="541">
        <v>-4755858.0107337767</v>
      </c>
      <c r="AD13" s="541">
        <v>-5900360.3440987766</v>
      </c>
      <c r="AE13" s="541">
        <v>-4407824.1695987741</v>
      </c>
      <c r="AF13" s="541">
        <v>-6508323.8685397729</v>
      </c>
      <c r="AG13" s="541">
        <v>-8432290.1232167743</v>
      </c>
      <c r="AH13" s="541">
        <v>-9258785.8466737736</v>
      </c>
      <c r="AI13" s="541">
        <v>-6276292.1057247715</v>
      </c>
      <c r="AJ13" s="541">
        <v>-6802334.2929667719</v>
      </c>
      <c r="AK13" s="541">
        <v>-6227083.131406771</v>
      </c>
      <c r="AL13" s="541">
        <v>-5870066.1574367722</v>
      </c>
      <c r="AM13" s="541">
        <v>-5716789.7203747705</v>
      </c>
      <c r="AN13" s="541">
        <v>-5321410.8920407686</v>
      </c>
      <c r="AO13" s="541">
        <v>-5777495.5951427706</v>
      </c>
      <c r="AP13" s="541">
        <v>-5852764.363693771</v>
      </c>
      <c r="AQ13" s="541">
        <v>-7463656.3398837689</v>
      </c>
      <c r="AR13" s="541">
        <v>-9548954.5588247664</v>
      </c>
    </row>
    <row r="14" spans="1:51" ht="16.2" thickTop="1">
      <c r="B14" s="481" t="s">
        <v>260</v>
      </c>
      <c r="E14" s="482">
        <v>2712780.25</v>
      </c>
      <c r="F14" s="482">
        <v>2255013.98</v>
      </c>
      <c r="G14" s="482">
        <v>-33498.75</v>
      </c>
      <c r="H14" s="482">
        <v>-4220307.88</v>
      </c>
      <c r="I14" s="482">
        <v>-4984433.47</v>
      </c>
      <c r="J14" s="482">
        <v>-5871867.3600000003</v>
      </c>
      <c r="K14" s="482">
        <v>-5287493.04</v>
      </c>
      <c r="L14" s="482">
        <v>-4882582.03</v>
      </c>
      <c r="M14" s="482">
        <v>-4072260.13</v>
      </c>
      <c r="N14" s="482">
        <v>-3063910.56</v>
      </c>
      <c r="O14" s="482">
        <v>-1998209.07</v>
      </c>
      <c r="P14" s="482">
        <v>-1241540.05</v>
      </c>
      <c r="Q14" s="482">
        <v>-752741.85</v>
      </c>
      <c r="R14" s="482">
        <v>-587853.16</v>
      </c>
      <c r="S14" s="482">
        <v>1779828.45</v>
      </c>
      <c r="T14" s="482">
        <v>-165690.85</v>
      </c>
      <c r="U14" s="482">
        <v>-1154882.3</v>
      </c>
      <c r="V14" s="482">
        <v>-1694440.02</v>
      </c>
      <c r="W14" s="482">
        <v>-683405.33</v>
      </c>
      <c r="X14" s="482">
        <v>-2769396.47</v>
      </c>
      <c r="Y14" s="482">
        <v>-2940906.69</v>
      </c>
      <c r="Z14" s="482">
        <v>-3112721.23</v>
      </c>
      <c r="AA14" s="482">
        <v>-3464489.87</v>
      </c>
      <c r="AB14" s="482">
        <v>-3555298.23</v>
      </c>
      <c r="AC14" s="482">
        <v>-4755858.01</v>
      </c>
      <c r="AD14" s="482">
        <v>-5900360.3399999999</v>
      </c>
      <c r="AE14" s="482">
        <v>-4407824.17</v>
      </c>
      <c r="AF14" s="482">
        <v>-6508323.8700000001</v>
      </c>
      <c r="AG14" s="482">
        <v>-8432290.1199999992</v>
      </c>
      <c r="AH14" s="482">
        <v>-8432290.1199999992</v>
      </c>
      <c r="AI14" s="482">
        <v>-8432290.1199999992</v>
      </c>
      <c r="AJ14" s="482">
        <v>0</v>
      </c>
      <c r="AK14" s="482">
        <v>0</v>
      </c>
      <c r="AL14" s="482">
        <v>0</v>
      </c>
      <c r="AM14" s="482">
        <v>0</v>
      </c>
      <c r="AN14" s="482">
        <v>0</v>
      </c>
      <c r="AO14" s="482">
        <v>0</v>
      </c>
      <c r="AP14" s="482">
        <v>0</v>
      </c>
      <c r="AQ14" s="482">
        <v>0</v>
      </c>
      <c r="AR14" s="482">
        <v>0</v>
      </c>
    </row>
    <row r="15" spans="1:51">
      <c r="B15" s="481" t="s">
        <v>245</v>
      </c>
      <c r="E15" s="482">
        <v>1.0000000242143869E-2</v>
      </c>
      <c r="F15" s="482">
        <v>1.0000000242143869E-2</v>
      </c>
      <c r="G15" s="482">
        <v>1.1333210000884719E-2</v>
      </c>
      <c r="H15" s="482">
        <v>1.133321039378643E-2</v>
      </c>
      <c r="I15" s="482">
        <v>1.3612209819257259E-2</v>
      </c>
      <c r="J15" s="482">
        <v>1.2616213411092758E-2</v>
      </c>
      <c r="K15" s="482">
        <v>1.0148210451006889E-2</v>
      </c>
      <c r="L15" s="482">
        <v>1.2885210104286671E-2</v>
      </c>
      <c r="M15" s="482">
        <v>1.5481208916753531E-2</v>
      </c>
      <c r="N15" s="482">
        <v>1.4271209947764874E-2</v>
      </c>
      <c r="O15" s="482">
        <v>1.3718210626393557E-2</v>
      </c>
      <c r="P15" s="482">
        <v>1.0107212467119098E-2</v>
      </c>
      <c r="Q15" s="482">
        <v>1.2240211712196469E-2</v>
      </c>
      <c r="R15" s="482">
        <v>1.6411210875958204E-2</v>
      </c>
      <c r="S15" s="482">
        <v>1.863521640188992E-2</v>
      </c>
      <c r="T15" s="482">
        <v>1.749622289207764E-2</v>
      </c>
      <c r="U15" s="482">
        <v>4.1622412391006947E-4</v>
      </c>
      <c r="V15" s="482">
        <v>-1.418781466782093E-3</v>
      </c>
      <c r="W15" s="482">
        <v>-3.9537788834422827E-3</v>
      </c>
      <c r="X15" s="482">
        <v>-8.6577935144305229E-4</v>
      </c>
      <c r="Y15" s="482">
        <v>8.9622149243950844E-4</v>
      </c>
      <c r="Z15" s="482">
        <v>5.3862207569181919E-3</v>
      </c>
      <c r="AA15" s="482">
        <v>2.9682228341698647E-3</v>
      </c>
      <c r="AB15" s="482">
        <v>3.3282246440649033E-3</v>
      </c>
      <c r="AC15" s="482">
        <v>-7.3377694934606552E-4</v>
      </c>
      <c r="AD15" s="482">
        <v>-4.0987767279148102E-3</v>
      </c>
      <c r="AE15" s="482">
        <v>4.0122587233781815E-4</v>
      </c>
      <c r="AF15" s="482">
        <v>1.4602271839976311E-3</v>
      </c>
      <c r="AG15" s="482">
        <v>-3.2167751342058182E-3</v>
      </c>
    </row>
    <row r="16" spans="1:51">
      <c r="A16" s="483" t="s">
        <v>268</v>
      </c>
    </row>
    <row r="17" spans="1:45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</row>
    <row r="18" spans="1:45">
      <c r="A18" s="484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v>201310</v>
      </c>
      <c r="G18" s="484">
        <v>201311</v>
      </c>
      <c r="H18" s="484"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v>201502</v>
      </c>
      <c r="W18" s="484">
        <v>201503</v>
      </c>
      <c r="X18" s="484">
        <v>201504</v>
      </c>
      <c r="Y18" s="484">
        <v>201505</v>
      </c>
      <c r="Z18" s="484">
        <v>201506</v>
      </c>
      <c r="AA18" s="484">
        <v>201507</v>
      </c>
      <c r="AB18" s="484">
        <v>201508</v>
      </c>
      <c r="AC18" s="484">
        <v>201509</v>
      </c>
      <c r="AD18" s="484">
        <v>201510</v>
      </c>
      <c r="AE18" s="484">
        <v>201511</v>
      </c>
      <c r="AF18" s="484">
        <v>201512</v>
      </c>
      <c r="AG18" s="484">
        <v>201601</v>
      </c>
      <c r="AH18" s="484">
        <v>201602</v>
      </c>
      <c r="AI18" s="484">
        <v>201603</v>
      </c>
      <c r="AJ18" s="484">
        <v>201604</v>
      </c>
      <c r="AK18" s="484">
        <v>201605</v>
      </c>
      <c r="AL18" s="484">
        <v>201606</v>
      </c>
      <c r="AM18" s="484">
        <v>201607</v>
      </c>
      <c r="AN18" s="484">
        <v>201608</v>
      </c>
      <c r="AO18" s="484">
        <v>201609</v>
      </c>
      <c r="AP18" s="484">
        <v>201610</v>
      </c>
      <c r="AQ18" s="484">
        <v>201611</v>
      </c>
      <c r="AR18" s="484">
        <v>201612</v>
      </c>
    </row>
    <row r="19" spans="1:45">
      <c r="A19" s="483"/>
      <c r="B19" s="481" t="s">
        <v>37</v>
      </c>
      <c r="C19" s="491">
        <v>34438012</v>
      </c>
      <c r="D19" s="491">
        <v>69272841</v>
      </c>
      <c r="E19" s="491">
        <v>2647538</v>
      </c>
      <c r="F19" s="491">
        <v>9244353</v>
      </c>
      <c r="G19" s="491">
        <v>15070678</v>
      </c>
      <c r="H19" s="491">
        <v>22636008</v>
      </c>
      <c r="I19" s="543">
        <v>20682450</v>
      </c>
      <c r="J19" s="543">
        <v>20184373</v>
      </c>
      <c r="K19" s="543">
        <v>14096743</v>
      </c>
      <c r="L19" s="543">
        <v>7776328</v>
      </c>
      <c r="M19" s="543">
        <v>3691303</v>
      </c>
      <c r="N19" s="543">
        <v>2545780</v>
      </c>
      <c r="O19" s="543">
        <v>2095088</v>
      </c>
      <c r="P19" s="543">
        <v>2047777</v>
      </c>
      <c r="Q19" s="543">
        <v>2727612</v>
      </c>
      <c r="R19" s="543">
        <v>4953664</v>
      </c>
      <c r="S19" s="543">
        <v>15823016</v>
      </c>
      <c r="T19" s="543">
        <v>19056609</v>
      </c>
      <c r="U19" s="543">
        <v>19909674</v>
      </c>
      <c r="V19" s="543">
        <v>13011547</v>
      </c>
      <c r="W19" s="543">
        <v>10479005</v>
      </c>
      <c r="X19" s="543">
        <v>7714478</v>
      </c>
      <c r="Y19" s="543">
        <v>3297360</v>
      </c>
      <c r="Z19" s="543">
        <v>1968489</v>
      </c>
      <c r="AA19" s="543">
        <v>2145139</v>
      </c>
      <c r="AB19" s="543">
        <v>1956853</v>
      </c>
      <c r="AC19" s="543">
        <v>3273457</v>
      </c>
      <c r="AD19" s="543">
        <v>4833518</v>
      </c>
      <c r="AE19" s="543">
        <v>15375028</v>
      </c>
      <c r="AF19" s="543">
        <v>19459801</v>
      </c>
      <c r="AG19" s="543">
        <v>20140968</v>
      </c>
      <c r="AH19" s="543">
        <v>14297044</v>
      </c>
      <c r="AI19" s="543"/>
      <c r="AJ19" s="543"/>
      <c r="AK19" s="543"/>
      <c r="AL19" s="543"/>
      <c r="AM19" s="543"/>
      <c r="AN19" s="543"/>
      <c r="AO19" s="543"/>
      <c r="AP19" s="543"/>
      <c r="AQ19" s="543"/>
      <c r="AR19" s="543"/>
    </row>
    <row r="20" spans="1:45">
      <c r="A20" s="483"/>
      <c r="B20" s="579" t="s">
        <v>332</v>
      </c>
      <c r="C20" s="491">
        <v>32486</v>
      </c>
      <c r="D20" s="491">
        <v>43930</v>
      </c>
      <c r="E20" s="491"/>
      <c r="F20" s="491"/>
      <c r="G20" s="491"/>
      <c r="H20" s="491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>
        <v>425</v>
      </c>
      <c r="AE20" s="543">
        <v>3502</v>
      </c>
      <c r="AF20" s="543">
        <v>7942</v>
      </c>
      <c r="AG20" s="543">
        <v>17893</v>
      </c>
      <c r="AH20" s="543">
        <v>14593</v>
      </c>
      <c r="AI20" s="543"/>
      <c r="AJ20" s="543"/>
      <c r="AK20" s="543"/>
      <c r="AL20" s="543"/>
      <c r="AM20" s="543"/>
      <c r="AN20" s="543"/>
      <c r="AO20" s="543"/>
      <c r="AP20" s="543"/>
      <c r="AQ20" s="543"/>
      <c r="AR20" s="543"/>
    </row>
    <row r="21" spans="1:45">
      <c r="A21" s="483"/>
      <c r="B21" s="481" t="s">
        <v>38</v>
      </c>
      <c r="C21" s="491">
        <v>11768846</v>
      </c>
      <c r="D21" s="491">
        <v>23438298</v>
      </c>
      <c r="E21" s="491">
        <v>1599551</v>
      </c>
      <c r="F21" s="491">
        <v>3880001</v>
      </c>
      <c r="G21" s="491">
        <v>5651303</v>
      </c>
      <c r="H21" s="491">
        <v>7518125</v>
      </c>
      <c r="I21" s="543">
        <v>7025543</v>
      </c>
      <c r="J21" s="543">
        <v>6903553</v>
      </c>
      <c r="K21" s="543">
        <v>5310734</v>
      </c>
      <c r="L21" s="543">
        <v>3390429</v>
      </c>
      <c r="M21" s="543">
        <v>2183609</v>
      </c>
      <c r="N21" s="543">
        <v>1741655</v>
      </c>
      <c r="O21" s="543">
        <v>1476567</v>
      </c>
      <c r="P21" s="543">
        <v>1364087</v>
      </c>
      <c r="Q21" s="543">
        <v>1739755</v>
      </c>
      <c r="R21" s="543">
        <v>2776031</v>
      </c>
      <c r="S21" s="543">
        <v>6141604</v>
      </c>
      <c r="T21" s="543">
        <v>6045485</v>
      </c>
      <c r="U21" s="543">
        <v>6173752</v>
      </c>
      <c r="V21" s="543">
        <v>5630395</v>
      </c>
      <c r="W21" s="543">
        <v>4030672</v>
      </c>
      <c r="X21" s="543">
        <v>3448422</v>
      </c>
      <c r="Y21" s="543">
        <v>1901440</v>
      </c>
      <c r="Z21" s="543">
        <v>1561904</v>
      </c>
      <c r="AA21" s="543">
        <v>1323231</v>
      </c>
      <c r="AB21" s="543">
        <v>1284422</v>
      </c>
      <c r="AC21" s="543">
        <v>1854848</v>
      </c>
      <c r="AD21" s="543">
        <v>2624293</v>
      </c>
      <c r="AE21" s="543">
        <v>5503520</v>
      </c>
      <c r="AF21" s="543">
        <v>6165932</v>
      </c>
      <c r="AG21" s="543">
        <v>6568112</v>
      </c>
      <c r="AH21" s="543">
        <v>5200734</v>
      </c>
      <c r="AI21" s="543"/>
      <c r="AJ21" s="543"/>
      <c r="AK21" s="543"/>
      <c r="AL21" s="543"/>
      <c r="AM21" s="543"/>
      <c r="AN21" s="543"/>
      <c r="AO21" s="543"/>
      <c r="AP21" s="543"/>
      <c r="AQ21" s="543"/>
      <c r="AR21" s="543"/>
    </row>
    <row r="22" spans="1:45" hidden="1">
      <c r="A22" s="483"/>
      <c r="B22" s="481" t="s">
        <v>39</v>
      </c>
      <c r="C22" s="491"/>
      <c r="D22" s="491"/>
      <c r="E22" s="491">
        <v>0</v>
      </c>
      <c r="F22" s="491">
        <v>0</v>
      </c>
      <c r="G22" s="491">
        <v>0</v>
      </c>
      <c r="H22" s="491">
        <v>0</v>
      </c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</row>
    <row r="23" spans="1:45">
      <c r="A23" s="483"/>
      <c r="B23" s="481" t="s">
        <v>40</v>
      </c>
      <c r="C23" s="491">
        <v>691726</v>
      </c>
      <c r="D23" s="491">
        <v>1564904</v>
      </c>
      <c r="E23" s="491">
        <v>344046</v>
      </c>
      <c r="F23" s="491">
        <v>595792</v>
      </c>
      <c r="G23" s="491">
        <v>396185</v>
      </c>
      <c r="H23" s="491">
        <v>588721</v>
      </c>
      <c r="I23" s="543">
        <v>534459</v>
      </c>
      <c r="J23" s="543">
        <v>540817</v>
      </c>
      <c r="K23" s="543">
        <v>425342</v>
      </c>
      <c r="L23" s="543">
        <v>407197</v>
      </c>
      <c r="M23" s="543">
        <v>340947</v>
      </c>
      <c r="N23" s="543">
        <v>361843</v>
      </c>
      <c r="O23" s="543">
        <v>251184</v>
      </c>
      <c r="P23" s="543">
        <v>332621</v>
      </c>
      <c r="Q23" s="543">
        <v>330926</v>
      </c>
      <c r="R23" s="543">
        <v>483057</v>
      </c>
      <c r="S23" s="543">
        <v>518418</v>
      </c>
      <c r="T23" s="543">
        <v>377457</v>
      </c>
      <c r="U23" s="543">
        <v>513680</v>
      </c>
      <c r="V23" s="543">
        <v>431734</v>
      </c>
      <c r="W23" s="543">
        <v>335852</v>
      </c>
      <c r="X23" s="543">
        <v>432834</v>
      </c>
      <c r="Y23" s="543">
        <v>249954</v>
      </c>
      <c r="Z23" s="543">
        <v>322862</v>
      </c>
      <c r="AA23" s="543">
        <v>247078</v>
      </c>
      <c r="AB23" s="543">
        <v>274690</v>
      </c>
      <c r="AC23" s="543">
        <v>336073</v>
      </c>
      <c r="AD23" s="543">
        <v>365802</v>
      </c>
      <c r="AE23" s="543">
        <v>541377</v>
      </c>
      <c r="AF23" s="543">
        <v>331801</v>
      </c>
      <c r="AG23" s="543">
        <v>345863</v>
      </c>
      <c r="AH23" s="543">
        <v>345863</v>
      </c>
      <c r="AI23" s="543"/>
      <c r="AJ23" s="543"/>
      <c r="AK23" s="543"/>
      <c r="AL23" s="543"/>
      <c r="AM23" s="543"/>
      <c r="AN23" s="543"/>
      <c r="AO23" s="543"/>
      <c r="AP23" s="543"/>
      <c r="AQ23" s="543"/>
      <c r="AR23" s="543"/>
    </row>
    <row r="24" spans="1:45" hidden="1">
      <c r="A24" s="483"/>
      <c r="B24" s="481" t="s">
        <v>41</v>
      </c>
      <c r="C24" s="491">
        <v>0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</row>
    <row r="25" spans="1:45">
      <c r="A25" s="483"/>
      <c r="B25" s="481" t="s">
        <v>42</v>
      </c>
      <c r="C25" s="491">
        <v>0</v>
      </c>
      <c r="D25" s="491">
        <v>0</v>
      </c>
      <c r="E25" s="491">
        <v>0</v>
      </c>
      <c r="F25" s="491">
        <v>0</v>
      </c>
      <c r="G25" s="491">
        <v>0</v>
      </c>
      <c r="H25" s="491">
        <v>0</v>
      </c>
      <c r="I25" s="543">
        <v>0</v>
      </c>
      <c r="J25" s="543">
        <v>0</v>
      </c>
      <c r="K25" s="543">
        <v>0</v>
      </c>
      <c r="L25" s="543">
        <v>0</v>
      </c>
      <c r="M25" s="543">
        <v>0</v>
      </c>
      <c r="N25" s="543">
        <v>0</v>
      </c>
      <c r="O25" s="543">
        <v>0</v>
      </c>
      <c r="P25" s="543">
        <v>0</v>
      </c>
      <c r="Q25" s="543">
        <v>0</v>
      </c>
      <c r="R25" s="543">
        <v>0</v>
      </c>
      <c r="S25" s="543">
        <v>0</v>
      </c>
      <c r="T25" s="543">
        <v>0</v>
      </c>
      <c r="U25" s="543">
        <v>0</v>
      </c>
      <c r="V25" s="543">
        <v>0</v>
      </c>
      <c r="W25" s="543">
        <v>0</v>
      </c>
      <c r="X25" s="543">
        <v>0</v>
      </c>
      <c r="Y25" s="543">
        <v>0</v>
      </c>
      <c r="Z25" s="543">
        <v>0</v>
      </c>
      <c r="AA25" s="543">
        <v>0</v>
      </c>
      <c r="AB25" s="543">
        <v>0</v>
      </c>
      <c r="AC25" s="543">
        <v>0</v>
      </c>
      <c r="AD25" s="543">
        <v>0</v>
      </c>
      <c r="AE25" s="543">
        <v>0</v>
      </c>
      <c r="AF25" s="543">
        <v>0</v>
      </c>
      <c r="AG25" s="543">
        <v>0</v>
      </c>
      <c r="AH25" s="543">
        <v>0</v>
      </c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</row>
    <row r="26" spans="1:45" hidden="1">
      <c r="A26" s="483"/>
      <c r="B26" s="481" t="s">
        <v>43</v>
      </c>
      <c r="C26" s="491">
        <v>0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</row>
    <row r="27" spans="1:45">
      <c r="A27" s="483"/>
      <c r="B27" s="481" t="s">
        <v>74</v>
      </c>
      <c r="C27" s="491">
        <v>6302982</v>
      </c>
      <c r="D27" s="491">
        <v>12644224</v>
      </c>
      <c r="E27" s="491">
        <v>1818699</v>
      </c>
      <c r="F27" s="491">
        <v>2531895</v>
      </c>
      <c r="G27" s="491">
        <v>2936207</v>
      </c>
      <c r="H27" s="491">
        <v>3675604</v>
      </c>
      <c r="I27" s="543">
        <v>3517013</v>
      </c>
      <c r="J27" s="543">
        <v>3103551</v>
      </c>
      <c r="K27" s="543">
        <v>2882510</v>
      </c>
      <c r="L27" s="543">
        <v>2426511</v>
      </c>
      <c r="M27" s="543">
        <v>2096539</v>
      </c>
      <c r="N27" s="543">
        <v>1865473</v>
      </c>
      <c r="O27" s="543">
        <v>1934510</v>
      </c>
      <c r="P27" s="543">
        <v>1781233</v>
      </c>
      <c r="Q27" s="543">
        <v>1975142</v>
      </c>
      <c r="R27" s="543">
        <v>2307678</v>
      </c>
      <c r="S27" s="543">
        <v>3052956</v>
      </c>
      <c r="T27" s="543">
        <v>3180451</v>
      </c>
      <c r="U27" s="543">
        <v>3286166</v>
      </c>
      <c r="V27" s="543">
        <v>2735718</v>
      </c>
      <c r="W27" s="543">
        <v>2608561</v>
      </c>
      <c r="X27" s="543">
        <v>2436951</v>
      </c>
      <c r="Y27" s="543">
        <v>2203136</v>
      </c>
      <c r="Z27" s="543">
        <v>1941783</v>
      </c>
      <c r="AA27" s="543">
        <v>1912819</v>
      </c>
      <c r="AB27" s="543">
        <v>1943542</v>
      </c>
      <c r="AC27" s="543">
        <v>1945064</v>
      </c>
      <c r="AD27" s="543">
        <v>2201297</v>
      </c>
      <c r="AE27" s="543">
        <v>3020174</v>
      </c>
      <c r="AF27" s="543">
        <v>3321068</v>
      </c>
      <c r="AG27" s="543">
        <v>3346687</v>
      </c>
      <c r="AH27" s="543">
        <v>2956295</v>
      </c>
      <c r="AI27" s="543"/>
      <c r="AJ27" s="543"/>
      <c r="AK27" s="543"/>
      <c r="AL27" s="543"/>
      <c r="AM27" s="543"/>
      <c r="AN27" s="543"/>
      <c r="AO27" s="543"/>
      <c r="AP27" s="543"/>
      <c r="AQ27" s="543"/>
      <c r="AR27" s="543"/>
    </row>
    <row r="28" spans="1:45" ht="16.8" thickBot="1">
      <c r="A28" s="483"/>
      <c r="B28" s="481" t="s">
        <v>21</v>
      </c>
      <c r="C28" s="491">
        <v>53234052</v>
      </c>
      <c r="D28" s="542">
        <v>179344916</v>
      </c>
      <c r="E28" s="542">
        <v>6409834</v>
      </c>
      <c r="F28" s="542">
        <v>16252041</v>
      </c>
      <c r="G28" s="542">
        <v>24054373</v>
      </c>
      <c r="H28" s="542">
        <v>34418458</v>
      </c>
      <c r="I28" s="542">
        <v>31759465</v>
      </c>
      <c r="J28" s="542">
        <v>30732294</v>
      </c>
      <c r="K28" s="542">
        <v>22715329</v>
      </c>
      <c r="L28" s="542">
        <v>14000465</v>
      </c>
      <c r="M28" s="542">
        <v>8312398</v>
      </c>
      <c r="N28" s="542">
        <v>6514751</v>
      </c>
      <c r="O28" s="542">
        <v>5757349</v>
      </c>
      <c r="P28" s="542">
        <v>5525718</v>
      </c>
      <c r="Q28" s="542">
        <v>6773435</v>
      </c>
      <c r="R28" s="542">
        <v>10520430</v>
      </c>
      <c r="S28" s="542">
        <v>25535994</v>
      </c>
      <c r="T28" s="542">
        <v>28660002</v>
      </c>
      <c r="U28" s="542">
        <v>29883272</v>
      </c>
      <c r="V28" s="542">
        <v>21809394</v>
      </c>
      <c r="W28" s="542">
        <v>17454090</v>
      </c>
      <c r="X28" s="542">
        <v>14032685</v>
      </c>
      <c r="Y28" s="542">
        <v>7651890</v>
      </c>
      <c r="Z28" s="542">
        <v>5795038</v>
      </c>
      <c r="AA28" s="542">
        <v>5628267</v>
      </c>
      <c r="AB28" s="542">
        <v>5459507</v>
      </c>
      <c r="AC28" s="542">
        <v>7409442</v>
      </c>
      <c r="AD28" s="542">
        <v>10025335</v>
      </c>
      <c r="AE28" s="542">
        <v>24443601</v>
      </c>
      <c r="AF28" s="542">
        <v>29286544</v>
      </c>
      <c r="AG28" s="542">
        <v>30419523</v>
      </c>
      <c r="AH28" s="542">
        <v>22814529</v>
      </c>
      <c r="AI28" s="542">
        <v>0</v>
      </c>
      <c r="AJ28" s="542">
        <v>0</v>
      </c>
      <c r="AK28" s="542">
        <v>0</v>
      </c>
      <c r="AL28" s="542">
        <v>0</v>
      </c>
      <c r="AM28" s="542">
        <v>0</v>
      </c>
      <c r="AN28" s="542">
        <v>0</v>
      </c>
      <c r="AO28" s="542">
        <v>0</v>
      </c>
      <c r="AP28" s="542">
        <v>0</v>
      </c>
      <c r="AQ28" s="542">
        <v>0</v>
      </c>
      <c r="AR28" s="542">
        <v>0</v>
      </c>
    </row>
    <row r="29" spans="1:45" ht="16.2" thickTop="1">
      <c r="A29" s="483"/>
      <c r="B29" s="481" t="s">
        <v>269</v>
      </c>
      <c r="C29" s="491">
        <v>30419523</v>
      </c>
      <c r="D29" s="491">
        <v>179344916</v>
      </c>
      <c r="E29" s="491">
        <v>6409834</v>
      </c>
      <c r="F29" s="491">
        <v>16252041</v>
      </c>
      <c r="G29" s="491">
        <v>24054373</v>
      </c>
      <c r="H29" s="491">
        <v>34418458</v>
      </c>
      <c r="I29" s="491">
        <v>31759465</v>
      </c>
      <c r="J29" s="491">
        <v>30732294</v>
      </c>
      <c r="K29" s="491">
        <v>22715329</v>
      </c>
      <c r="L29" s="491">
        <v>14000465</v>
      </c>
      <c r="M29" s="491">
        <v>8312398</v>
      </c>
      <c r="N29" s="491">
        <v>6514751</v>
      </c>
      <c r="O29" s="491">
        <v>5757349</v>
      </c>
      <c r="P29" s="491">
        <v>5525718</v>
      </c>
      <c r="Q29" s="491">
        <v>6773435</v>
      </c>
      <c r="R29" s="491">
        <v>10520430</v>
      </c>
      <c r="S29" s="491">
        <v>25535994</v>
      </c>
      <c r="T29" s="491">
        <v>28660002</v>
      </c>
      <c r="U29" s="491">
        <v>29883272</v>
      </c>
      <c r="V29" s="491">
        <v>21809394</v>
      </c>
      <c r="W29" s="491">
        <v>17454090</v>
      </c>
      <c r="X29" s="491">
        <v>14032685</v>
      </c>
      <c r="Y29" s="491">
        <v>7651890</v>
      </c>
      <c r="Z29" s="491">
        <v>5795038</v>
      </c>
      <c r="AA29" s="491">
        <v>5628267</v>
      </c>
      <c r="AB29" s="575">
        <v>5459507</v>
      </c>
      <c r="AC29" s="491">
        <v>7409442</v>
      </c>
      <c r="AD29" s="491">
        <v>10025335</v>
      </c>
      <c r="AE29" s="491">
        <v>24443601</v>
      </c>
      <c r="AF29" s="491">
        <v>29286544</v>
      </c>
      <c r="AG29" s="491">
        <v>30419523</v>
      </c>
      <c r="AH29" s="491"/>
      <c r="AI29" s="491"/>
      <c r="AJ29" s="491"/>
      <c r="AK29" s="491"/>
      <c r="AL29" s="491"/>
      <c r="AM29" s="491"/>
      <c r="AN29" s="491"/>
      <c r="AO29" s="491"/>
      <c r="AP29" s="491"/>
      <c r="AQ29" s="491"/>
      <c r="AR29" s="491"/>
      <c r="AS29" s="491"/>
    </row>
    <row r="30" spans="1:45">
      <c r="A30" s="483" t="s">
        <v>22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</row>
    <row r="31" spans="1:45">
      <c r="A31" s="484">
        <v>191000</v>
      </c>
      <c r="B31" s="485" t="s">
        <v>256</v>
      </c>
      <c r="E31" s="484">
        <v>201309</v>
      </c>
      <c r="F31" s="484">
        <v>201310</v>
      </c>
      <c r="G31" s="484">
        <v>201311</v>
      </c>
      <c r="H31" s="484">
        <v>201312</v>
      </c>
      <c r="I31" s="484">
        <v>201401</v>
      </c>
      <c r="J31" s="484">
        <v>201402</v>
      </c>
      <c r="K31" s="484">
        <v>201403</v>
      </c>
      <c r="L31" s="484">
        <v>201404</v>
      </c>
      <c r="M31" s="484">
        <v>201405</v>
      </c>
      <c r="N31" s="484">
        <v>201406</v>
      </c>
      <c r="O31" s="484">
        <v>201407</v>
      </c>
      <c r="P31" s="484">
        <v>201408</v>
      </c>
      <c r="Q31" s="484">
        <v>201409</v>
      </c>
      <c r="R31" s="484">
        <v>201410</v>
      </c>
      <c r="S31" s="484">
        <v>201411</v>
      </c>
      <c r="T31" s="484">
        <v>201412</v>
      </c>
      <c r="U31" s="484">
        <v>201501</v>
      </c>
      <c r="V31" s="484">
        <v>201502</v>
      </c>
      <c r="W31" s="484">
        <v>201503</v>
      </c>
      <c r="X31" s="484">
        <v>201504</v>
      </c>
      <c r="Y31" s="484">
        <v>201505</v>
      </c>
      <c r="Z31" s="484">
        <v>201506</v>
      </c>
      <c r="AA31" s="484">
        <v>201507</v>
      </c>
      <c r="AB31" s="484">
        <v>201508</v>
      </c>
      <c r="AC31" s="484">
        <v>201509</v>
      </c>
      <c r="AD31" s="484">
        <v>201510</v>
      </c>
      <c r="AE31" s="484">
        <v>201511</v>
      </c>
      <c r="AF31" s="484">
        <v>201512</v>
      </c>
      <c r="AG31" s="484">
        <v>201601</v>
      </c>
      <c r="AH31" s="484">
        <v>201602</v>
      </c>
      <c r="AI31" s="484">
        <v>201603</v>
      </c>
      <c r="AJ31" s="484">
        <v>201604</v>
      </c>
      <c r="AK31" s="484">
        <v>201605</v>
      </c>
      <c r="AL31" s="484">
        <v>201606</v>
      </c>
      <c r="AM31" s="484">
        <v>201607</v>
      </c>
      <c r="AN31" s="484">
        <v>201608</v>
      </c>
      <c r="AO31" s="484">
        <v>201609</v>
      </c>
      <c r="AP31" s="484">
        <v>201610</v>
      </c>
      <c r="AQ31" s="484">
        <v>201611</v>
      </c>
      <c r="AR31" s="484">
        <v>201612</v>
      </c>
    </row>
    <row r="32" spans="1:45">
      <c r="A32" s="483"/>
      <c r="B32" s="481" t="s">
        <v>37</v>
      </c>
      <c r="E32" s="492">
        <v>3.3950000000000001E-2</v>
      </c>
      <c r="F32" s="492">
        <v>3.3950000000000001E-2</v>
      </c>
      <c r="G32" s="496" t="s">
        <v>270</v>
      </c>
      <c r="H32" s="496" t="s">
        <v>270</v>
      </c>
      <c r="I32" s="492">
        <v>-2.9299999999999999E-3</v>
      </c>
      <c r="J32" s="492">
        <v>-2.9299999999999999E-3</v>
      </c>
      <c r="K32" s="492">
        <v>-2.9299999999999999E-3</v>
      </c>
      <c r="L32" s="492">
        <v>-2.9299999999999999E-3</v>
      </c>
      <c r="M32" s="492">
        <v>-2.9299999999999999E-3</v>
      </c>
      <c r="N32" s="492">
        <v>-2.9299999999999999E-3</v>
      </c>
      <c r="O32" s="492">
        <v>-2.9299999999999999E-3</v>
      </c>
      <c r="P32" s="492">
        <v>-2.9299999999999999E-3</v>
      </c>
      <c r="Q32" s="492">
        <v>-2.9299999999999999E-3</v>
      </c>
      <c r="R32" s="492">
        <v>-2.9299999999999999E-3</v>
      </c>
      <c r="S32" s="496" t="s">
        <v>270</v>
      </c>
      <c r="T32" s="496" t="s">
        <v>270</v>
      </c>
      <c r="U32" s="492">
        <v>1.436E-2</v>
      </c>
      <c r="V32" s="492">
        <v>1.436E-2</v>
      </c>
      <c r="W32" s="492">
        <v>1.436E-2</v>
      </c>
      <c r="X32" s="492">
        <v>1.436E-2</v>
      </c>
      <c r="Y32" s="492">
        <v>1.436E-2</v>
      </c>
      <c r="Z32" s="492">
        <v>1.436E-2</v>
      </c>
      <c r="AA32" s="492">
        <v>1.436E-2</v>
      </c>
      <c r="AB32" s="492">
        <v>1.436E-2</v>
      </c>
      <c r="AC32" s="492">
        <v>1.436E-2</v>
      </c>
      <c r="AD32" s="492">
        <v>1.436E-2</v>
      </c>
      <c r="AE32" s="496" t="s">
        <v>335</v>
      </c>
      <c r="AF32" s="496" t="s">
        <v>335</v>
      </c>
      <c r="AG32" s="496">
        <v>2.571E-2</v>
      </c>
      <c r="AH32" s="496">
        <v>2.571E-2</v>
      </c>
      <c r="AI32" s="496">
        <v>2.571E-2</v>
      </c>
      <c r="AJ32" s="496">
        <v>2.571E-2</v>
      </c>
      <c r="AK32" s="496">
        <v>2.571E-2</v>
      </c>
      <c r="AL32" s="496">
        <v>2.571E-2</v>
      </c>
      <c r="AM32" s="496">
        <v>2.571E-2</v>
      </c>
      <c r="AN32" s="496">
        <v>2.571E-2</v>
      </c>
      <c r="AO32" s="496">
        <v>2.571E-2</v>
      </c>
      <c r="AP32" s="496">
        <v>2.571E-2</v>
      </c>
      <c r="AQ32" s="496" t="s">
        <v>335</v>
      </c>
      <c r="AR32" s="496" t="s">
        <v>335</v>
      </c>
    </row>
    <row r="33" spans="1:51">
      <c r="A33" s="483"/>
      <c r="B33" s="579" t="s">
        <v>333</v>
      </c>
      <c r="E33" s="492"/>
      <c r="F33" s="492"/>
      <c r="G33" s="496"/>
      <c r="H33" s="496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6"/>
      <c r="T33" s="496"/>
      <c r="U33" s="492"/>
      <c r="V33" s="492"/>
      <c r="W33" s="492"/>
      <c r="X33" s="492"/>
      <c r="Y33" s="492"/>
      <c r="Z33" s="492"/>
      <c r="AA33" s="492"/>
      <c r="AB33" s="492"/>
      <c r="AC33" s="492"/>
      <c r="AD33" s="578">
        <v>1.436E-2</v>
      </c>
      <c r="AE33" s="496" t="s">
        <v>335</v>
      </c>
      <c r="AF33" s="496" t="s">
        <v>335</v>
      </c>
      <c r="AG33" s="496">
        <v>2.571E-2</v>
      </c>
      <c r="AH33" s="496">
        <v>2.571E-2</v>
      </c>
      <c r="AI33" s="496">
        <v>2.571E-2</v>
      </c>
      <c r="AJ33" s="496">
        <v>2.571E-2</v>
      </c>
      <c r="AK33" s="496">
        <v>2.571E-2</v>
      </c>
      <c r="AL33" s="496">
        <v>2.571E-2</v>
      </c>
      <c r="AM33" s="496">
        <v>2.571E-2</v>
      </c>
      <c r="AN33" s="496">
        <v>2.571E-2</v>
      </c>
      <c r="AO33" s="496">
        <v>2.571E-2</v>
      </c>
      <c r="AP33" s="496">
        <v>2.571E-2</v>
      </c>
      <c r="AQ33" s="496" t="s">
        <v>335</v>
      </c>
      <c r="AR33" s="496" t="s">
        <v>335</v>
      </c>
    </row>
    <row r="34" spans="1:51">
      <c r="A34" s="483"/>
      <c r="B34" s="481" t="s">
        <v>38</v>
      </c>
      <c r="E34" s="492">
        <v>3.0599999999999999E-2</v>
      </c>
      <c r="F34" s="492">
        <v>3.0599999999999999E-2</v>
      </c>
      <c r="G34" s="496" t="s">
        <v>270</v>
      </c>
      <c r="H34" s="496" t="s">
        <v>270</v>
      </c>
      <c r="I34" s="492">
        <v>-5.5599999999999998E-3</v>
      </c>
      <c r="J34" s="492">
        <v>-5.5599999999999998E-3</v>
      </c>
      <c r="K34" s="492">
        <v>-5.5599999999999998E-3</v>
      </c>
      <c r="L34" s="492">
        <v>-5.5599999999999998E-3</v>
      </c>
      <c r="M34" s="492">
        <v>-5.5599999999999998E-3</v>
      </c>
      <c r="N34" s="492">
        <v>-5.5599999999999998E-3</v>
      </c>
      <c r="O34" s="492">
        <v>-5.5599999999999998E-3</v>
      </c>
      <c r="P34" s="492">
        <v>-5.5599999999999998E-3</v>
      </c>
      <c r="Q34" s="492">
        <v>-5.5599999999999998E-3</v>
      </c>
      <c r="R34" s="492">
        <v>-5.5599999999999998E-3</v>
      </c>
      <c r="S34" s="496" t="s">
        <v>270</v>
      </c>
      <c r="T34" s="496" t="s">
        <v>270</v>
      </c>
      <c r="U34" s="492">
        <v>8.0800000000000004E-3</v>
      </c>
      <c r="V34" s="492">
        <v>8.0800000000000004E-3</v>
      </c>
      <c r="W34" s="492">
        <v>8.0800000000000004E-3</v>
      </c>
      <c r="X34" s="492">
        <v>8.0800000000000004E-3</v>
      </c>
      <c r="Y34" s="492">
        <v>8.0800000000000004E-3</v>
      </c>
      <c r="Z34" s="492">
        <v>8.0800000000000004E-3</v>
      </c>
      <c r="AA34" s="492">
        <v>8.0800000000000004E-3</v>
      </c>
      <c r="AB34" s="492">
        <v>8.0800000000000004E-3</v>
      </c>
      <c r="AC34" s="492">
        <v>8.0800000000000004E-3</v>
      </c>
      <c r="AD34" s="492">
        <v>8.0800000000000004E-3</v>
      </c>
      <c r="AE34" s="496" t="s">
        <v>335</v>
      </c>
      <c r="AF34" s="496" t="s">
        <v>335</v>
      </c>
      <c r="AG34" s="496">
        <v>1.372E-2</v>
      </c>
      <c r="AH34" s="496">
        <v>1.372E-2</v>
      </c>
      <c r="AI34" s="496">
        <v>1.372E-2</v>
      </c>
      <c r="AJ34" s="496">
        <v>1.372E-2</v>
      </c>
      <c r="AK34" s="496">
        <v>1.372E-2</v>
      </c>
      <c r="AL34" s="496">
        <v>1.372E-2</v>
      </c>
      <c r="AM34" s="496">
        <v>1.372E-2</v>
      </c>
      <c r="AN34" s="496">
        <v>1.372E-2</v>
      </c>
      <c r="AO34" s="496">
        <v>1.372E-2</v>
      </c>
      <c r="AP34" s="496">
        <v>1.372E-2</v>
      </c>
      <c r="AQ34" s="496" t="s">
        <v>335</v>
      </c>
      <c r="AR34" s="496" t="s">
        <v>335</v>
      </c>
    </row>
    <row r="35" spans="1:51" hidden="1">
      <c r="A35" s="483"/>
      <c r="B35" s="481" t="s">
        <v>39</v>
      </c>
      <c r="E35" s="492"/>
      <c r="F35" s="492"/>
      <c r="G35" s="496" t="s">
        <v>270</v>
      </c>
      <c r="H35" s="496" t="s">
        <v>270</v>
      </c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6" t="s">
        <v>270</v>
      </c>
      <c r="T35" s="496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6" t="s">
        <v>270</v>
      </c>
      <c r="AF35" s="496" t="s">
        <v>270</v>
      </c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</row>
    <row r="36" spans="1:51">
      <c r="A36" s="483"/>
      <c r="B36" s="481" t="s">
        <v>40</v>
      </c>
      <c r="E36" s="492">
        <v>2.998E-2</v>
      </c>
      <c r="F36" s="492">
        <v>2.998E-2</v>
      </c>
      <c r="G36" s="496" t="s">
        <v>270</v>
      </c>
      <c r="H36" s="496" t="s">
        <v>270</v>
      </c>
      <c r="I36" s="492">
        <v>-1.5820000000000001E-2</v>
      </c>
      <c r="J36" s="492">
        <v>-1.5820000000000001E-2</v>
      </c>
      <c r="K36" s="492">
        <v>-1.5820000000000001E-2</v>
      </c>
      <c r="L36" s="492">
        <v>-1.5820000000000001E-2</v>
      </c>
      <c r="M36" s="492">
        <v>-1.5820000000000001E-2</v>
      </c>
      <c r="N36" s="492">
        <v>-1.5820000000000001E-2</v>
      </c>
      <c r="O36" s="492">
        <v>-1.5820000000000001E-2</v>
      </c>
      <c r="P36" s="492">
        <v>-1.5820000000000001E-2</v>
      </c>
      <c r="Q36" s="492">
        <v>-1.5820000000000001E-2</v>
      </c>
      <c r="R36" s="492">
        <v>-1.5820000000000001E-2</v>
      </c>
      <c r="S36" s="496" t="s">
        <v>270</v>
      </c>
      <c r="T36" s="496" t="s">
        <v>270</v>
      </c>
      <c r="U36" s="492">
        <v>-1.0359999999999999E-2</v>
      </c>
      <c r="V36" s="492">
        <v>-1.0359999999999999E-2</v>
      </c>
      <c r="W36" s="492">
        <v>-1.0359999999999999E-2</v>
      </c>
      <c r="X36" s="492">
        <v>-1.0359999999999999E-2</v>
      </c>
      <c r="Y36" s="492">
        <v>-1.0359999999999999E-2</v>
      </c>
      <c r="Z36" s="492">
        <v>-1.0359999999999999E-2</v>
      </c>
      <c r="AA36" s="492">
        <v>-1.0359999999999999E-2</v>
      </c>
      <c r="AB36" s="492">
        <v>-1.0359999999999999E-2</v>
      </c>
      <c r="AC36" s="492">
        <v>-1.0359999999999999E-2</v>
      </c>
      <c r="AD36" s="492">
        <v>-1.0359999999999999E-2</v>
      </c>
      <c r="AE36" s="496" t="s">
        <v>335</v>
      </c>
      <c r="AF36" s="496" t="s">
        <v>335</v>
      </c>
      <c r="AG36" s="496">
        <v>-5.2900000000000004E-3</v>
      </c>
      <c r="AH36" s="496">
        <v>-5.2900000000000004E-3</v>
      </c>
      <c r="AI36" s="496">
        <v>-5.2900000000000004E-3</v>
      </c>
      <c r="AJ36" s="496">
        <v>-5.2900000000000004E-3</v>
      </c>
      <c r="AK36" s="496">
        <v>-5.2900000000000004E-3</v>
      </c>
      <c r="AL36" s="496">
        <v>-5.2900000000000004E-3</v>
      </c>
      <c r="AM36" s="496">
        <v>-5.2900000000000004E-3</v>
      </c>
      <c r="AN36" s="496">
        <v>-5.2900000000000004E-3</v>
      </c>
      <c r="AO36" s="496">
        <v>-5.2900000000000004E-3</v>
      </c>
      <c r="AP36" s="496">
        <v>-5.2900000000000004E-3</v>
      </c>
      <c r="AQ36" s="496" t="s">
        <v>335</v>
      </c>
      <c r="AR36" s="496" t="s">
        <v>335</v>
      </c>
    </row>
    <row r="37" spans="1:51" hidden="1">
      <c r="A37" s="483"/>
      <c r="B37" s="481" t="s">
        <v>41</v>
      </c>
      <c r="E37" s="492"/>
      <c r="F37" s="492"/>
      <c r="G37" s="496" t="s">
        <v>270</v>
      </c>
      <c r="H37" s="496" t="s">
        <v>270</v>
      </c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6" t="s">
        <v>270</v>
      </c>
      <c r="T37" s="496" t="s">
        <v>270</v>
      </c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6" t="s">
        <v>270</v>
      </c>
      <c r="AF37" s="496" t="s">
        <v>270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</row>
    <row r="38" spans="1:51" ht="16.2" thickBot="1">
      <c r="A38" s="483"/>
      <c r="B38" s="481" t="s">
        <v>42</v>
      </c>
      <c r="E38" s="492">
        <v>5.7389999999999997E-2</v>
      </c>
      <c r="F38" s="492">
        <v>5.7389999999999997E-2</v>
      </c>
      <c r="G38" s="496" t="s">
        <v>270</v>
      </c>
      <c r="H38" s="496" t="s">
        <v>270</v>
      </c>
      <c r="I38" s="492">
        <v>3.0499999999999999E-2</v>
      </c>
      <c r="J38" s="492">
        <v>3.0499999999999999E-2</v>
      </c>
      <c r="K38" s="492">
        <v>3.0499999999999999E-2</v>
      </c>
      <c r="L38" s="492">
        <v>3.0499999999999999E-2</v>
      </c>
      <c r="M38" s="492">
        <v>3.0499999999999999E-2</v>
      </c>
      <c r="N38" s="492">
        <v>3.0499999999999999E-2</v>
      </c>
      <c r="O38" s="492">
        <v>3.0499999999999999E-2</v>
      </c>
      <c r="P38" s="492">
        <v>3.0499999999999999E-2</v>
      </c>
      <c r="Q38" s="492">
        <v>3.0499999999999999E-2</v>
      </c>
      <c r="R38" s="492">
        <v>3.0499999999999999E-2</v>
      </c>
      <c r="S38" s="496" t="s">
        <v>270</v>
      </c>
      <c r="T38" s="496" t="s">
        <v>270</v>
      </c>
      <c r="U38" s="492">
        <v>-2.3310000000000001E-2</v>
      </c>
      <c r="V38" s="492">
        <v>-2.3310000000000001E-2</v>
      </c>
      <c r="W38" s="492">
        <v>-2.3310000000000001E-2</v>
      </c>
      <c r="X38" s="492">
        <v>-2.3310000000000001E-2</v>
      </c>
      <c r="Y38" s="492">
        <v>-2.3310000000000001E-2</v>
      </c>
      <c r="Z38" s="492">
        <v>-2.3310000000000001E-2</v>
      </c>
      <c r="AA38" s="492">
        <v>-2.3310000000000001E-2</v>
      </c>
      <c r="AB38" s="492">
        <v>-2.3310000000000001E-2</v>
      </c>
      <c r="AC38" s="492">
        <v>-2.3310000000000001E-2</v>
      </c>
      <c r="AD38" s="492">
        <v>-2.3310000000000001E-2</v>
      </c>
      <c r="AE38" s="496" t="s">
        <v>335</v>
      </c>
      <c r="AF38" s="496" t="s">
        <v>335</v>
      </c>
      <c r="AG38" s="496">
        <v>1.635E-2</v>
      </c>
      <c r="AH38" s="496">
        <v>1.635E-2</v>
      </c>
      <c r="AI38" s="496">
        <v>1.635E-2</v>
      </c>
      <c r="AJ38" s="496">
        <v>1.635E-2</v>
      </c>
      <c r="AK38" s="496">
        <v>1.635E-2</v>
      </c>
      <c r="AL38" s="496">
        <v>1.635E-2</v>
      </c>
      <c r="AM38" s="496">
        <v>1.635E-2</v>
      </c>
      <c r="AN38" s="496">
        <v>1.635E-2</v>
      </c>
      <c r="AO38" s="496">
        <v>1.635E-2</v>
      </c>
      <c r="AP38" s="496">
        <v>1.635E-2</v>
      </c>
      <c r="AQ38" s="496" t="s">
        <v>335</v>
      </c>
      <c r="AR38" s="496" t="s">
        <v>335</v>
      </c>
    </row>
    <row r="39" spans="1:51" ht="16.2" hidden="1" thickBot="1">
      <c r="A39" s="483"/>
      <c r="B39" s="481" t="s">
        <v>43</v>
      </c>
      <c r="E39" s="492"/>
      <c r="F39" s="492"/>
      <c r="G39" s="496" t="s">
        <v>270</v>
      </c>
      <c r="H39" s="496" t="s">
        <v>270</v>
      </c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6" t="s">
        <v>270</v>
      </c>
      <c r="T39" s="496" t="s">
        <v>270</v>
      </c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6" t="s">
        <v>270</v>
      </c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T39" s="483"/>
      <c r="AU39" s="484"/>
      <c r="AV39" s="483"/>
      <c r="AW39" s="483"/>
      <c r="AX39" s="483"/>
      <c r="AY39" s="483"/>
    </row>
    <row r="40" spans="1:51" ht="16.2" thickBot="1">
      <c r="A40" s="483"/>
      <c r="B40" s="481" t="s">
        <v>74</v>
      </c>
      <c r="E40" s="492">
        <v>0</v>
      </c>
      <c r="F40" s="492">
        <v>0</v>
      </c>
      <c r="G40" s="496" t="s">
        <v>270</v>
      </c>
      <c r="H40" s="496" t="s">
        <v>270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>
        <v>0</v>
      </c>
      <c r="P40" s="492">
        <v>0</v>
      </c>
      <c r="Q40" s="492">
        <v>0</v>
      </c>
      <c r="R40" s="492">
        <v>0</v>
      </c>
      <c r="S40" s="496" t="s">
        <v>270</v>
      </c>
      <c r="T40" s="496" t="s">
        <v>270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492">
        <v>0</v>
      </c>
      <c r="AD40" s="492">
        <v>0</v>
      </c>
      <c r="AE40" s="496" t="s">
        <v>335</v>
      </c>
      <c r="AF40" s="496" t="s">
        <v>335</v>
      </c>
      <c r="AG40" s="496">
        <v>0</v>
      </c>
      <c r="AH40" s="496">
        <v>0</v>
      </c>
      <c r="AI40" s="496">
        <v>0</v>
      </c>
      <c r="AJ40" s="496">
        <v>0</v>
      </c>
      <c r="AK40" s="496">
        <v>0</v>
      </c>
      <c r="AL40" s="496">
        <v>0</v>
      </c>
      <c r="AM40" s="496">
        <v>0</v>
      </c>
      <c r="AN40" s="496">
        <v>0</v>
      </c>
      <c r="AO40" s="496">
        <v>0</v>
      </c>
      <c r="AP40" s="496">
        <v>0</v>
      </c>
      <c r="AQ40" s="496" t="s">
        <v>335</v>
      </c>
      <c r="AR40" s="496" t="s">
        <v>335</v>
      </c>
      <c r="AT40" s="513">
        <v>201601</v>
      </c>
      <c r="AU40" s="526"/>
      <c r="AV40" s="514"/>
      <c r="AW40" s="514"/>
      <c r="AX40" s="514"/>
      <c r="AY40" s="515"/>
    </row>
    <row r="41" spans="1:51" ht="16.2">
      <c r="A41" s="483" t="s">
        <v>293</v>
      </c>
      <c r="E41" s="492"/>
      <c r="F41" s="492"/>
      <c r="G41" s="496"/>
      <c r="H41" s="496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2"/>
      <c r="AQ41" s="492"/>
      <c r="AR41" s="492"/>
      <c r="AT41" s="497" t="s">
        <v>298</v>
      </c>
      <c r="AU41" s="527">
        <v>419600</v>
      </c>
      <c r="AV41" s="498" t="s">
        <v>288</v>
      </c>
      <c r="AW41" s="498" t="s">
        <v>289</v>
      </c>
      <c r="AX41" s="519">
        <v>0</v>
      </c>
      <c r="AY41" s="520">
        <v>0</v>
      </c>
    </row>
    <row r="42" spans="1:51" s="483" customFormat="1" ht="16.2">
      <c r="A42" s="484">
        <v>191000</v>
      </c>
      <c r="B42" s="485" t="s">
        <v>256</v>
      </c>
      <c r="C42" s="486" t="s">
        <v>251</v>
      </c>
      <c r="D42" s="487" t="s">
        <v>252</v>
      </c>
      <c r="E42" s="484">
        <v>201309</v>
      </c>
      <c r="F42" s="484">
        <v>201310</v>
      </c>
      <c r="G42" s="484">
        <v>201311</v>
      </c>
      <c r="H42" s="484">
        <v>201312</v>
      </c>
      <c r="I42" s="484">
        <v>201401</v>
      </c>
      <c r="J42" s="484">
        <v>201402</v>
      </c>
      <c r="K42" s="484">
        <v>201403</v>
      </c>
      <c r="L42" s="484">
        <v>201404</v>
      </c>
      <c r="M42" s="484">
        <v>201405</v>
      </c>
      <c r="N42" s="484">
        <v>201406</v>
      </c>
      <c r="O42" s="484">
        <v>201407</v>
      </c>
      <c r="P42" s="484">
        <v>201408</v>
      </c>
      <c r="Q42" s="484">
        <v>201409</v>
      </c>
      <c r="R42" s="484">
        <v>201410</v>
      </c>
      <c r="S42" s="484">
        <v>201411</v>
      </c>
      <c r="T42" s="484">
        <v>201412</v>
      </c>
      <c r="U42" s="484">
        <v>201501</v>
      </c>
      <c r="V42" s="484">
        <v>201502</v>
      </c>
      <c r="W42" s="484">
        <v>201503</v>
      </c>
      <c r="X42" s="484">
        <v>201504</v>
      </c>
      <c r="Y42" s="484">
        <v>201505</v>
      </c>
      <c r="Z42" s="484">
        <v>201506</v>
      </c>
      <c r="AA42" s="484">
        <v>201507</v>
      </c>
      <c r="AB42" s="484">
        <v>201508</v>
      </c>
      <c r="AC42" s="484">
        <v>201509</v>
      </c>
      <c r="AD42" s="484">
        <v>201510</v>
      </c>
      <c r="AE42" s="484">
        <v>201511</v>
      </c>
      <c r="AF42" s="484">
        <v>201512</v>
      </c>
      <c r="AG42" s="484">
        <v>201601</v>
      </c>
      <c r="AH42" s="484">
        <v>201602</v>
      </c>
      <c r="AI42" s="484">
        <v>201603</v>
      </c>
      <c r="AJ42" s="484">
        <v>201604</v>
      </c>
      <c r="AK42" s="484">
        <v>201605</v>
      </c>
      <c r="AL42" s="484">
        <v>201606</v>
      </c>
      <c r="AM42" s="484">
        <v>201607</v>
      </c>
      <c r="AN42" s="484">
        <v>201608</v>
      </c>
      <c r="AO42" s="484">
        <v>201609</v>
      </c>
      <c r="AP42" s="484">
        <v>201610</v>
      </c>
      <c r="AQ42" s="484">
        <v>201611</v>
      </c>
      <c r="AR42" s="484">
        <v>201612</v>
      </c>
      <c r="AT42" s="499" t="s">
        <v>299</v>
      </c>
      <c r="AU42" s="528">
        <v>431600</v>
      </c>
      <c r="AV42" s="358" t="s">
        <v>288</v>
      </c>
      <c r="AW42" s="358" t="s">
        <v>289</v>
      </c>
      <c r="AX42" s="381">
        <v>5680.8542615657343</v>
      </c>
      <c r="AY42" s="500">
        <v>0</v>
      </c>
    </row>
    <row r="43" spans="1:51" s="483" customFormat="1" ht="16.2">
      <c r="B43" s="485" t="s">
        <v>257</v>
      </c>
      <c r="C43" s="482"/>
      <c r="E43" s="488">
        <v>3.2500000000000001E-2</v>
      </c>
      <c r="F43" s="488">
        <v>3.2500000000000001E-2</v>
      </c>
      <c r="G43" s="488">
        <v>3.2500000000000001E-2</v>
      </c>
      <c r="H43" s="488">
        <v>3.2500000000000001E-2</v>
      </c>
      <c r="I43" s="488">
        <v>3.2500000000000001E-2</v>
      </c>
      <c r="J43" s="488">
        <v>3.2500000000000001E-2</v>
      </c>
      <c r="K43" s="488">
        <v>3.2500000000000001E-2</v>
      </c>
      <c r="L43" s="488">
        <v>3.2500000000000001E-2</v>
      </c>
      <c r="M43" s="488">
        <v>3.2500000000000001E-2</v>
      </c>
      <c r="N43" s="488">
        <v>3.2500000000000001E-2</v>
      </c>
      <c r="O43" s="488">
        <v>3.2500000000000001E-2</v>
      </c>
      <c r="P43" s="488">
        <v>3.2500000000000001E-2</v>
      </c>
      <c r="Q43" s="488">
        <v>3.2500000000000001E-2</v>
      </c>
      <c r="R43" s="488">
        <v>3.2500000000000001E-2</v>
      </c>
      <c r="S43" s="488">
        <v>3.2500000000000001E-2</v>
      </c>
      <c r="T43" s="488">
        <v>3.2500000000000001E-2</v>
      </c>
      <c r="U43" s="488">
        <v>3.2500000000000001E-2</v>
      </c>
      <c r="V43" s="488">
        <v>3.2500000000000001E-2</v>
      </c>
      <c r="W43" s="488">
        <v>3.2500000000000001E-2</v>
      </c>
      <c r="X43" s="488">
        <v>3.2500000000000001E-2</v>
      </c>
      <c r="Y43" s="488">
        <v>3.2500000000000001E-2</v>
      </c>
      <c r="Z43" s="488">
        <v>3.2500000000000001E-2</v>
      </c>
      <c r="AA43" s="488">
        <v>3.2500000000000001E-2</v>
      </c>
      <c r="AB43" s="488">
        <v>3.2500000000000001E-2</v>
      </c>
      <c r="AC43" s="488">
        <v>3.2500000000000001E-2</v>
      </c>
      <c r="AD43" s="488">
        <v>3.2500000000000001E-2</v>
      </c>
      <c r="AE43" s="488">
        <v>3.2500000000000001E-2</v>
      </c>
      <c r="AF43" s="488">
        <v>3.2500000000000001E-2</v>
      </c>
      <c r="AG43" s="488">
        <v>3.2500000000000001E-2</v>
      </c>
      <c r="AH43" s="488">
        <v>3.2500000000000001E-2</v>
      </c>
      <c r="AI43" s="488">
        <v>3.2500000000000001E-2</v>
      </c>
      <c r="AJ43" s="488"/>
      <c r="AK43" s="488"/>
      <c r="AL43" s="488"/>
      <c r="AM43" s="488"/>
      <c r="AN43" s="488"/>
      <c r="AO43" s="488"/>
      <c r="AP43" s="488"/>
      <c r="AQ43" s="488"/>
      <c r="AR43" s="488"/>
      <c r="AT43" s="499" t="s">
        <v>300</v>
      </c>
      <c r="AU43" s="528">
        <v>191000</v>
      </c>
      <c r="AV43" s="358" t="s">
        <v>288</v>
      </c>
      <c r="AW43" s="358" t="s">
        <v>289</v>
      </c>
      <c r="AX43" s="381">
        <v>600888.34341843426</v>
      </c>
      <c r="AY43" s="500">
        <v>0</v>
      </c>
    </row>
    <row r="44" spans="1:51" ht="16.2">
      <c r="A44" s="493"/>
      <c r="B44" s="481" t="s">
        <v>253</v>
      </c>
      <c r="E44" s="482">
        <v>-194854.27149590768</v>
      </c>
      <c r="F44" s="482">
        <v>-46035.360287444513</v>
      </c>
      <c r="G44" s="482">
        <v>404885.58467682183</v>
      </c>
      <c r="H44" s="482">
        <v>1486369.5928734979</v>
      </c>
      <c r="I44" s="482">
        <v>1388326.8065187801</v>
      </c>
      <c r="J44" s="482">
        <v>1256080.2312424269</v>
      </c>
      <c r="K44" s="482">
        <v>1153258.7731084346</v>
      </c>
      <c r="L44" s="482">
        <v>1078717.1045833002</v>
      </c>
      <c r="M44" s="482">
        <v>1033496.2426010612</v>
      </c>
      <c r="N44" s="482">
        <v>1007906.7387058339</v>
      </c>
      <c r="O44" s="482">
        <v>987738.42680743511</v>
      </c>
      <c r="P44" s="482">
        <v>972066.68936231779</v>
      </c>
      <c r="Q44" s="482">
        <v>955827.4742971377</v>
      </c>
      <c r="R44" s="482">
        <v>935484.97275235492</v>
      </c>
      <c r="S44" s="482">
        <v>900376.74388303224</v>
      </c>
      <c r="T44" s="482">
        <v>-1984640.7833043733</v>
      </c>
      <c r="U44" s="482">
        <v>-1530288.7769039478</v>
      </c>
      <c r="V44" s="482">
        <v>-1203520.6941716045</v>
      </c>
      <c r="W44" s="482">
        <v>-978605.01769356499</v>
      </c>
      <c r="X44" s="482">
        <v>-801445.32791263924</v>
      </c>
      <c r="Y44" s="482">
        <v>-669275.24177190254</v>
      </c>
      <c r="Z44" s="482">
        <v>-610882.24266902648</v>
      </c>
      <c r="AA44" s="482">
        <v>-574943.04011245095</v>
      </c>
      <c r="AB44" s="482">
        <v>-537511.27700320142</v>
      </c>
      <c r="AC44" s="482">
        <v>-503286.03358886426</v>
      </c>
      <c r="AD44" s="482">
        <v>-446057.56644618412</v>
      </c>
      <c r="AE44" s="482">
        <v>-360318.05653003836</v>
      </c>
      <c r="AF44" s="482">
        <v>-2966848.8846008489</v>
      </c>
      <c r="AG44" s="482">
        <v>-2400830.7877258095</v>
      </c>
      <c r="AH44" s="482">
        <v>-1799942.4443073752</v>
      </c>
      <c r="AI44" s="482">
        <v>-1366748.2296606828</v>
      </c>
      <c r="AJ44" s="482">
        <v>-1370449.8394493472</v>
      </c>
      <c r="AK44" s="482">
        <v>-1370449.8394493472</v>
      </c>
      <c r="AL44" s="482">
        <v>-1370449.8394493472</v>
      </c>
      <c r="AM44" s="482">
        <v>-1370449.8394493472</v>
      </c>
      <c r="AN44" s="482">
        <v>-1370449.8394493472</v>
      </c>
      <c r="AO44" s="482">
        <v>-1370449.8394493472</v>
      </c>
      <c r="AP44" s="482">
        <v>-1370449.8394493472</v>
      </c>
      <c r="AQ44" s="482">
        <v>-1370449.8394493472</v>
      </c>
      <c r="AR44" s="482">
        <v>-1370449.8394493472</v>
      </c>
      <c r="AT44" s="499" t="s">
        <v>301</v>
      </c>
      <c r="AU44" s="528">
        <v>805110</v>
      </c>
      <c r="AV44" s="358" t="s">
        <v>288</v>
      </c>
      <c r="AW44" s="358" t="s">
        <v>289</v>
      </c>
      <c r="AX44" s="381">
        <v>0</v>
      </c>
      <c r="AY44" s="500">
        <v>606569.19767999998</v>
      </c>
    </row>
    <row r="45" spans="1:51" ht="16.2">
      <c r="B45" s="481" t="s">
        <v>23</v>
      </c>
      <c r="C45" s="482">
        <v>1044045.8401599999</v>
      </c>
      <c r="D45" s="494">
        <v>2074418.8401599999</v>
      </c>
      <c r="E45" s="482">
        <v>149144.67478</v>
      </c>
      <c r="F45" s="482">
        <v>450435.65911000001</v>
      </c>
      <c r="G45" s="482">
        <v>-82277.84</v>
      </c>
      <c r="H45" s="482">
        <v>-101930.34</v>
      </c>
      <c r="I45" s="482">
        <v>-108116.73896</v>
      </c>
      <c r="J45" s="482">
        <v>-106079.69250999999</v>
      </c>
      <c r="K45" s="482">
        <v>-77560.048470000009</v>
      </c>
      <c r="L45" s="482">
        <v>-48077.28282</v>
      </c>
      <c r="M45" s="482">
        <v>-28350.165369999999</v>
      </c>
      <c r="N45" s="482">
        <v>-22867.09346</v>
      </c>
      <c r="O45" s="482">
        <v>-18322.051239999997</v>
      </c>
      <c r="P45" s="482">
        <v>-18846.37455</v>
      </c>
      <c r="Q45" s="482">
        <v>-22900.190279999999</v>
      </c>
      <c r="R45" s="482">
        <v>-37590.929620000003</v>
      </c>
      <c r="S45" s="557">
        <v>257672.26615000004</v>
      </c>
      <c r="T45" s="557">
        <v>312766.45</v>
      </c>
      <c r="U45" s="482">
        <v>330465.11</v>
      </c>
      <c r="V45" s="482">
        <v>227866.64228000003</v>
      </c>
      <c r="W45" s="482">
        <v>179566.91484000001</v>
      </c>
      <c r="X45" s="482">
        <v>134158.99359999999</v>
      </c>
      <c r="Y45" s="482">
        <v>60124.201359999999</v>
      </c>
      <c r="Z45" s="482">
        <v>37542.836040000002</v>
      </c>
      <c r="AA45" s="482">
        <v>38936.174440000003</v>
      </c>
      <c r="AB45" s="482">
        <v>35632.750439999996</v>
      </c>
      <c r="AC45" s="482">
        <v>58512.29808</v>
      </c>
      <c r="AD45" s="482">
        <v>86830.000200000009</v>
      </c>
      <c r="AE45" s="482">
        <v>457096</v>
      </c>
      <c r="AF45" s="482">
        <v>573277</v>
      </c>
      <c r="AG45" s="482">
        <v>606569.19767999998</v>
      </c>
      <c r="AH45" s="482">
        <v>437476.64247999998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153" t="s">
        <v>156</v>
      </c>
      <c r="AU45" s="209">
        <v>191000</v>
      </c>
      <c r="AV45" s="209" t="s">
        <v>288</v>
      </c>
      <c r="AW45" s="209" t="s">
        <v>289</v>
      </c>
      <c r="AX45" s="472">
        <v>0</v>
      </c>
      <c r="AY45" s="462">
        <v>0</v>
      </c>
    </row>
    <row r="46" spans="1:51" ht="16.8" thickBot="1">
      <c r="B46" s="481" t="s">
        <v>4</v>
      </c>
      <c r="C46" s="482">
        <v>-13664.891883537557</v>
      </c>
      <c r="D46" s="494">
        <v>-29632.683079308717</v>
      </c>
      <c r="E46" s="482">
        <v>-325.7635715368333</v>
      </c>
      <c r="F46" s="482">
        <v>485.28585426629616</v>
      </c>
      <c r="G46" s="482">
        <v>4107.1195298889406</v>
      </c>
      <c r="H46" s="489">
        <v>3887.5536452823899</v>
      </c>
      <c r="I46" s="489">
        <v>3613.643683646696</v>
      </c>
      <c r="J46" s="489">
        <v>3258.2343760076146</v>
      </c>
      <c r="K46" s="489">
        <v>3018.3799448655523</v>
      </c>
      <c r="L46" s="489">
        <v>2856.4208377610212</v>
      </c>
      <c r="M46" s="489">
        <v>2760.6614747726658</v>
      </c>
      <c r="N46" s="489">
        <v>2698.7815616012172</v>
      </c>
      <c r="O46" s="489">
        <v>2650.3137948826366</v>
      </c>
      <c r="P46" s="489">
        <v>2607.1594848198192</v>
      </c>
      <c r="Q46" s="489">
        <v>2557.688735217248</v>
      </c>
      <c r="R46" s="489">
        <v>2482.7007506772115</v>
      </c>
      <c r="S46" s="559">
        <v>-5609.7233374053303</v>
      </c>
      <c r="T46" s="560">
        <v>-4753.3635995743443</v>
      </c>
      <c r="U46" s="489">
        <v>-3697.0272676565255</v>
      </c>
      <c r="V46" s="489">
        <v>-2950.9658019605959</v>
      </c>
      <c r="W46" s="489">
        <v>-2407.2250590742387</v>
      </c>
      <c r="X46" s="489">
        <v>-1988.9074592633983</v>
      </c>
      <c r="Y46" s="489">
        <v>-1731.2022571239027</v>
      </c>
      <c r="Z46" s="489">
        <v>-1603.6334834244467</v>
      </c>
      <c r="AA46" s="489">
        <v>-1504.4113307503878</v>
      </c>
      <c r="AB46" s="489">
        <v>-1407.5070256628373</v>
      </c>
      <c r="AC46" s="489">
        <v>-1283.8309373198406</v>
      </c>
      <c r="AD46" s="489">
        <v>-1090.4902838542487</v>
      </c>
      <c r="AE46" s="489">
        <v>-8708.8880708105207</v>
      </c>
      <c r="AF46" s="489">
        <v>-7258.9031249606332</v>
      </c>
      <c r="AG46" s="489">
        <v>-5680.8542615657343</v>
      </c>
      <c r="AH46" s="489">
        <v>-4282.4278333074744</v>
      </c>
      <c r="AI46" s="489">
        <v>-3701.6097886643497</v>
      </c>
      <c r="AJ46" s="489">
        <v>0</v>
      </c>
      <c r="AK46" s="489">
        <v>0</v>
      </c>
      <c r="AL46" s="489">
        <v>0</v>
      </c>
      <c r="AM46" s="489">
        <v>0</v>
      </c>
      <c r="AN46" s="489">
        <v>0</v>
      </c>
      <c r="AO46" s="489">
        <v>0</v>
      </c>
      <c r="AP46" s="489">
        <v>0</v>
      </c>
      <c r="AQ46" s="489">
        <v>0</v>
      </c>
      <c r="AR46" s="489">
        <v>0</v>
      </c>
      <c r="AT46" s="154" t="s">
        <v>156</v>
      </c>
      <c r="AU46" s="561">
        <v>805110</v>
      </c>
      <c r="AV46" s="561" t="s">
        <v>288</v>
      </c>
      <c r="AW46" s="561" t="s">
        <v>289</v>
      </c>
      <c r="AX46" s="464">
        <v>0</v>
      </c>
      <c r="AY46" s="473">
        <v>0</v>
      </c>
    </row>
    <row r="47" spans="1:51" ht="16.2" thickBot="1">
      <c r="B47" s="481" t="s">
        <v>259</v>
      </c>
      <c r="C47" s="482">
        <v>0</v>
      </c>
      <c r="D47" s="494"/>
      <c r="E47" s="482">
        <v>0</v>
      </c>
      <c r="F47" s="482">
        <v>0</v>
      </c>
      <c r="G47" s="482">
        <v>1145801.7486667871</v>
      </c>
      <c r="H47" s="482">
        <v>0</v>
      </c>
      <c r="I47" s="482">
        <v>0</v>
      </c>
      <c r="J47" s="482">
        <v>0</v>
      </c>
      <c r="K47" s="482">
        <v>0</v>
      </c>
      <c r="L47" s="482">
        <v>0</v>
      </c>
      <c r="M47" s="482">
        <v>0</v>
      </c>
      <c r="N47" s="482">
        <v>0</v>
      </c>
      <c r="O47" s="482">
        <v>0</v>
      </c>
      <c r="P47" s="482">
        <v>0</v>
      </c>
      <c r="Q47" s="482">
        <v>0</v>
      </c>
      <c r="R47" s="482">
        <v>0</v>
      </c>
      <c r="S47" s="557">
        <v>-3063910.6100000003</v>
      </c>
      <c r="T47" s="482">
        <v>0</v>
      </c>
      <c r="U47" s="482">
        <v>0</v>
      </c>
      <c r="V47" s="482">
        <v>0</v>
      </c>
      <c r="W47" s="482">
        <v>0</v>
      </c>
      <c r="X47" s="482">
        <v>0</v>
      </c>
      <c r="Y47" s="482">
        <v>0</v>
      </c>
      <c r="Z47" s="482">
        <v>0</v>
      </c>
      <c r="AA47" s="482">
        <v>0</v>
      </c>
      <c r="AB47" s="482">
        <v>0</v>
      </c>
      <c r="AC47" s="482">
        <v>0</v>
      </c>
      <c r="AD47" s="482">
        <v>0</v>
      </c>
      <c r="AE47" s="557">
        <v>-3112720.83</v>
      </c>
      <c r="AF47" s="482">
        <v>0</v>
      </c>
      <c r="AG47" s="482">
        <v>0</v>
      </c>
      <c r="AH47" s="482">
        <v>0</v>
      </c>
      <c r="AI47" s="482">
        <v>0</v>
      </c>
      <c r="AJ47" s="482">
        <v>0</v>
      </c>
      <c r="AK47" s="482">
        <v>0</v>
      </c>
      <c r="AL47" s="482">
        <v>0</v>
      </c>
      <c r="AM47" s="482">
        <v>0</v>
      </c>
      <c r="AN47" s="482">
        <v>0</v>
      </c>
      <c r="AO47" s="482">
        <v>0</v>
      </c>
      <c r="AP47" s="482">
        <v>0</v>
      </c>
      <c r="AQ47" s="482">
        <v>0</v>
      </c>
      <c r="AR47" s="482">
        <v>0</v>
      </c>
      <c r="AT47" s="516"/>
      <c r="AU47" s="530"/>
      <c r="AV47" s="517"/>
      <c r="AW47" s="517"/>
      <c r="AX47" s="517" t="s">
        <v>159</v>
      </c>
      <c r="AY47" s="518">
        <v>0</v>
      </c>
    </row>
    <row r="48" spans="1:51">
      <c r="B48" s="481" t="s">
        <v>148</v>
      </c>
      <c r="C48" s="482">
        <v>0</v>
      </c>
      <c r="D48" s="494"/>
      <c r="E48" s="482">
        <v>0</v>
      </c>
      <c r="F48" s="482">
        <v>0</v>
      </c>
      <c r="G48" s="482">
        <v>13852.98</v>
      </c>
      <c r="H48" s="482">
        <v>0</v>
      </c>
      <c r="I48" s="538">
        <v>-27743.479999999981</v>
      </c>
      <c r="J48" s="482">
        <v>0</v>
      </c>
      <c r="K48" s="482">
        <v>0</v>
      </c>
      <c r="L48" s="482">
        <v>0</v>
      </c>
      <c r="M48" s="482">
        <v>0</v>
      </c>
      <c r="N48" s="482">
        <v>0</v>
      </c>
      <c r="O48" s="482">
        <v>0</v>
      </c>
      <c r="P48" s="482">
        <v>0</v>
      </c>
      <c r="Q48" s="482">
        <v>0</v>
      </c>
      <c r="R48" s="482">
        <v>0</v>
      </c>
      <c r="S48" s="557">
        <v>-73169.460000000006</v>
      </c>
      <c r="T48" s="557">
        <v>146338.92000000001</v>
      </c>
      <c r="U48" s="563">
        <v>0</v>
      </c>
      <c r="V48" s="482">
        <v>0</v>
      </c>
      <c r="W48" s="482">
        <v>0</v>
      </c>
      <c r="X48" s="482">
        <v>0</v>
      </c>
      <c r="Y48" s="482">
        <v>0</v>
      </c>
      <c r="Z48" s="482">
        <v>0</v>
      </c>
      <c r="AA48" s="482">
        <v>0</v>
      </c>
      <c r="AB48" s="482">
        <v>0</v>
      </c>
      <c r="AC48" s="482">
        <v>0</v>
      </c>
      <c r="AD48" s="482">
        <v>0</v>
      </c>
      <c r="AE48" s="557">
        <v>57802.89</v>
      </c>
      <c r="AF48" s="482">
        <v>0</v>
      </c>
      <c r="AG48" s="482">
        <v>0</v>
      </c>
      <c r="AH48" s="482">
        <v>0</v>
      </c>
      <c r="AI48" s="482">
        <v>0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</row>
    <row r="49" spans="1:50" ht="16.8" thickBot="1">
      <c r="B49" s="481" t="s">
        <v>56</v>
      </c>
      <c r="C49" s="541">
        <v>1030380.9482764624</v>
      </c>
      <c r="D49" s="541"/>
      <c r="E49" s="541">
        <v>-46035.360287444513</v>
      </c>
      <c r="F49" s="541">
        <v>404885.58467682183</v>
      </c>
      <c r="G49" s="541">
        <v>1486369.5928734979</v>
      </c>
      <c r="H49" s="541">
        <v>1388326.8065187801</v>
      </c>
      <c r="I49" s="541">
        <v>1256080.2312424269</v>
      </c>
      <c r="J49" s="541">
        <v>1153258.7731084346</v>
      </c>
      <c r="K49" s="541">
        <v>1078717.1045833002</v>
      </c>
      <c r="L49" s="541">
        <v>1033496.2426010612</v>
      </c>
      <c r="M49" s="541">
        <v>1007906.7387058339</v>
      </c>
      <c r="N49" s="541">
        <v>987738.42680743511</v>
      </c>
      <c r="O49" s="541">
        <v>972066.68936231779</v>
      </c>
      <c r="P49" s="541">
        <v>955827.4742971377</v>
      </c>
      <c r="Q49" s="541">
        <v>935484.97275235492</v>
      </c>
      <c r="R49" s="541">
        <v>900376.74388303224</v>
      </c>
      <c r="S49" s="541">
        <v>-1984640.7833043733</v>
      </c>
      <c r="T49" s="541">
        <v>-1530288.7769039478</v>
      </c>
      <c r="U49" s="541">
        <v>-1203520.6941716045</v>
      </c>
      <c r="V49" s="541">
        <v>-978605.01769356499</v>
      </c>
      <c r="W49" s="541">
        <v>-801445.32791263924</v>
      </c>
      <c r="X49" s="541">
        <v>-669275.24177190254</v>
      </c>
      <c r="Y49" s="541">
        <v>-610882.24266902648</v>
      </c>
      <c r="Z49" s="541">
        <v>-574943.04011245095</v>
      </c>
      <c r="AA49" s="541">
        <v>-537511.27700320142</v>
      </c>
      <c r="AB49" s="541">
        <v>-503286.03358886426</v>
      </c>
      <c r="AC49" s="541">
        <v>-446057.56644618412</v>
      </c>
      <c r="AD49" s="541">
        <v>-360318.05653003836</v>
      </c>
      <c r="AE49" s="541">
        <v>-2966848.8846008489</v>
      </c>
      <c r="AF49" s="541">
        <v>-2400830.7877258095</v>
      </c>
      <c r="AG49" s="541">
        <v>-1799942.4443073752</v>
      </c>
      <c r="AH49" s="541">
        <v>-1366748.2296606828</v>
      </c>
      <c r="AI49" s="541">
        <v>-1370449.8394493472</v>
      </c>
      <c r="AJ49" s="541">
        <v>-1370449.8394493472</v>
      </c>
      <c r="AK49" s="541">
        <v>-1370449.8394493472</v>
      </c>
      <c r="AL49" s="541">
        <v>-1370449.8394493472</v>
      </c>
      <c r="AM49" s="541">
        <v>-1370449.8394493472</v>
      </c>
      <c r="AN49" s="541">
        <v>-1370449.8394493472</v>
      </c>
      <c r="AO49" s="541">
        <v>-1370449.8394493472</v>
      </c>
      <c r="AP49" s="541">
        <v>-1370449.8394493472</v>
      </c>
      <c r="AQ49" s="541">
        <v>-1370449.8394493472</v>
      </c>
      <c r="AR49" s="541">
        <v>-1370449.8394493472</v>
      </c>
    </row>
    <row r="50" spans="1:50" ht="16.2" thickTop="1">
      <c r="B50" s="481" t="s">
        <v>260</v>
      </c>
      <c r="E50" s="482">
        <v>-46035.14</v>
      </c>
      <c r="F50" s="482">
        <v>404885.81</v>
      </c>
      <c r="G50" s="482">
        <v>1486369.82</v>
      </c>
      <c r="H50" s="482">
        <v>1388327.03</v>
      </c>
      <c r="I50" s="482">
        <v>1256080.45</v>
      </c>
      <c r="J50" s="482">
        <v>1153258.99</v>
      </c>
      <c r="K50" s="482">
        <v>1078717.32</v>
      </c>
      <c r="L50" s="482">
        <v>1033496.46</v>
      </c>
      <c r="M50" s="482">
        <v>1007906.96</v>
      </c>
      <c r="N50" s="482">
        <v>987738.65</v>
      </c>
      <c r="O50" s="482">
        <v>972066.91</v>
      </c>
      <c r="P50" s="482">
        <v>955827.69</v>
      </c>
      <c r="Q50" s="482">
        <v>935485.19</v>
      </c>
      <c r="R50" s="482">
        <v>900376.96</v>
      </c>
      <c r="S50" s="482">
        <v>-1984640.57</v>
      </c>
      <c r="T50" s="482">
        <v>-1530288.56</v>
      </c>
      <c r="U50" s="482">
        <v>-1203520.48</v>
      </c>
      <c r="V50" s="482">
        <v>-978604.8</v>
      </c>
      <c r="W50" s="482">
        <v>-801445.11</v>
      </c>
      <c r="X50" s="482">
        <v>-669275.02</v>
      </c>
      <c r="Y50" s="482">
        <v>-610882.02</v>
      </c>
      <c r="Z50" s="482">
        <v>-574942.81999999995</v>
      </c>
      <c r="AA50" s="482">
        <v>-537511.06000000006</v>
      </c>
      <c r="AB50" s="482">
        <v>-503285.82</v>
      </c>
      <c r="AC50" s="482">
        <v>-446057.35</v>
      </c>
      <c r="AD50" s="482">
        <v>-360317.84</v>
      </c>
      <c r="AE50" s="482">
        <v>-2966848.67</v>
      </c>
      <c r="AF50" s="482">
        <v>-2400830.5699999998</v>
      </c>
      <c r="AG50" s="482">
        <v>-1799942.22</v>
      </c>
      <c r="AH50" s="482">
        <v>-1799942.22</v>
      </c>
      <c r="AI50" s="482">
        <v>-1799942.22</v>
      </c>
      <c r="AJ50" s="482">
        <v>0</v>
      </c>
      <c r="AK50" s="482">
        <v>0</v>
      </c>
      <c r="AL50" s="482">
        <v>0</v>
      </c>
      <c r="AM50" s="482">
        <v>0</v>
      </c>
      <c r="AN50" s="482">
        <v>0</v>
      </c>
      <c r="AO50" s="482">
        <v>0</v>
      </c>
      <c r="AP50" s="482">
        <v>0</v>
      </c>
      <c r="AQ50" s="482">
        <v>0</v>
      </c>
      <c r="AR50" s="482">
        <v>0</v>
      </c>
      <c r="AX50" s="563"/>
    </row>
    <row r="51" spans="1:50">
      <c r="B51" s="481" t="s">
        <v>245</v>
      </c>
      <c r="E51" s="482">
        <v>-0.22028744451381499</v>
      </c>
      <c r="F51" s="482">
        <v>-0.22532317816512659</v>
      </c>
      <c r="G51" s="482">
        <v>-0.22712650219909847</v>
      </c>
      <c r="H51" s="482">
        <v>-0.22348121996037662</v>
      </c>
      <c r="I51" s="482">
        <v>-0.21875757304951549</v>
      </c>
      <c r="J51" s="482">
        <v>-0.21689156536012888</v>
      </c>
      <c r="K51" s="482">
        <v>-0.21541669988073409</v>
      </c>
      <c r="L51" s="482">
        <v>-0.2173989387229085</v>
      </c>
      <c r="M51" s="482">
        <v>-0.22129416605457664</v>
      </c>
      <c r="N51" s="482">
        <v>-0.22319256491027772</v>
      </c>
      <c r="O51" s="482">
        <v>-0.22063768224325031</v>
      </c>
      <c r="P51" s="482">
        <v>-0.21570286224596202</v>
      </c>
      <c r="Q51" s="482">
        <v>-0.21724764502141625</v>
      </c>
      <c r="R51" s="482">
        <v>-0.21611696772743016</v>
      </c>
      <c r="S51" s="482">
        <v>-0.21330437320284545</v>
      </c>
      <c r="T51" s="482">
        <v>-0.21690394775941968</v>
      </c>
      <c r="U51" s="482">
        <v>-0.21417160448618233</v>
      </c>
      <c r="V51" s="482">
        <v>-0.21769356494769454</v>
      </c>
      <c r="W51" s="482">
        <v>-0.21791263925842941</v>
      </c>
      <c r="X51" s="482">
        <v>-0.22177190252114087</v>
      </c>
      <c r="Y51" s="482">
        <v>-0.22266902646515518</v>
      </c>
      <c r="Z51" s="482">
        <v>-0.22011245100293308</v>
      </c>
      <c r="AA51" s="482">
        <v>-0.21700320136733353</v>
      </c>
      <c r="AB51" s="482">
        <v>-0.21358886425150558</v>
      </c>
      <c r="AC51" s="482">
        <v>-0.21644618414575234</v>
      </c>
      <c r="AD51" s="482">
        <v>-0.21653003833489493</v>
      </c>
      <c r="AE51" s="482">
        <v>-0.21460084896534681</v>
      </c>
      <c r="AF51" s="482">
        <v>-0.21772580966353416</v>
      </c>
      <c r="AG51" s="482">
        <v>-0.22430737526156008</v>
      </c>
      <c r="AH51" s="482">
        <v>433193.99033931713</v>
      </c>
      <c r="AI51" s="482">
        <v>429492.38055065274</v>
      </c>
      <c r="AJ51" s="482">
        <v>-1370449.8394493472</v>
      </c>
      <c r="AK51" s="482">
        <v>-1370449.8394493472</v>
      </c>
      <c r="AL51" s="482">
        <v>-1370449.8394493472</v>
      </c>
      <c r="AM51" s="482">
        <v>-1370449.8394493472</v>
      </c>
      <c r="AN51" s="482">
        <v>-1370449.8394493472</v>
      </c>
      <c r="AO51" s="482">
        <v>-1370449.8394493472</v>
      </c>
      <c r="AP51" s="482">
        <v>-1370449.8394493472</v>
      </c>
      <c r="AQ51" s="482">
        <v>-1370449.8394493472</v>
      </c>
      <c r="AR51" s="482">
        <v>-1370449.8394493472</v>
      </c>
    </row>
    <row r="53" spans="1:50">
      <c r="A53" s="483" t="s">
        <v>292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</row>
    <row r="54" spans="1:50">
      <c r="A54" s="484">
        <v>191025</v>
      </c>
      <c r="B54" s="485" t="s">
        <v>256</v>
      </c>
      <c r="C54" s="486" t="s">
        <v>251</v>
      </c>
      <c r="D54" s="486" t="s">
        <v>252</v>
      </c>
      <c r="E54" s="484">
        <v>201309</v>
      </c>
      <c r="F54" s="484">
        <v>201310</v>
      </c>
      <c r="G54" s="484">
        <v>201311</v>
      </c>
      <c r="H54" s="484">
        <v>201312</v>
      </c>
      <c r="I54" s="484">
        <v>201401</v>
      </c>
      <c r="J54" s="484">
        <v>201402</v>
      </c>
      <c r="K54" s="484">
        <v>201403</v>
      </c>
      <c r="L54" s="484">
        <v>201404</v>
      </c>
      <c r="M54" s="484">
        <v>201405</v>
      </c>
      <c r="N54" s="484">
        <v>201406</v>
      </c>
      <c r="O54" s="484">
        <v>201407</v>
      </c>
      <c r="P54" s="484">
        <v>201408</v>
      </c>
      <c r="Q54" s="484">
        <v>201409</v>
      </c>
      <c r="R54" s="484">
        <v>201410</v>
      </c>
      <c r="S54" s="484">
        <v>201411</v>
      </c>
      <c r="T54" s="484">
        <v>201412</v>
      </c>
      <c r="U54" s="484">
        <v>201501</v>
      </c>
      <c r="V54" s="484">
        <v>201502</v>
      </c>
      <c r="W54" s="484">
        <v>201503</v>
      </c>
      <c r="X54" s="484">
        <v>201504</v>
      </c>
      <c r="Y54" s="484">
        <v>201505</v>
      </c>
      <c r="Z54" s="484">
        <v>201506</v>
      </c>
      <c r="AA54" s="484">
        <v>201507</v>
      </c>
      <c r="AB54" s="484">
        <v>201508</v>
      </c>
      <c r="AC54" s="484">
        <v>201509</v>
      </c>
      <c r="AD54" s="484">
        <v>201510</v>
      </c>
      <c r="AE54" s="484">
        <v>201511</v>
      </c>
      <c r="AF54" s="484">
        <v>201512</v>
      </c>
      <c r="AG54" s="484">
        <v>201601</v>
      </c>
      <c r="AH54" s="484">
        <v>201602</v>
      </c>
      <c r="AI54" s="484">
        <v>201603</v>
      </c>
      <c r="AJ54" s="484">
        <v>201604</v>
      </c>
      <c r="AK54" s="484">
        <v>201605</v>
      </c>
      <c r="AL54" s="484">
        <v>201606</v>
      </c>
      <c r="AM54" s="484">
        <v>201607</v>
      </c>
      <c r="AN54" s="484">
        <v>201608</v>
      </c>
      <c r="AO54" s="484">
        <v>201609</v>
      </c>
      <c r="AP54" s="484">
        <v>201610</v>
      </c>
      <c r="AQ54" s="484">
        <v>201611</v>
      </c>
      <c r="AR54" s="484">
        <v>201612</v>
      </c>
      <c r="AX54" s="563"/>
    </row>
    <row r="55" spans="1:50">
      <c r="A55" s="483"/>
      <c r="B55" s="481" t="s">
        <v>37</v>
      </c>
      <c r="C55" s="491">
        <v>34438012</v>
      </c>
      <c r="D55" s="491">
        <v>69272841</v>
      </c>
      <c r="E55" s="491">
        <v>2647538</v>
      </c>
      <c r="F55" s="491">
        <v>9244353</v>
      </c>
      <c r="G55" s="491">
        <v>15070678</v>
      </c>
      <c r="H55" s="491">
        <v>22636008</v>
      </c>
      <c r="I55" s="543">
        <v>20682450</v>
      </c>
      <c r="J55" s="543">
        <v>20184373</v>
      </c>
      <c r="K55" s="543">
        <v>14096743</v>
      </c>
      <c r="L55" s="543">
        <v>7776328</v>
      </c>
      <c r="M55" s="543">
        <v>3691303</v>
      </c>
      <c r="N55" s="543">
        <v>2545780</v>
      </c>
      <c r="O55" s="543">
        <v>2095088</v>
      </c>
      <c r="P55" s="543">
        <v>2047777</v>
      </c>
      <c r="Q55" s="543">
        <v>2727612</v>
      </c>
      <c r="R55" s="543">
        <v>4953664</v>
      </c>
      <c r="S55" s="543">
        <v>15823016</v>
      </c>
      <c r="T55" s="543">
        <v>19056609</v>
      </c>
      <c r="U55" s="543">
        <v>19909674</v>
      </c>
      <c r="V55" s="543">
        <v>13011547</v>
      </c>
      <c r="W55" s="543">
        <v>10479005</v>
      </c>
      <c r="X55" s="543">
        <v>7714478</v>
      </c>
      <c r="Y55" s="543">
        <v>3297360</v>
      </c>
      <c r="Z55" s="543">
        <v>1968489</v>
      </c>
      <c r="AA55" s="543">
        <v>2145139</v>
      </c>
      <c r="AB55" s="543">
        <v>1956853</v>
      </c>
      <c r="AC55" s="543">
        <v>3273457</v>
      </c>
      <c r="AD55" s="543">
        <v>4833518</v>
      </c>
      <c r="AE55" s="543">
        <v>15375028</v>
      </c>
      <c r="AF55" s="543">
        <v>19459801</v>
      </c>
      <c r="AG55" s="543">
        <v>20140968</v>
      </c>
      <c r="AH55" s="543">
        <v>14297044</v>
      </c>
      <c r="AI55" s="543"/>
      <c r="AJ55" s="543"/>
      <c r="AK55" s="543"/>
      <c r="AL55" s="543"/>
      <c r="AM55" s="543"/>
      <c r="AN55" s="543"/>
      <c r="AO55" s="543"/>
      <c r="AP55" s="543"/>
      <c r="AQ55" s="543"/>
      <c r="AR55" s="543"/>
    </row>
    <row r="56" spans="1:50">
      <c r="A56" s="483"/>
      <c r="B56" s="579" t="s">
        <v>332</v>
      </c>
      <c r="C56" s="491">
        <v>32486</v>
      </c>
      <c r="D56" s="491">
        <v>43930</v>
      </c>
      <c r="E56" s="491"/>
      <c r="F56" s="491"/>
      <c r="G56" s="491"/>
      <c r="H56" s="491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>
        <v>425</v>
      </c>
      <c r="AE56" s="543">
        <v>3502</v>
      </c>
      <c r="AF56" s="543">
        <v>7942</v>
      </c>
      <c r="AG56" s="543">
        <v>17893</v>
      </c>
      <c r="AH56" s="543">
        <v>14593</v>
      </c>
      <c r="AI56" s="543"/>
      <c r="AJ56" s="543"/>
      <c r="AK56" s="543"/>
      <c r="AL56" s="543"/>
      <c r="AM56" s="543"/>
      <c r="AN56" s="543"/>
      <c r="AO56" s="543"/>
      <c r="AP56" s="543"/>
      <c r="AQ56" s="543"/>
      <c r="AR56" s="543"/>
    </row>
    <row r="57" spans="1:50">
      <c r="A57" s="483"/>
      <c r="B57" s="481" t="s">
        <v>38</v>
      </c>
      <c r="C57" s="491">
        <v>11768846</v>
      </c>
      <c r="D57" s="491">
        <v>23438298</v>
      </c>
      <c r="E57" s="491">
        <v>1599551</v>
      </c>
      <c r="F57" s="491">
        <v>3880001</v>
      </c>
      <c r="G57" s="491">
        <v>5651303</v>
      </c>
      <c r="H57" s="491">
        <v>7518125</v>
      </c>
      <c r="I57" s="543">
        <v>7025543</v>
      </c>
      <c r="J57" s="543">
        <v>6903553</v>
      </c>
      <c r="K57" s="543">
        <v>5310734</v>
      </c>
      <c r="L57" s="543">
        <v>3390429</v>
      </c>
      <c r="M57" s="543">
        <v>2183609</v>
      </c>
      <c r="N57" s="543">
        <v>1741655</v>
      </c>
      <c r="O57" s="543">
        <v>1476567</v>
      </c>
      <c r="P57" s="543">
        <v>1364087</v>
      </c>
      <c r="Q57" s="543">
        <v>1739755</v>
      </c>
      <c r="R57" s="543">
        <v>2776031</v>
      </c>
      <c r="S57" s="543">
        <v>6141604</v>
      </c>
      <c r="T57" s="543">
        <v>6045485</v>
      </c>
      <c r="U57" s="543">
        <v>6173752</v>
      </c>
      <c r="V57" s="543">
        <v>5630395</v>
      </c>
      <c r="W57" s="543">
        <v>4030672</v>
      </c>
      <c r="X57" s="543">
        <v>3448422</v>
      </c>
      <c r="Y57" s="543">
        <v>1901440</v>
      </c>
      <c r="Z57" s="543">
        <v>1561904</v>
      </c>
      <c r="AA57" s="543">
        <v>1323231</v>
      </c>
      <c r="AB57" s="543">
        <v>1284422</v>
      </c>
      <c r="AC57" s="543">
        <v>1854848</v>
      </c>
      <c r="AD57" s="543">
        <v>2624293</v>
      </c>
      <c r="AE57" s="543">
        <v>5503520</v>
      </c>
      <c r="AF57" s="543">
        <v>6165932</v>
      </c>
      <c r="AG57" s="543">
        <v>6568112</v>
      </c>
      <c r="AH57" s="543">
        <v>5200734</v>
      </c>
      <c r="AI57" s="543"/>
      <c r="AJ57" s="543"/>
      <c r="AK57" s="543"/>
      <c r="AL57" s="543"/>
      <c r="AM57" s="543"/>
      <c r="AN57" s="543"/>
      <c r="AO57" s="543"/>
      <c r="AP57" s="543"/>
      <c r="AQ57" s="543"/>
      <c r="AR57" s="543"/>
    </row>
    <row r="58" spans="1:50">
      <c r="A58" s="483"/>
      <c r="B58" s="481" t="s">
        <v>39</v>
      </c>
      <c r="C58" s="491">
        <v>0</v>
      </c>
      <c r="D58" s="491">
        <v>0</v>
      </c>
      <c r="E58" s="491">
        <v>0</v>
      </c>
      <c r="F58" s="491">
        <v>0</v>
      </c>
      <c r="G58" s="491">
        <v>0</v>
      </c>
      <c r="H58" s="491">
        <v>0</v>
      </c>
      <c r="I58" s="543">
        <v>0</v>
      </c>
      <c r="J58" s="543">
        <v>0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43">
        <v>0</v>
      </c>
      <c r="Q58" s="543">
        <v>0</v>
      </c>
      <c r="R58" s="543">
        <v>0</v>
      </c>
      <c r="S58" s="543">
        <v>0</v>
      </c>
      <c r="T58" s="543">
        <v>0</v>
      </c>
      <c r="U58" s="543">
        <v>0</v>
      </c>
      <c r="V58" s="543">
        <v>0</v>
      </c>
      <c r="W58" s="543">
        <v>0</v>
      </c>
      <c r="X58" s="543">
        <v>0</v>
      </c>
      <c r="Y58" s="543">
        <v>0</v>
      </c>
      <c r="Z58" s="543">
        <v>0</v>
      </c>
      <c r="AA58" s="543">
        <v>0</v>
      </c>
      <c r="AB58" s="543">
        <v>0</v>
      </c>
      <c r="AC58" s="543">
        <v>0</v>
      </c>
      <c r="AD58" s="543">
        <v>0</v>
      </c>
      <c r="AE58" s="543">
        <v>0</v>
      </c>
      <c r="AF58" s="543">
        <v>0</v>
      </c>
      <c r="AG58" s="543">
        <v>0</v>
      </c>
      <c r="AH58" s="543">
        <v>0</v>
      </c>
      <c r="AI58" s="543"/>
      <c r="AJ58" s="543"/>
      <c r="AK58" s="543"/>
      <c r="AL58" s="543"/>
      <c r="AM58" s="543"/>
      <c r="AN58" s="543"/>
      <c r="AO58" s="543"/>
      <c r="AP58" s="543"/>
      <c r="AQ58" s="543"/>
      <c r="AR58" s="543"/>
    </row>
    <row r="59" spans="1:50">
      <c r="A59" s="483"/>
      <c r="B59" s="481" t="s">
        <v>40</v>
      </c>
      <c r="C59" s="491">
        <v>754431</v>
      </c>
      <c r="D59" s="491">
        <v>1627609</v>
      </c>
      <c r="E59" s="491">
        <v>344046</v>
      </c>
      <c r="F59" s="491">
        <v>595792</v>
      </c>
      <c r="G59" s="491">
        <v>396185</v>
      </c>
      <c r="H59" s="491">
        <v>588721</v>
      </c>
      <c r="I59" s="543">
        <v>534459</v>
      </c>
      <c r="J59" s="543">
        <v>540817</v>
      </c>
      <c r="K59" s="543">
        <v>425342</v>
      </c>
      <c r="L59" s="543">
        <v>407197</v>
      </c>
      <c r="M59" s="543">
        <v>340947</v>
      </c>
      <c r="N59" s="543">
        <v>361843</v>
      </c>
      <c r="O59" s="543">
        <v>251184</v>
      </c>
      <c r="P59" s="543">
        <v>332621</v>
      </c>
      <c r="Q59" s="543">
        <v>330926</v>
      </c>
      <c r="R59" s="543">
        <v>483057</v>
      </c>
      <c r="S59" s="543">
        <v>518418</v>
      </c>
      <c r="T59" s="543">
        <v>377457</v>
      </c>
      <c r="U59" s="543">
        <v>513680</v>
      </c>
      <c r="V59" s="543">
        <v>431734</v>
      </c>
      <c r="W59" s="543">
        <v>335852</v>
      </c>
      <c r="X59" s="543">
        <v>432834</v>
      </c>
      <c r="Y59" s="543">
        <v>249954</v>
      </c>
      <c r="Z59" s="543">
        <v>322862</v>
      </c>
      <c r="AA59" s="543">
        <v>247078</v>
      </c>
      <c r="AB59" s="543">
        <v>274690</v>
      </c>
      <c r="AC59" s="543">
        <v>336073</v>
      </c>
      <c r="AD59" s="543">
        <v>365802</v>
      </c>
      <c r="AE59" s="543">
        <v>541377</v>
      </c>
      <c r="AF59" s="543">
        <v>331801</v>
      </c>
      <c r="AG59" s="543">
        <v>345863</v>
      </c>
      <c r="AH59" s="543">
        <v>408568</v>
      </c>
      <c r="AI59" s="543"/>
      <c r="AJ59" s="543"/>
      <c r="AK59" s="543"/>
      <c r="AL59" s="543"/>
      <c r="AM59" s="543"/>
      <c r="AN59" s="543"/>
      <c r="AO59" s="543"/>
      <c r="AP59" s="543"/>
      <c r="AQ59" s="543"/>
      <c r="AR59" s="543"/>
    </row>
    <row r="60" spans="1:50">
      <c r="A60" s="483"/>
      <c r="B60" s="481" t="s">
        <v>41</v>
      </c>
      <c r="C60" s="491">
        <v>151032</v>
      </c>
      <c r="D60" s="491">
        <v>273393</v>
      </c>
      <c r="E60" s="491">
        <v>31388</v>
      </c>
      <c r="F60" s="491">
        <v>40500</v>
      </c>
      <c r="G60" s="491">
        <v>51667</v>
      </c>
      <c r="H60" s="491">
        <v>84319</v>
      </c>
      <c r="I60" s="543">
        <v>95515</v>
      </c>
      <c r="J60" s="543">
        <v>89875</v>
      </c>
      <c r="K60" s="543">
        <v>79687</v>
      </c>
      <c r="L60" s="543">
        <v>48237</v>
      </c>
      <c r="M60" s="543">
        <v>57496</v>
      </c>
      <c r="N60" s="543">
        <v>29984</v>
      </c>
      <c r="O60" s="543">
        <v>36453</v>
      </c>
      <c r="P60" s="543">
        <v>23994</v>
      </c>
      <c r="Q60" s="543">
        <v>27780</v>
      </c>
      <c r="R60" s="543">
        <v>33600</v>
      </c>
      <c r="S60" s="543">
        <v>46503</v>
      </c>
      <c r="T60" s="543">
        <v>74423</v>
      </c>
      <c r="U60" s="543">
        <v>81674</v>
      </c>
      <c r="V60" s="543">
        <v>68846</v>
      </c>
      <c r="W60" s="543">
        <v>57610</v>
      </c>
      <c r="X60" s="543">
        <v>49631</v>
      </c>
      <c r="Y60" s="543">
        <v>46984</v>
      </c>
      <c r="Z60" s="543">
        <v>30135</v>
      </c>
      <c r="AA60" s="543">
        <v>28317</v>
      </c>
      <c r="AB60" s="543">
        <v>27313</v>
      </c>
      <c r="AC60" s="543">
        <v>29790</v>
      </c>
      <c r="AD60" s="543">
        <v>36487</v>
      </c>
      <c r="AE60" s="543">
        <v>47656</v>
      </c>
      <c r="AF60" s="543">
        <v>74705</v>
      </c>
      <c r="AG60" s="543">
        <v>83853</v>
      </c>
      <c r="AH60" s="543">
        <v>67179</v>
      </c>
      <c r="AI60" s="543"/>
      <c r="AJ60" s="543"/>
      <c r="AK60" s="543"/>
      <c r="AL60" s="543"/>
      <c r="AM60" s="543"/>
      <c r="AN60" s="543"/>
      <c r="AO60" s="543"/>
      <c r="AP60" s="543"/>
      <c r="AQ60" s="543"/>
      <c r="AR60" s="543"/>
    </row>
    <row r="61" spans="1:50">
      <c r="A61" s="483"/>
      <c r="B61" s="481" t="s">
        <v>42</v>
      </c>
      <c r="C61" s="491">
        <v>0</v>
      </c>
      <c r="D61" s="491">
        <v>0</v>
      </c>
      <c r="E61" s="491">
        <v>0</v>
      </c>
      <c r="F61" s="491">
        <v>0</v>
      </c>
      <c r="G61" s="491">
        <v>0</v>
      </c>
      <c r="H61" s="491">
        <v>0</v>
      </c>
      <c r="I61" s="543">
        <v>0</v>
      </c>
      <c r="J61" s="543">
        <v>0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43">
        <v>0</v>
      </c>
      <c r="Q61" s="543">
        <v>0</v>
      </c>
      <c r="R61" s="543">
        <v>0</v>
      </c>
      <c r="S61" s="543">
        <v>0</v>
      </c>
      <c r="T61" s="543">
        <v>0</v>
      </c>
      <c r="U61" s="543">
        <v>0</v>
      </c>
      <c r="V61" s="543">
        <v>0</v>
      </c>
      <c r="W61" s="543">
        <v>0</v>
      </c>
      <c r="X61" s="543">
        <v>0</v>
      </c>
      <c r="Y61" s="543">
        <v>0</v>
      </c>
      <c r="Z61" s="543">
        <v>0</v>
      </c>
      <c r="AA61" s="543">
        <v>0</v>
      </c>
      <c r="AB61" s="543">
        <v>0</v>
      </c>
      <c r="AC61" s="543">
        <v>0</v>
      </c>
      <c r="AD61" s="543">
        <v>0</v>
      </c>
      <c r="AE61" s="543">
        <v>0</v>
      </c>
      <c r="AF61" s="543">
        <v>0</v>
      </c>
      <c r="AG61" s="543">
        <v>0</v>
      </c>
      <c r="AH61" s="543">
        <v>0</v>
      </c>
      <c r="AI61" s="543"/>
      <c r="AJ61" s="543"/>
      <c r="AK61" s="543"/>
      <c r="AL61" s="543"/>
      <c r="AM61" s="543"/>
      <c r="AN61" s="543"/>
      <c r="AO61" s="543"/>
      <c r="AP61" s="543"/>
      <c r="AQ61" s="543"/>
      <c r="AR61" s="543"/>
    </row>
    <row r="62" spans="1:50">
      <c r="A62" s="483"/>
      <c r="B62" s="481" t="s">
        <v>43</v>
      </c>
      <c r="C62" s="491">
        <v>306053</v>
      </c>
      <c r="D62" s="491">
        <v>432001</v>
      </c>
      <c r="E62" s="491">
        <v>54453</v>
      </c>
      <c r="F62" s="491">
        <v>68629</v>
      </c>
      <c r="G62" s="491">
        <v>142001</v>
      </c>
      <c r="H62" s="491">
        <v>132732</v>
      </c>
      <c r="I62" s="543">
        <v>149468</v>
      </c>
      <c r="J62" s="543">
        <v>140495</v>
      </c>
      <c r="K62" s="543">
        <v>132979</v>
      </c>
      <c r="L62" s="543">
        <v>91026</v>
      </c>
      <c r="M62" s="543">
        <v>83802</v>
      </c>
      <c r="N62" s="543">
        <v>58384</v>
      </c>
      <c r="O62" s="543">
        <v>45870</v>
      </c>
      <c r="P62" s="543">
        <v>32437</v>
      </c>
      <c r="Q62" s="543">
        <v>37881</v>
      </c>
      <c r="R62" s="543">
        <v>50626</v>
      </c>
      <c r="S62" s="543">
        <v>67642</v>
      </c>
      <c r="T62" s="543">
        <v>112489</v>
      </c>
      <c r="U62" s="543">
        <v>129251</v>
      </c>
      <c r="V62" s="543">
        <v>123377</v>
      </c>
      <c r="W62" s="543">
        <v>100117</v>
      </c>
      <c r="X62" s="543">
        <v>81076</v>
      </c>
      <c r="Y62" s="543">
        <v>83536</v>
      </c>
      <c r="Z62" s="543">
        <v>56511</v>
      </c>
      <c r="AA62" s="543">
        <v>13364</v>
      </c>
      <c r="AB62" s="543">
        <v>68158</v>
      </c>
      <c r="AC62" s="543">
        <v>45470</v>
      </c>
      <c r="AD62" s="543">
        <v>96224</v>
      </c>
      <c r="AE62" s="543">
        <v>74781</v>
      </c>
      <c r="AF62" s="543">
        <v>51167</v>
      </c>
      <c r="AG62" s="543">
        <v>203731</v>
      </c>
      <c r="AH62" s="543">
        <v>102322</v>
      </c>
      <c r="AI62" s="543"/>
      <c r="AJ62" s="543"/>
      <c r="AK62" s="543"/>
      <c r="AL62" s="543"/>
      <c r="AM62" s="543"/>
      <c r="AN62" s="543"/>
      <c r="AO62" s="543"/>
      <c r="AP62" s="543"/>
      <c r="AQ62" s="543"/>
      <c r="AR62" s="543"/>
    </row>
    <row r="63" spans="1:50">
      <c r="A63" s="483"/>
      <c r="B63" s="481" t="s">
        <v>74</v>
      </c>
      <c r="C63" s="491">
        <v>6302982</v>
      </c>
      <c r="D63" s="491">
        <v>12644224</v>
      </c>
      <c r="E63" s="491">
        <v>1818699</v>
      </c>
      <c r="F63" s="491">
        <v>2531895</v>
      </c>
      <c r="G63" s="491">
        <v>2936207</v>
      </c>
      <c r="H63" s="491">
        <v>3675604</v>
      </c>
      <c r="I63" s="543">
        <v>3517013</v>
      </c>
      <c r="J63" s="543">
        <v>3103551</v>
      </c>
      <c r="K63" s="543">
        <v>2882510</v>
      </c>
      <c r="L63" s="543">
        <v>2426511</v>
      </c>
      <c r="M63" s="543">
        <v>2096539</v>
      </c>
      <c r="N63" s="543">
        <v>1865473</v>
      </c>
      <c r="O63" s="543">
        <v>1934510</v>
      </c>
      <c r="P63" s="543">
        <v>1781233</v>
      </c>
      <c r="Q63" s="543">
        <v>1975142</v>
      </c>
      <c r="R63" s="543">
        <v>2307678</v>
      </c>
      <c r="S63" s="543">
        <v>3052956</v>
      </c>
      <c r="T63" s="543">
        <v>3180451</v>
      </c>
      <c r="U63" s="543">
        <v>3286166</v>
      </c>
      <c r="V63" s="543">
        <v>2735718</v>
      </c>
      <c r="W63" s="543">
        <v>2608561</v>
      </c>
      <c r="X63" s="543">
        <v>2436951</v>
      </c>
      <c r="Y63" s="543">
        <v>2203136</v>
      </c>
      <c r="Z63" s="543">
        <v>1941783</v>
      </c>
      <c r="AA63" s="543">
        <v>1912819</v>
      </c>
      <c r="AB63" s="543">
        <v>1943542</v>
      </c>
      <c r="AC63" s="543">
        <v>1945064</v>
      </c>
      <c r="AD63" s="543">
        <v>2201297</v>
      </c>
      <c r="AE63" s="543">
        <v>3020174</v>
      </c>
      <c r="AF63" s="543">
        <v>3321068</v>
      </c>
      <c r="AG63" s="543">
        <v>3346687</v>
      </c>
      <c r="AH63" s="543">
        <v>2956295</v>
      </c>
      <c r="AI63" s="543"/>
      <c r="AJ63" s="543"/>
      <c r="AK63" s="543"/>
      <c r="AL63" s="543"/>
      <c r="AM63" s="543"/>
      <c r="AN63" s="543"/>
      <c r="AO63" s="543"/>
      <c r="AP63" s="543"/>
      <c r="AQ63" s="543"/>
      <c r="AR63" s="543"/>
    </row>
    <row r="64" spans="1:50" ht="16.8" thickBot="1">
      <c r="A64" s="483"/>
      <c r="B64" s="481" t="s">
        <v>21</v>
      </c>
      <c r="C64" s="542">
        <v>53753842</v>
      </c>
      <c r="D64" s="542">
        <v>180899844</v>
      </c>
      <c r="E64" s="542">
        <v>6495675</v>
      </c>
      <c r="F64" s="542">
        <v>16361170</v>
      </c>
      <c r="G64" s="542">
        <v>24248041</v>
      </c>
      <c r="H64" s="542">
        <v>34635509</v>
      </c>
      <c r="I64" s="542">
        <v>32004448</v>
      </c>
      <c r="J64" s="542">
        <v>30962664</v>
      </c>
      <c r="K64" s="542">
        <v>22927995</v>
      </c>
      <c r="L64" s="542">
        <v>14139728</v>
      </c>
      <c r="M64" s="542">
        <v>8453696</v>
      </c>
      <c r="N64" s="542">
        <v>6603119</v>
      </c>
      <c r="O64" s="542">
        <v>5839672</v>
      </c>
      <c r="P64" s="542">
        <v>5582149</v>
      </c>
      <c r="Q64" s="542">
        <v>6839096</v>
      </c>
      <c r="R64" s="542">
        <v>10604656</v>
      </c>
      <c r="S64" s="542">
        <v>25650139</v>
      </c>
      <c r="T64" s="542">
        <v>28846914</v>
      </c>
      <c r="U64" s="542">
        <v>30094197</v>
      </c>
      <c r="V64" s="542">
        <v>22001617</v>
      </c>
      <c r="W64" s="542">
        <v>17611817</v>
      </c>
      <c r="X64" s="542">
        <v>14163392</v>
      </c>
      <c r="Y64" s="542">
        <v>7782410</v>
      </c>
      <c r="Z64" s="542">
        <v>5881684</v>
      </c>
      <c r="AA64" s="542">
        <v>5669948</v>
      </c>
      <c r="AB64" s="542">
        <v>5554978</v>
      </c>
      <c r="AC64" s="542">
        <v>7484702</v>
      </c>
      <c r="AD64" s="542">
        <v>10158046</v>
      </c>
      <c r="AE64" s="542">
        <v>24566038</v>
      </c>
      <c r="AF64" s="542">
        <v>29412416</v>
      </c>
      <c r="AG64" s="542">
        <v>30707107</v>
      </c>
      <c r="AH64" s="542">
        <v>23046735</v>
      </c>
      <c r="AI64" s="542">
        <v>0</v>
      </c>
      <c r="AJ64" s="542">
        <v>0</v>
      </c>
      <c r="AK64" s="542">
        <v>0</v>
      </c>
      <c r="AL64" s="542">
        <v>0</v>
      </c>
      <c r="AM64" s="542">
        <v>0</v>
      </c>
      <c r="AN64" s="542">
        <v>0</v>
      </c>
      <c r="AO64" s="542">
        <v>0</v>
      </c>
      <c r="AP64" s="542">
        <v>0</v>
      </c>
      <c r="AQ64" s="542">
        <v>0</v>
      </c>
      <c r="AR64" s="542">
        <v>0</v>
      </c>
    </row>
    <row r="65" spans="1:51" ht="16.2" thickTop="1">
      <c r="A65" s="483"/>
      <c r="B65" s="481" t="s">
        <v>269</v>
      </c>
      <c r="C65" s="491">
        <v>30707107</v>
      </c>
      <c r="D65" s="491">
        <v>180899844</v>
      </c>
      <c r="E65" s="491">
        <v>6495675</v>
      </c>
      <c r="F65" s="491">
        <v>16361170</v>
      </c>
      <c r="G65" s="491">
        <v>24248041</v>
      </c>
      <c r="H65" s="491">
        <v>34635509</v>
      </c>
      <c r="I65" s="491">
        <v>32004448</v>
      </c>
      <c r="J65" s="491">
        <v>30962664</v>
      </c>
      <c r="K65" s="491">
        <v>22927995</v>
      </c>
      <c r="L65" s="491">
        <v>14139728</v>
      </c>
      <c r="M65" s="491">
        <v>8453696</v>
      </c>
      <c r="N65" s="491">
        <v>6603119</v>
      </c>
      <c r="O65" s="491">
        <v>5839672</v>
      </c>
      <c r="P65" s="491">
        <v>5582149</v>
      </c>
      <c r="Q65" s="491">
        <v>6839096</v>
      </c>
      <c r="R65" s="491">
        <v>10604656</v>
      </c>
      <c r="S65" s="491">
        <v>25650139</v>
      </c>
      <c r="T65" s="491">
        <v>28846914</v>
      </c>
      <c r="U65" s="491">
        <v>30094197</v>
      </c>
      <c r="V65" s="491">
        <v>22001617</v>
      </c>
      <c r="W65" s="491">
        <v>17611817</v>
      </c>
      <c r="X65" s="491">
        <v>14163392</v>
      </c>
      <c r="Y65" s="491">
        <v>7782410</v>
      </c>
      <c r="Z65" s="491">
        <v>5881684</v>
      </c>
      <c r="AA65" s="491">
        <v>5669948</v>
      </c>
      <c r="AB65" s="575">
        <v>5554978</v>
      </c>
      <c r="AC65" s="491">
        <v>7484702</v>
      </c>
      <c r="AD65" s="491">
        <v>10158046</v>
      </c>
      <c r="AE65" s="491">
        <v>24566038</v>
      </c>
      <c r="AF65" s="491">
        <v>29412416</v>
      </c>
      <c r="AG65" s="491">
        <v>30707107</v>
      </c>
      <c r="AH65" s="491"/>
      <c r="AI65" s="491"/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</row>
    <row r="66" spans="1:51">
      <c r="A66" s="483" t="s">
        <v>22</v>
      </c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U66" s="539"/>
    </row>
    <row r="67" spans="1:51">
      <c r="A67" s="484">
        <v>191025</v>
      </c>
      <c r="B67" s="485" t="s">
        <v>256</v>
      </c>
      <c r="E67" s="484">
        <v>201309</v>
      </c>
      <c r="F67" s="484">
        <v>201310</v>
      </c>
      <c r="G67" s="484">
        <v>201311</v>
      </c>
      <c r="H67" s="484">
        <v>201312</v>
      </c>
      <c r="I67" s="484">
        <v>201401</v>
      </c>
      <c r="J67" s="484">
        <v>201402</v>
      </c>
      <c r="K67" s="484">
        <v>201403</v>
      </c>
      <c r="L67" s="484">
        <v>201404</v>
      </c>
      <c r="M67" s="484">
        <v>201405</v>
      </c>
      <c r="N67" s="484">
        <v>201406</v>
      </c>
      <c r="O67" s="484">
        <v>201407</v>
      </c>
      <c r="P67" s="484">
        <v>201408</v>
      </c>
      <c r="Q67" s="484">
        <v>201409</v>
      </c>
      <c r="R67" s="484">
        <v>201410</v>
      </c>
      <c r="S67" s="484">
        <v>201411</v>
      </c>
      <c r="T67" s="484">
        <v>201412</v>
      </c>
      <c r="U67" s="484">
        <v>201501</v>
      </c>
      <c r="V67" s="484">
        <v>201502</v>
      </c>
      <c r="W67" s="484">
        <v>201503</v>
      </c>
      <c r="X67" s="484">
        <v>201504</v>
      </c>
      <c r="Y67" s="484">
        <v>201505</v>
      </c>
      <c r="Z67" s="484">
        <v>201506</v>
      </c>
      <c r="AA67" s="484">
        <v>201507</v>
      </c>
      <c r="AB67" s="484">
        <v>201508</v>
      </c>
      <c r="AC67" s="484">
        <v>201509</v>
      </c>
      <c r="AD67" s="484">
        <v>201510</v>
      </c>
      <c r="AE67" s="484">
        <v>201511</v>
      </c>
      <c r="AF67" s="484">
        <v>201512</v>
      </c>
      <c r="AG67" s="484">
        <v>201601</v>
      </c>
      <c r="AH67" s="484">
        <v>201602</v>
      </c>
      <c r="AI67" s="484">
        <v>201603</v>
      </c>
      <c r="AJ67" s="484">
        <v>201604</v>
      </c>
      <c r="AK67" s="484">
        <v>201605</v>
      </c>
      <c r="AL67" s="484">
        <v>201606</v>
      </c>
      <c r="AM67" s="484">
        <v>201607</v>
      </c>
      <c r="AN67" s="484">
        <v>201608</v>
      </c>
      <c r="AO67" s="484">
        <v>201609</v>
      </c>
      <c r="AP67" s="484">
        <v>201610</v>
      </c>
      <c r="AQ67" s="484">
        <v>201611</v>
      </c>
      <c r="AR67" s="484">
        <v>201612</v>
      </c>
    </row>
    <row r="68" spans="1:51">
      <c r="A68" s="483"/>
      <c r="B68" s="481" t="s">
        <v>37</v>
      </c>
      <c r="E68" s="492">
        <v>-2.1900000000000001E-3</v>
      </c>
      <c r="F68" s="492">
        <v>-2.1900000000000001E-3</v>
      </c>
      <c r="G68" s="496" t="s">
        <v>270</v>
      </c>
      <c r="H68" s="496" t="s">
        <v>270</v>
      </c>
      <c r="I68" s="492">
        <v>-3.8999999999999999E-4</v>
      </c>
      <c r="J68" s="492">
        <v>-3.8999999999999999E-4</v>
      </c>
      <c r="K68" s="492">
        <v>-3.8999999999999999E-4</v>
      </c>
      <c r="L68" s="492">
        <v>-3.8999999999999999E-4</v>
      </c>
      <c r="M68" s="492">
        <v>-3.8999999999999999E-4</v>
      </c>
      <c r="N68" s="492">
        <v>-3.8999999999999999E-4</v>
      </c>
      <c r="O68" s="492">
        <v>-3.8999999999999999E-4</v>
      </c>
      <c r="P68" s="492">
        <v>-3.8999999999999999E-4</v>
      </c>
      <c r="Q68" s="492">
        <v>-3.8999999999999999E-4</v>
      </c>
      <c r="R68" s="492">
        <v>-3.8999999999999999E-4</v>
      </c>
      <c r="S68" s="496" t="s">
        <v>270</v>
      </c>
      <c r="T68" s="496" t="s">
        <v>270</v>
      </c>
      <c r="U68" s="492">
        <v>2.5000000000000001E-4</v>
      </c>
      <c r="V68" s="492">
        <v>2.5000000000000001E-4</v>
      </c>
      <c r="W68" s="492">
        <v>2.5000000000000001E-4</v>
      </c>
      <c r="X68" s="492">
        <v>2.5000000000000001E-4</v>
      </c>
      <c r="Y68" s="492">
        <v>2.5000000000000001E-4</v>
      </c>
      <c r="Z68" s="492">
        <v>2.5000000000000001E-4</v>
      </c>
      <c r="AA68" s="492">
        <v>2.5000000000000001E-4</v>
      </c>
      <c r="AB68" s="492">
        <v>2.5000000000000001E-4</v>
      </c>
      <c r="AC68" s="492">
        <v>2.5000000000000001E-4</v>
      </c>
      <c r="AD68" s="492">
        <v>2.5000000000000001E-4</v>
      </c>
      <c r="AE68" s="496" t="s">
        <v>335</v>
      </c>
      <c r="AF68" s="496" t="s">
        <v>335</v>
      </c>
      <c r="AG68" s="496">
        <v>1.2999999999999999E-4</v>
      </c>
      <c r="AH68" s="496">
        <v>1.2999999999999999E-4</v>
      </c>
      <c r="AI68" s="496">
        <v>1.2999999999999999E-4</v>
      </c>
      <c r="AJ68" s="496">
        <v>1.2999999999999999E-4</v>
      </c>
      <c r="AK68" s="496">
        <v>1.2999999999999999E-4</v>
      </c>
      <c r="AL68" s="496">
        <v>1.2999999999999999E-4</v>
      </c>
      <c r="AM68" s="496">
        <v>1.2999999999999999E-4</v>
      </c>
      <c r="AN68" s="496">
        <v>1.2999999999999999E-4</v>
      </c>
      <c r="AO68" s="496">
        <v>1.2999999999999999E-4</v>
      </c>
      <c r="AP68" s="496">
        <v>1.2999999999999999E-4</v>
      </c>
      <c r="AQ68" s="496" t="s">
        <v>335</v>
      </c>
      <c r="AR68" s="496" t="s">
        <v>335</v>
      </c>
    </row>
    <row r="69" spans="1:51">
      <c r="A69" s="483"/>
      <c r="B69" s="579" t="s">
        <v>332</v>
      </c>
      <c r="E69" s="492"/>
      <c r="F69" s="492"/>
      <c r="G69" s="496"/>
      <c r="H69" s="496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6"/>
      <c r="T69" s="496"/>
      <c r="U69" s="492"/>
      <c r="V69" s="492"/>
      <c r="W69" s="492"/>
      <c r="X69" s="492"/>
      <c r="Y69" s="492"/>
      <c r="Z69" s="492"/>
      <c r="AA69" s="492"/>
      <c r="AB69" s="492"/>
      <c r="AC69" s="492"/>
      <c r="AD69" s="578">
        <v>2.5000000000000001E-4</v>
      </c>
      <c r="AE69" s="496" t="s">
        <v>335</v>
      </c>
      <c r="AF69" s="496" t="s">
        <v>335</v>
      </c>
      <c r="AG69" s="496">
        <v>1.2999999999999999E-4</v>
      </c>
      <c r="AH69" s="496">
        <v>1.2999999999999999E-4</v>
      </c>
      <c r="AI69" s="496">
        <v>1.2999999999999999E-4</v>
      </c>
      <c r="AJ69" s="496">
        <v>1.2999999999999999E-4</v>
      </c>
      <c r="AK69" s="496">
        <v>1.2999999999999999E-4</v>
      </c>
      <c r="AL69" s="496">
        <v>1.2999999999999999E-4</v>
      </c>
      <c r="AM69" s="496">
        <v>1.2999999999999999E-4</v>
      </c>
      <c r="AN69" s="496">
        <v>1.2999999999999999E-4</v>
      </c>
      <c r="AO69" s="496">
        <v>1.2999999999999999E-4</v>
      </c>
      <c r="AP69" s="496">
        <v>1.2999999999999999E-4</v>
      </c>
      <c r="AQ69" s="496" t="s">
        <v>335</v>
      </c>
      <c r="AR69" s="496" t="s">
        <v>335</v>
      </c>
    </row>
    <row r="70" spans="1:51">
      <c r="A70" s="483"/>
      <c r="B70" s="481" t="s">
        <v>38</v>
      </c>
      <c r="E70" s="492">
        <v>-2.1900000000000001E-3</v>
      </c>
      <c r="F70" s="492">
        <v>-2.1900000000000001E-3</v>
      </c>
      <c r="G70" s="496" t="s">
        <v>270</v>
      </c>
      <c r="H70" s="496" t="s">
        <v>270</v>
      </c>
      <c r="I70" s="492">
        <v>-3.8999999999999999E-4</v>
      </c>
      <c r="J70" s="492">
        <v>-3.8999999999999999E-4</v>
      </c>
      <c r="K70" s="492">
        <v>-3.8999999999999999E-4</v>
      </c>
      <c r="L70" s="492">
        <v>-3.8999999999999999E-4</v>
      </c>
      <c r="M70" s="492">
        <v>-3.8999999999999999E-4</v>
      </c>
      <c r="N70" s="492">
        <v>-3.8999999999999999E-4</v>
      </c>
      <c r="O70" s="492">
        <v>-3.8999999999999999E-4</v>
      </c>
      <c r="P70" s="492">
        <v>-3.8999999999999999E-4</v>
      </c>
      <c r="Q70" s="492">
        <v>-3.8999999999999999E-4</v>
      </c>
      <c r="R70" s="492">
        <v>-3.8999999999999999E-4</v>
      </c>
      <c r="S70" s="496" t="s">
        <v>270</v>
      </c>
      <c r="T70" s="496" t="s">
        <v>270</v>
      </c>
      <c r="U70" s="492">
        <v>2.5000000000000001E-4</v>
      </c>
      <c r="V70" s="492">
        <v>2.5000000000000001E-4</v>
      </c>
      <c r="W70" s="492">
        <v>2.5000000000000001E-4</v>
      </c>
      <c r="X70" s="492">
        <v>2.5000000000000001E-4</v>
      </c>
      <c r="Y70" s="492">
        <v>2.5000000000000001E-4</v>
      </c>
      <c r="Z70" s="492">
        <v>2.5000000000000001E-4</v>
      </c>
      <c r="AA70" s="492">
        <v>2.5000000000000001E-4</v>
      </c>
      <c r="AB70" s="492">
        <v>2.5000000000000001E-4</v>
      </c>
      <c r="AC70" s="492">
        <v>2.5000000000000001E-4</v>
      </c>
      <c r="AD70" s="492">
        <v>2.5000000000000001E-4</v>
      </c>
      <c r="AE70" s="496" t="s">
        <v>335</v>
      </c>
      <c r="AF70" s="496" t="s">
        <v>335</v>
      </c>
      <c r="AG70" s="496">
        <v>1.2999999999999999E-4</v>
      </c>
      <c r="AH70" s="496">
        <v>1.2999999999999999E-4</v>
      </c>
      <c r="AI70" s="496">
        <v>1.2999999999999999E-4</v>
      </c>
      <c r="AJ70" s="496">
        <v>1.2999999999999999E-4</v>
      </c>
      <c r="AK70" s="496">
        <v>1.2999999999999999E-4</v>
      </c>
      <c r="AL70" s="496">
        <v>1.2999999999999999E-4</v>
      </c>
      <c r="AM70" s="496">
        <v>1.2999999999999999E-4</v>
      </c>
      <c r="AN70" s="496">
        <v>1.2999999999999999E-4</v>
      </c>
      <c r="AO70" s="496">
        <v>1.2999999999999999E-4</v>
      </c>
      <c r="AP70" s="496">
        <v>1.2999999999999999E-4</v>
      </c>
      <c r="AQ70" s="496" t="s">
        <v>335</v>
      </c>
      <c r="AR70" s="496" t="s">
        <v>335</v>
      </c>
    </row>
    <row r="71" spans="1:51">
      <c r="A71" s="483"/>
      <c r="B71" s="481" t="s">
        <v>39</v>
      </c>
      <c r="E71" s="492">
        <v>-2.1900000000000001E-3</v>
      </c>
      <c r="F71" s="492">
        <v>-2.1900000000000001E-3</v>
      </c>
      <c r="G71" s="496" t="s">
        <v>270</v>
      </c>
      <c r="H71" s="496" t="s">
        <v>270</v>
      </c>
      <c r="I71" s="492">
        <v>-3.8999999999999999E-4</v>
      </c>
      <c r="J71" s="492">
        <v>-3.8999999999999999E-4</v>
      </c>
      <c r="K71" s="492">
        <v>-3.8999999999999999E-4</v>
      </c>
      <c r="L71" s="492">
        <v>-3.8999999999999999E-4</v>
      </c>
      <c r="M71" s="492">
        <v>-3.8999999999999999E-4</v>
      </c>
      <c r="N71" s="492">
        <v>-3.8999999999999999E-4</v>
      </c>
      <c r="O71" s="492">
        <v>-3.8999999999999999E-4</v>
      </c>
      <c r="P71" s="492">
        <v>-3.8999999999999999E-4</v>
      </c>
      <c r="Q71" s="492">
        <v>-3.8999999999999999E-4</v>
      </c>
      <c r="R71" s="492">
        <v>-3.8999999999999999E-4</v>
      </c>
      <c r="S71" s="496" t="s">
        <v>270</v>
      </c>
      <c r="T71" s="496" t="s">
        <v>270</v>
      </c>
      <c r="U71" s="492">
        <v>2.5000000000000001E-4</v>
      </c>
      <c r="V71" s="492">
        <v>2.5000000000000001E-4</v>
      </c>
      <c r="W71" s="492">
        <v>2.5000000000000001E-4</v>
      </c>
      <c r="X71" s="492">
        <v>2.5000000000000001E-4</v>
      </c>
      <c r="Y71" s="492">
        <v>2.5000000000000001E-4</v>
      </c>
      <c r="Z71" s="492">
        <v>2.5000000000000001E-4</v>
      </c>
      <c r="AA71" s="492">
        <v>2.5000000000000001E-4</v>
      </c>
      <c r="AB71" s="492">
        <v>2.5000000000000001E-4</v>
      </c>
      <c r="AC71" s="492">
        <v>2.5000000000000001E-4</v>
      </c>
      <c r="AD71" s="492">
        <v>2.5000000000000001E-4</v>
      </c>
      <c r="AE71" s="496" t="s">
        <v>335</v>
      </c>
      <c r="AF71" s="496" t="s">
        <v>335</v>
      </c>
      <c r="AG71" s="496">
        <v>1.2999999999999999E-4</v>
      </c>
      <c r="AH71" s="496">
        <v>1.2999999999999999E-4</v>
      </c>
      <c r="AI71" s="496">
        <v>1.2999999999999999E-4</v>
      </c>
      <c r="AJ71" s="496">
        <v>1.2999999999999999E-4</v>
      </c>
      <c r="AK71" s="496">
        <v>1.2999999999999999E-4</v>
      </c>
      <c r="AL71" s="496">
        <v>1.2999999999999999E-4</v>
      </c>
      <c r="AM71" s="496">
        <v>1.2999999999999999E-4</v>
      </c>
      <c r="AN71" s="496">
        <v>1.2999999999999999E-4</v>
      </c>
      <c r="AO71" s="496">
        <v>1.2999999999999999E-4</v>
      </c>
      <c r="AP71" s="496">
        <v>1.2999999999999999E-4</v>
      </c>
      <c r="AQ71" s="496" t="s">
        <v>335</v>
      </c>
      <c r="AR71" s="496" t="s">
        <v>335</v>
      </c>
    </row>
    <row r="72" spans="1:51">
      <c r="A72" s="483"/>
      <c r="B72" s="481" t="s">
        <v>40</v>
      </c>
      <c r="E72" s="492">
        <v>-2.1900000000000001E-3</v>
      </c>
      <c r="F72" s="492">
        <v>-2.1900000000000001E-3</v>
      </c>
      <c r="G72" s="496" t="s">
        <v>270</v>
      </c>
      <c r="H72" s="496" t="s">
        <v>270</v>
      </c>
      <c r="I72" s="492">
        <v>-3.8999999999999999E-4</v>
      </c>
      <c r="J72" s="492">
        <v>-3.8999999999999999E-4</v>
      </c>
      <c r="K72" s="492">
        <v>-3.8999999999999999E-4</v>
      </c>
      <c r="L72" s="492">
        <v>-3.8999999999999999E-4</v>
      </c>
      <c r="M72" s="492">
        <v>-3.8999999999999999E-4</v>
      </c>
      <c r="N72" s="492">
        <v>-3.8999999999999999E-4</v>
      </c>
      <c r="O72" s="492">
        <v>-3.8999999999999999E-4</v>
      </c>
      <c r="P72" s="492">
        <v>-3.8999999999999999E-4</v>
      </c>
      <c r="Q72" s="492">
        <v>-3.8999999999999999E-4</v>
      </c>
      <c r="R72" s="492">
        <v>-3.8999999999999999E-4</v>
      </c>
      <c r="S72" s="496" t="s">
        <v>270</v>
      </c>
      <c r="T72" s="496" t="s">
        <v>270</v>
      </c>
      <c r="U72" s="492">
        <v>2.5000000000000001E-4</v>
      </c>
      <c r="V72" s="492">
        <v>2.5000000000000001E-4</v>
      </c>
      <c r="W72" s="492">
        <v>2.5000000000000001E-4</v>
      </c>
      <c r="X72" s="492">
        <v>2.5000000000000001E-4</v>
      </c>
      <c r="Y72" s="492">
        <v>2.5000000000000001E-4</v>
      </c>
      <c r="Z72" s="492">
        <v>2.5000000000000001E-4</v>
      </c>
      <c r="AA72" s="492">
        <v>2.5000000000000001E-4</v>
      </c>
      <c r="AB72" s="492">
        <v>2.5000000000000001E-4</v>
      </c>
      <c r="AC72" s="492">
        <v>2.5000000000000001E-4</v>
      </c>
      <c r="AD72" s="492">
        <v>2.5000000000000001E-4</v>
      </c>
      <c r="AE72" s="496" t="s">
        <v>335</v>
      </c>
      <c r="AF72" s="496" t="s">
        <v>335</v>
      </c>
      <c r="AG72" s="496">
        <v>1.2999999999999999E-4</v>
      </c>
      <c r="AH72" s="496">
        <v>1.2999999999999999E-4</v>
      </c>
      <c r="AI72" s="496">
        <v>1.2999999999999999E-4</v>
      </c>
      <c r="AJ72" s="496">
        <v>1.2999999999999999E-4</v>
      </c>
      <c r="AK72" s="496">
        <v>1.2999999999999999E-4</v>
      </c>
      <c r="AL72" s="496">
        <v>1.2999999999999999E-4</v>
      </c>
      <c r="AM72" s="496">
        <v>1.2999999999999999E-4</v>
      </c>
      <c r="AN72" s="496">
        <v>1.2999999999999999E-4</v>
      </c>
      <c r="AO72" s="496">
        <v>1.2999999999999999E-4</v>
      </c>
      <c r="AP72" s="496">
        <v>1.2999999999999999E-4</v>
      </c>
      <c r="AQ72" s="496" t="s">
        <v>335</v>
      </c>
      <c r="AR72" s="496" t="s">
        <v>335</v>
      </c>
    </row>
    <row r="73" spans="1:51">
      <c r="A73" s="483"/>
      <c r="B73" s="481" t="s">
        <v>41</v>
      </c>
      <c r="E73" s="492">
        <v>-2.1900000000000001E-3</v>
      </c>
      <c r="F73" s="492">
        <v>-2.1900000000000001E-3</v>
      </c>
      <c r="G73" s="496" t="s">
        <v>270</v>
      </c>
      <c r="H73" s="496" t="s">
        <v>270</v>
      </c>
      <c r="I73" s="492">
        <v>-3.8999999999999999E-4</v>
      </c>
      <c r="J73" s="492">
        <v>-3.8999999999999999E-4</v>
      </c>
      <c r="K73" s="492">
        <v>-3.8999999999999999E-4</v>
      </c>
      <c r="L73" s="492">
        <v>-3.8999999999999999E-4</v>
      </c>
      <c r="M73" s="492">
        <v>-3.8999999999999999E-4</v>
      </c>
      <c r="N73" s="492">
        <v>-3.8999999999999999E-4</v>
      </c>
      <c r="O73" s="492">
        <v>-3.8999999999999999E-4</v>
      </c>
      <c r="P73" s="492">
        <v>-3.8999999999999999E-4</v>
      </c>
      <c r="Q73" s="492">
        <v>-3.8999999999999999E-4</v>
      </c>
      <c r="R73" s="492">
        <v>-3.8999999999999999E-4</v>
      </c>
      <c r="S73" s="496" t="s">
        <v>270</v>
      </c>
      <c r="T73" s="496" t="s">
        <v>270</v>
      </c>
      <c r="U73" s="492">
        <v>2.5000000000000001E-4</v>
      </c>
      <c r="V73" s="492">
        <v>2.5000000000000001E-4</v>
      </c>
      <c r="W73" s="492">
        <v>2.5000000000000001E-4</v>
      </c>
      <c r="X73" s="492">
        <v>2.5000000000000001E-4</v>
      </c>
      <c r="Y73" s="492">
        <v>2.5000000000000001E-4</v>
      </c>
      <c r="Z73" s="492">
        <v>2.5000000000000001E-4</v>
      </c>
      <c r="AA73" s="492">
        <v>2.5000000000000001E-4</v>
      </c>
      <c r="AB73" s="492">
        <v>2.5000000000000001E-4</v>
      </c>
      <c r="AC73" s="492">
        <v>2.5000000000000001E-4</v>
      </c>
      <c r="AD73" s="492">
        <v>2.5000000000000001E-4</v>
      </c>
      <c r="AE73" s="496" t="s">
        <v>335</v>
      </c>
      <c r="AF73" s="496" t="s">
        <v>335</v>
      </c>
      <c r="AG73" s="496">
        <v>1.2999999999999999E-4</v>
      </c>
      <c r="AH73" s="496">
        <v>1.2999999999999999E-4</v>
      </c>
      <c r="AI73" s="496">
        <v>1.2999999999999999E-4</v>
      </c>
      <c r="AJ73" s="496">
        <v>1.2999999999999999E-4</v>
      </c>
      <c r="AK73" s="496">
        <v>1.2999999999999999E-4</v>
      </c>
      <c r="AL73" s="496">
        <v>1.2999999999999999E-4</v>
      </c>
      <c r="AM73" s="496">
        <v>1.2999999999999999E-4</v>
      </c>
      <c r="AN73" s="496">
        <v>1.2999999999999999E-4</v>
      </c>
      <c r="AO73" s="496">
        <v>1.2999999999999999E-4</v>
      </c>
      <c r="AP73" s="496">
        <v>1.2999999999999999E-4</v>
      </c>
      <c r="AQ73" s="496" t="s">
        <v>335</v>
      </c>
      <c r="AR73" s="496" t="s">
        <v>335</v>
      </c>
    </row>
    <row r="74" spans="1:51" ht="16.2" thickBot="1">
      <c r="A74" s="483"/>
      <c r="B74" s="481" t="s">
        <v>42</v>
      </c>
      <c r="E74" s="492">
        <v>-2.1900000000000001E-3</v>
      </c>
      <c r="F74" s="492">
        <v>-2.1900000000000001E-3</v>
      </c>
      <c r="G74" s="496" t="s">
        <v>270</v>
      </c>
      <c r="H74" s="496" t="s">
        <v>270</v>
      </c>
      <c r="I74" s="492">
        <v>-3.8999999999999999E-4</v>
      </c>
      <c r="J74" s="492">
        <v>-3.8999999999999999E-4</v>
      </c>
      <c r="K74" s="492">
        <v>-3.8999999999999999E-4</v>
      </c>
      <c r="L74" s="492">
        <v>-3.8999999999999999E-4</v>
      </c>
      <c r="M74" s="492">
        <v>-3.8999999999999999E-4</v>
      </c>
      <c r="N74" s="492">
        <v>-3.8999999999999999E-4</v>
      </c>
      <c r="O74" s="492">
        <v>-3.8999999999999999E-4</v>
      </c>
      <c r="P74" s="492">
        <v>-3.8999999999999999E-4</v>
      </c>
      <c r="Q74" s="492">
        <v>-3.8999999999999999E-4</v>
      </c>
      <c r="R74" s="492">
        <v>-3.8999999999999999E-4</v>
      </c>
      <c r="S74" s="496" t="s">
        <v>270</v>
      </c>
      <c r="T74" s="496" t="s">
        <v>270</v>
      </c>
      <c r="U74" s="492">
        <v>2.5000000000000001E-4</v>
      </c>
      <c r="V74" s="492">
        <v>2.5000000000000001E-4</v>
      </c>
      <c r="W74" s="492">
        <v>2.5000000000000001E-4</v>
      </c>
      <c r="X74" s="492">
        <v>2.5000000000000001E-4</v>
      </c>
      <c r="Y74" s="492">
        <v>2.5000000000000001E-4</v>
      </c>
      <c r="Z74" s="492">
        <v>2.5000000000000001E-4</v>
      </c>
      <c r="AA74" s="492">
        <v>2.5000000000000001E-4</v>
      </c>
      <c r="AB74" s="492">
        <v>2.5000000000000001E-4</v>
      </c>
      <c r="AC74" s="492">
        <v>2.5000000000000001E-4</v>
      </c>
      <c r="AD74" s="492">
        <v>2.5000000000000001E-4</v>
      </c>
      <c r="AE74" s="496" t="s">
        <v>335</v>
      </c>
      <c r="AF74" s="496" t="s">
        <v>335</v>
      </c>
      <c r="AG74" s="496">
        <v>1.2999999999999999E-4</v>
      </c>
      <c r="AH74" s="496">
        <v>1.2999999999999999E-4</v>
      </c>
      <c r="AI74" s="496">
        <v>1.2999999999999999E-4</v>
      </c>
      <c r="AJ74" s="496">
        <v>1.2999999999999999E-4</v>
      </c>
      <c r="AK74" s="496">
        <v>1.2999999999999999E-4</v>
      </c>
      <c r="AL74" s="496">
        <v>1.2999999999999999E-4</v>
      </c>
      <c r="AM74" s="496">
        <v>1.2999999999999999E-4</v>
      </c>
      <c r="AN74" s="496">
        <v>1.2999999999999999E-4</v>
      </c>
      <c r="AO74" s="496">
        <v>1.2999999999999999E-4</v>
      </c>
      <c r="AP74" s="496">
        <v>1.2999999999999999E-4</v>
      </c>
      <c r="AQ74" s="496" t="s">
        <v>335</v>
      </c>
      <c r="AR74" s="496" t="s">
        <v>335</v>
      </c>
    </row>
    <row r="75" spans="1:51" ht="16.2" thickBot="1">
      <c r="A75" s="483"/>
      <c r="B75" s="481" t="s">
        <v>43</v>
      </c>
      <c r="E75" s="492">
        <v>-2.1900000000000001E-3</v>
      </c>
      <c r="F75" s="492">
        <v>-2.1900000000000001E-3</v>
      </c>
      <c r="G75" s="496" t="s">
        <v>270</v>
      </c>
      <c r="H75" s="496" t="s">
        <v>270</v>
      </c>
      <c r="I75" s="492">
        <v>-3.8999999999999999E-4</v>
      </c>
      <c r="J75" s="492">
        <v>-3.8999999999999999E-4</v>
      </c>
      <c r="K75" s="492">
        <v>-3.8999999999999999E-4</v>
      </c>
      <c r="L75" s="492">
        <v>-3.8999999999999999E-4</v>
      </c>
      <c r="M75" s="492">
        <v>-3.8999999999999999E-4</v>
      </c>
      <c r="N75" s="492">
        <v>-3.8999999999999999E-4</v>
      </c>
      <c r="O75" s="492">
        <v>-3.8999999999999999E-4</v>
      </c>
      <c r="P75" s="492">
        <v>-3.8999999999999999E-4</v>
      </c>
      <c r="Q75" s="492">
        <v>-3.8999999999999999E-4</v>
      </c>
      <c r="R75" s="492">
        <v>-3.8999999999999999E-4</v>
      </c>
      <c r="S75" s="496" t="s">
        <v>270</v>
      </c>
      <c r="T75" s="496" t="s">
        <v>270</v>
      </c>
      <c r="U75" s="492">
        <v>2.5000000000000001E-4</v>
      </c>
      <c r="V75" s="492">
        <v>2.5000000000000001E-4</v>
      </c>
      <c r="W75" s="492">
        <v>2.5000000000000001E-4</v>
      </c>
      <c r="X75" s="492">
        <v>2.5000000000000001E-4</v>
      </c>
      <c r="Y75" s="492">
        <v>2.5000000000000001E-4</v>
      </c>
      <c r="Z75" s="492">
        <v>2.5000000000000001E-4</v>
      </c>
      <c r="AA75" s="492">
        <v>2.5000000000000001E-4</v>
      </c>
      <c r="AB75" s="492">
        <v>2.5000000000000001E-4</v>
      </c>
      <c r="AC75" s="492">
        <v>2.5000000000000001E-4</v>
      </c>
      <c r="AD75" s="492">
        <v>2.5000000000000001E-4</v>
      </c>
      <c r="AE75" s="496" t="s">
        <v>335</v>
      </c>
      <c r="AF75" s="496" t="s">
        <v>335</v>
      </c>
      <c r="AG75" s="496">
        <v>1.2999999999999999E-4</v>
      </c>
      <c r="AH75" s="496">
        <v>1.2999999999999999E-4</v>
      </c>
      <c r="AI75" s="496">
        <v>1.2999999999999999E-4</v>
      </c>
      <c r="AJ75" s="496">
        <v>1.2999999999999999E-4</v>
      </c>
      <c r="AK75" s="496">
        <v>1.2999999999999999E-4</v>
      </c>
      <c r="AL75" s="496">
        <v>1.2999999999999999E-4</v>
      </c>
      <c r="AM75" s="496">
        <v>1.2999999999999999E-4</v>
      </c>
      <c r="AN75" s="496">
        <v>1.2999999999999999E-4</v>
      </c>
      <c r="AO75" s="496">
        <v>1.2999999999999999E-4</v>
      </c>
      <c r="AP75" s="496">
        <v>1.2999999999999999E-4</v>
      </c>
      <c r="AQ75" s="496" t="s">
        <v>335</v>
      </c>
      <c r="AR75" s="496" t="s">
        <v>335</v>
      </c>
      <c r="AT75" s="522">
        <v>201601</v>
      </c>
      <c r="AU75" s="531"/>
      <c r="AV75" s="523"/>
      <c r="AW75" s="523"/>
      <c r="AX75" s="523"/>
      <c r="AY75" s="524"/>
    </row>
    <row r="76" spans="1:51" ht="16.2">
      <c r="A76" s="483"/>
      <c r="B76" s="481" t="s">
        <v>74</v>
      </c>
      <c r="E76" s="492">
        <v>-2.0000000000000001E-4</v>
      </c>
      <c r="F76" s="492">
        <v>-2.0000000000000001E-4</v>
      </c>
      <c r="G76" s="496" t="s">
        <v>270</v>
      </c>
      <c r="H76" s="496" t="s">
        <v>270</v>
      </c>
      <c r="I76" s="492">
        <v>-4.0000000000000003E-5</v>
      </c>
      <c r="J76" s="492">
        <v>-4.0000000000000003E-5</v>
      </c>
      <c r="K76" s="492">
        <v>-4.0000000000000003E-5</v>
      </c>
      <c r="L76" s="492">
        <v>-4.0000000000000003E-5</v>
      </c>
      <c r="M76" s="492">
        <v>-4.0000000000000003E-5</v>
      </c>
      <c r="N76" s="492">
        <v>-4.0000000000000003E-5</v>
      </c>
      <c r="O76" s="492">
        <v>-4.0000000000000003E-5</v>
      </c>
      <c r="P76" s="492">
        <v>-4.0000000000000003E-5</v>
      </c>
      <c r="Q76" s="492">
        <v>-4.0000000000000003E-5</v>
      </c>
      <c r="R76" s="492">
        <v>-4.0000000000000003E-5</v>
      </c>
      <c r="S76" s="496" t="s">
        <v>270</v>
      </c>
      <c r="T76" s="496" t="s">
        <v>270</v>
      </c>
      <c r="U76" s="492">
        <v>4.0000000000000003E-5</v>
      </c>
      <c r="V76" s="492">
        <v>4.0000000000000003E-5</v>
      </c>
      <c r="W76" s="492">
        <v>4.0000000000000003E-5</v>
      </c>
      <c r="X76" s="492">
        <v>4.0000000000000003E-5</v>
      </c>
      <c r="Y76" s="492">
        <v>4.0000000000000003E-5</v>
      </c>
      <c r="Z76" s="492">
        <v>4.0000000000000003E-5</v>
      </c>
      <c r="AA76" s="492">
        <v>4.0000000000000003E-5</v>
      </c>
      <c r="AB76" s="492">
        <v>4.0000000000000003E-5</v>
      </c>
      <c r="AC76" s="492">
        <v>4.0000000000000003E-5</v>
      </c>
      <c r="AD76" s="492">
        <v>4.0000000000000003E-5</v>
      </c>
      <c r="AE76" s="496" t="s">
        <v>335</v>
      </c>
      <c r="AF76" s="496" t="s">
        <v>335</v>
      </c>
      <c r="AG76" s="496">
        <v>2.0000000000000002E-5</v>
      </c>
      <c r="AH76" s="496">
        <v>2.0000000000000002E-5</v>
      </c>
      <c r="AI76" s="496">
        <v>2.0000000000000002E-5</v>
      </c>
      <c r="AJ76" s="496">
        <v>2.0000000000000002E-5</v>
      </c>
      <c r="AK76" s="496">
        <v>2.0000000000000002E-5</v>
      </c>
      <c r="AL76" s="496">
        <v>2.0000000000000002E-5</v>
      </c>
      <c r="AM76" s="496">
        <v>2.0000000000000002E-5</v>
      </c>
      <c r="AN76" s="496">
        <v>2.0000000000000002E-5</v>
      </c>
      <c r="AO76" s="496">
        <v>2.0000000000000002E-5</v>
      </c>
      <c r="AP76" s="496">
        <v>2.0000000000000002E-5</v>
      </c>
      <c r="AQ76" s="496" t="s">
        <v>335</v>
      </c>
      <c r="AR76" s="496" t="s">
        <v>335</v>
      </c>
      <c r="AT76" s="499" t="s">
        <v>302</v>
      </c>
      <c r="AU76" s="528">
        <v>191025</v>
      </c>
      <c r="AV76" s="358" t="s">
        <v>288</v>
      </c>
      <c r="AW76" s="358" t="s">
        <v>289</v>
      </c>
      <c r="AX76" s="381">
        <v>3623.7883399999996</v>
      </c>
      <c r="AY76" s="500">
        <v>0</v>
      </c>
    </row>
    <row r="77" spans="1:51" ht="16.2">
      <c r="A77" s="483" t="s">
        <v>293</v>
      </c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T77" s="499" t="s">
        <v>303</v>
      </c>
      <c r="AU77" s="528">
        <v>805110</v>
      </c>
      <c r="AV77" s="358" t="s">
        <v>288</v>
      </c>
      <c r="AW77" s="358" t="s">
        <v>289</v>
      </c>
      <c r="AX77" s="381">
        <v>0</v>
      </c>
      <c r="AY77" s="500">
        <v>3623.7883399999996</v>
      </c>
    </row>
    <row r="78" spans="1:51" s="483" customFormat="1" ht="16.2">
      <c r="A78" s="484">
        <v>191025</v>
      </c>
      <c r="B78" s="485" t="s">
        <v>256</v>
      </c>
      <c r="C78" s="486" t="s">
        <v>251</v>
      </c>
      <c r="D78" s="487" t="s">
        <v>252</v>
      </c>
      <c r="E78" s="484">
        <v>201309</v>
      </c>
      <c r="F78" s="484">
        <v>201310</v>
      </c>
      <c r="G78" s="484">
        <v>201311</v>
      </c>
      <c r="H78" s="484">
        <v>201312</v>
      </c>
      <c r="I78" s="484">
        <v>201401</v>
      </c>
      <c r="J78" s="484">
        <v>201402</v>
      </c>
      <c r="K78" s="484">
        <v>201403</v>
      </c>
      <c r="L78" s="484">
        <v>201404</v>
      </c>
      <c r="M78" s="484">
        <v>201405</v>
      </c>
      <c r="N78" s="484">
        <v>201406</v>
      </c>
      <c r="O78" s="484">
        <v>201407</v>
      </c>
      <c r="P78" s="484">
        <v>201408</v>
      </c>
      <c r="Q78" s="484">
        <v>201409</v>
      </c>
      <c r="R78" s="484">
        <v>201410</v>
      </c>
      <c r="S78" s="484">
        <v>201411</v>
      </c>
      <c r="T78" s="484">
        <v>201412</v>
      </c>
      <c r="U78" s="484">
        <v>201501</v>
      </c>
      <c r="V78" s="484">
        <v>201502</v>
      </c>
      <c r="W78" s="484">
        <v>201503</v>
      </c>
      <c r="X78" s="484">
        <v>201504</v>
      </c>
      <c r="Y78" s="484">
        <v>201505</v>
      </c>
      <c r="Z78" s="484">
        <v>201506</v>
      </c>
      <c r="AA78" s="484">
        <v>201507</v>
      </c>
      <c r="AB78" s="484">
        <v>201508</v>
      </c>
      <c r="AC78" s="484">
        <v>201509</v>
      </c>
      <c r="AD78" s="484">
        <v>201510</v>
      </c>
      <c r="AE78" s="484">
        <v>201511</v>
      </c>
      <c r="AF78" s="484">
        <v>201512</v>
      </c>
      <c r="AG78" s="484">
        <v>201601</v>
      </c>
      <c r="AH78" s="484">
        <v>201602</v>
      </c>
      <c r="AI78" s="484">
        <v>201603</v>
      </c>
      <c r="AJ78" s="484">
        <v>201604</v>
      </c>
      <c r="AK78" s="484">
        <v>201605</v>
      </c>
      <c r="AL78" s="484">
        <v>201606</v>
      </c>
      <c r="AM78" s="484">
        <v>201607</v>
      </c>
      <c r="AN78" s="484">
        <v>201608</v>
      </c>
      <c r="AO78" s="484">
        <v>201609</v>
      </c>
      <c r="AP78" s="484">
        <v>201610</v>
      </c>
      <c r="AQ78" s="484">
        <v>201611</v>
      </c>
      <c r="AR78" s="484">
        <v>201612</v>
      </c>
      <c r="AT78" s="499" t="s">
        <v>273</v>
      </c>
      <c r="AU78" s="528"/>
      <c r="AV78" s="358"/>
      <c r="AW78" s="358"/>
      <c r="AX78" s="381">
        <v>0</v>
      </c>
      <c r="AY78" s="500">
        <v>0</v>
      </c>
    </row>
    <row r="79" spans="1:51" ht="16.8" thickBot="1">
      <c r="A79" s="493"/>
      <c r="B79" s="481" t="s">
        <v>253</v>
      </c>
      <c r="E79" s="482">
        <v>49539.047030000002</v>
      </c>
      <c r="F79" s="482">
        <v>38932.729789999998</v>
      </c>
      <c r="G79" s="482">
        <v>8140.2385399999985</v>
      </c>
      <c r="H79" s="482">
        <v>-693.68146000000161</v>
      </c>
      <c r="I79" s="482">
        <v>-13695.721460000002</v>
      </c>
      <c r="J79" s="482">
        <v>-24946.501630000002</v>
      </c>
      <c r="K79" s="482">
        <v>-35935.697740000003</v>
      </c>
      <c r="L79" s="482">
        <v>-43868.737290000005</v>
      </c>
      <c r="M79" s="482">
        <v>-48533.952360000003</v>
      </c>
      <c r="N79" s="482">
        <v>-51097.105150000003</v>
      </c>
      <c r="O79" s="482">
        <v>-53019.406010000006</v>
      </c>
      <c r="P79" s="482">
        <v>-54619.79959000001</v>
      </c>
      <c r="Q79" s="482">
        <v>-56173.40615000001</v>
      </c>
      <c r="R79" s="482">
        <v>-58149.353890000013</v>
      </c>
      <c r="S79" s="482">
        <v>-61477.482430000011</v>
      </c>
      <c r="T79" s="482">
        <v>-56200.445640000013</v>
      </c>
      <c r="U79" s="482">
        <v>-49897.475640000011</v>
      </c>
      <c r="V79" s="482">
        <v>-43064.021250000013</v>
      </c>
      <c r="W79" s="482">
        <v>-38138.117780000015</v>
      </c>
      <c r="X79" s="482">
        <v>-34282.961340000016</v>
      </c>
      <c r="Y79" s="482">
        <v>-31253.873050000017</v>
      </c>
      <c r="Z79" s="482">
        <v>-29770.929110000015</v>
      </c>
      <c r="AA79" s="482">
        <v>-28708.282540000015</v>
      </c>
      <c r="AB79" s="482">
        <v>-27692.487530000013</v>
      </c>
      <c r="AC79" s="482">
        <v>-26711.886850000014</v>
      </c>
      <c r="AD79" s="482">
        <v>-25249.174790000012</v>
      </c>
      <c r="AE79" s="482">
        <v>-23171.93566000001</v>
      </c>
      <c r="AF79" s="482">
        <v>-21380.93566000001</v>
      </c>
      <c r="AG79" s="482">
        <v>-18146.93566000001</v>
      </c>
      <c r="AH79" s="482">
        <v>-14523.147320000011</v>
      </c>
      <c r="AI79" s="482">
        <v>-11852.264220000012</v>
      </c>
      <c r="AJ79" s="482">
        <v>-11852.264220000012</v>
      </c>
      <c r="AK79" s="482">
        <v>-11852.264220000012</v>
      </c>
      <c r="AL79" s="482">
        <v>-11852.264220000012</v>
      </c>
      <c r="AM79" s="482">
        <v>-11852.264220000012</v>
      </c>
      <c r="AN79" s="482">
        <v>-11852.264220000012</v>
      </c>
      <c r="AO79" s="482">
        <v>-11852.264220000012</v>
      </c>
      <c r="AP79" s="482">
        <v>-11852.264220000012</v>
      </c>
      <c r="AQ79" s="482">
        <v>-11852.264220000012</v>
      </c>
      <c r="AR79" s="482">
        <v>-11852.264220000012</v>
      </c>
      <c r="AT79" s="501" t="s">
        <v>273</v>
      </c>
      <c r="AU79" s="529"/>
      <c r="AV79" s="502"/>
      <c r="AW79" s="502"/>
      <c r="AX79" s="503">
        <v>0</v>
      </c>
      <c r="AY79" s="521">
        <v>0</v>
      </c>
    </row>
    <row r="80" spans="1:51" ht="16.2" thickBot="1">
      <c r="B80" s="481" t="s">
        <v>23</v>
      </c>
      <c r="C80" s="482">
        <v>6294.6714400000001</v>
      </c>
      <c r="D80" s="494">
        <v>11345.671439999998</v>
      </c>
      <c r="E80" s="482">
        <v>-10606.31724</v>
      </c>
      <c r="F80" s="482">
        <v>-30792.491249999999</v>
      </c>
      <c r="G80" s="482">
        <v>-8833.92</v>
      </c>
      <c r="H80" s="482">
        <v>-13002.04</v>
      </c>
      <c r="I80" s="482">
        <v>-11250.78017</v>
      </c>
      <c r="J80" s="482">
        <v>-10989.196110000001</v>
      </c>
      <c r="K80" s="482">
        <v>-7933.0395500000013</v>
      </c>
      <c r="L80" s="482">
        <v>-4665.2150699999993</v>
      </c>
      <c r="M80" s="482">
        <v>-2563.1527899999996</v>
      </c>
      <c r="N80" s="482">
        <v>-1922.3008600000003</v>
      </c>
      <c r="O80" s="482">
        <v>-1600.3935799999999</v>
      </c>
      <c r="P80" s="482">
        <v>-1553.6065599999997</v>
      </c>
      <c r="Q80" s="482">
        <v>-1975.9477400000001</v>
      </c>
      <c r="R80" s="482">
        <v>-3328.1285399999992</v>
      </c>
      <c r="S80" s="557">
        <v>5277.0367900000001</v>
      </c>
      <c r="T80" s="557">
        <v>6302.97</v>
      </c>
      <c r="U80" s="482">
        <v>6833.4543899999999</v>
      </c>
      <c r="V80" s="482">
        <v>4925.9034700000011</v>
      </c>
      <c r="W80" s="482">
        <v>3855.1564400000007</v>
      </c>
      <c r="X80" s="482">
        <v>3029.0882899999997</v>
      </c>
      <c r="Y80" s="482">
        <v>1482.9439400000001</v>
      </c>
      <c r="Z80" s="482">
        <v>1062.6465700000001</v>
      </c>
      <c r="AA80" s="482">
        <v>1015.7950099999999</v>
      </c>
      <c r="AB80" s="482">
        <v>980.60068000000001</v>
      </c>
      <c r="AC80" s="482">
        <v>1462.7120600000003</v>
      </c>
      <c r="AD80" s="482">
        <v>2077.2391300000004</v>
      </c>
      <c r="AE80" s="563">
        <v>1791</v>
      </c>
      <c r="AF80" s="563">
        <v>3260</v>
      </c>
      <c r="AG80" s="563">
        <v>3623.7883399999996</v>
      </c>
      <c r="AH80" s="563">
        <v>2670.8831</v>
      </c>
      <c r="AI80" s="563">
        <v>0</v>
      </c>
      <c r="AJ80" s="563">
        <v>0</v>
      </c>
      <c r="AK80" s="563">
        <v>0</v>
      </c>
      <c r="AL80" s="563">
        <v>0</v>
      </c>
      <c r="AM80" s="563">
        <v>0</v>
      </c>
      <c r="AN80" s="563">
        <v>0</v>
      </c>
      <c r="AO80" s="563">
        <v>0</v>
      </c>
      <c r="AP80" s="563">
        <v>0</v>
      </c>
      <c r="AQ80" s="563">
        <v>0</v>
      </c>
      <c r="AR80" s="563">
        <v>0</v>
      </c>
      <c r="AT80" s="516"/>
      <c r="AU80" s="530"/>
      <c r="AV80" s="517"/>
      <c r="AW80" s="517"/>
      <c r="AX80" s="517" t="s">
        <v>159</v>
      </c>
      <c r="AY80" s="518">
        <v>0</v>
      </c>
    </row>
    <row r="81" spans="2:44">
      <c r="B81" s="481" t="s">
        <v>148</v>
      </c>
      <c r="C81" s="482">
        <v>0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2">
        <v>0</v>
      </c>
      <c r="M81" s="482">
        <v>0</v>
      </c>
      <c r="N81" s="482">
        <v>0</v>
      </c>
      <c r="O81" s="482">
        <v>0</v>
      </c>
      <c r="P81" s="482">
        <v>0</v>
      </c>
      <c r="Q81" s="482">
        <v>0</v>
      </c>
      <c r="R81" s="482">
        <v>0</v>
      </c>
      <c r="S81" s="482">
        <v>0</v>
      </c>
      <c r="T81" s="482">
        <v>0</v>
      </c>
      <c r="U81" s="482">
        <v>0</v>
      </c>
      <c r="V81" s="482">
        <v>0</v>
      </c>
      <c r="W81" s="482">
        <v>0</v>
      </c>
      <c r="X81" s="482">
        <v>0</v>
      </c>
      <c r="Y81" s="482">
        <v>0</v>
      </c>
      <c r="Z81" s="482">
        <v>0</v>
      </c>
      <c r="AA81" s="482">
        <v>0</v>
      </c>
      <c r="AB81" s="482">
        <v>0</v>
      </c>
      <c r="AC81" s="482">
        <v>0</v>
      </c>
      <c r="AD81" s="482">
        <v>0</v>
      </c>
      <c r="AE81" s="482">
        <v>0</v>
      </c>
      <c r="AF81" s="482">
        <v>-26</v>
      </c>
      <c r="AG81" s="482">
        <v>0</v>
      </c>
      <c r="AH81" s="482">
        <v>0</v>
      </c>
      <c r="AI81" s="482">
        <v>0</v>
      </c>
      <c r="AJ81" s="482">
        <v>0</v>
      </c>
      <c r="AK81" s="482">
        <v>0</v>
      </c>
      <c r="AL81" s="482">
        <v>0</v>
      </c>
      <c r="AM81" s="482">
        <v>0</v>
      </c>
      <c r="AN81" s="482">
        <v>0</v>
      </c>
      <c r="AO81" s="482">
        <v>0</v>
      </c>
      <c r="AP81" s="482">
        <v>0</v>
      </c>
      <c r="AQ81" s="482">
        <v>0</v>
      </c>
      <c r="AR81" s="482">
        <v>0</v>
      </c>
    </row>
    <row r="82" spans="2:44" ht="16.8" thickBot="1">
      <c r="B82" s="481" t="s">
        <v>56</v>
      </c>
      <c r="C82" s="541">
        <v>6294.6714400000001</v>
      </c>
      <c r="D82" s="541"/>
      <c r="E82" s="541">
        <v>38932.729789999998</v>
      </c>
      <c r="F82" s="541">
        <v>8140.2385399999985</v>
      </c>
      <c r="G82" s="541">
        <v>-693.68146000000161</v>
      </c>
      <c r="H82" s="541">
        <v>-13695.721460000002</v>
      </c>
      <c r="I82" s="541">
        <v>-24946.501630000002</v>
      </c>
      <c r="J82" s="541">
        <v>-35935.697740000003</v>
      </c>
      <c r="K82" s="541">
        <v>-43868.737290000005</v>
      </c>
      <c r="L82" s="541">
        <v>-48533.952360000003</v>
      </c>
      <c r="M82" s="541">
        <v>-51097.105150000003</v>
      </c>
      <c r="N82" s="541">
        <v>-53019.406010000006</v>
      </c>
      <c r="O82" s="541">
        <v>-54619.79959000001</v>
      </c>
      <c r="P82" s="541">
        <v>-56173.40615000001</v>
      </c>
      <c r="Q82" s="541">
        <v>-58149.353890000013</v>
      </c>
      <c r="R82" s="541">
        <v>-61477.482430000011</v>
      </c>
      <c r="S82" s="541">
        <v>-56200.445640000013</v>
      </c>
      <c r="T82" s="541">
        <v>-49897.475640000011</v>
      </c>
      <c r="U82" s="541">
        <v>-43064.021250000013</v>
      </c>
      <c r="V82" s="541">
        <v>-38138.117780000015</v>
      </c>
      <c r="W82" s="541">
        <v>-34282.961340000016</v>
      </c>
      <c r="X82" s="541">
        <v>-31253.873050000017</v>
      </c>
      <c r="Y82" s="541">
        <v>-29770.929110000015</v>
      </c>
      <c r="Z82" s="541">
        <v>-28708.282540000015</v>
      </c>
      <c r="AA82" s="541">
        <v>-27692.487530000013</v>
      </c>
      <c r="AB82" s="541">
        <v>-26711.886850000014</v>
      </c>
      <c r="AC82" s="541">
        <v>-25249.174790000012</v>
      </c>
      <c r="AD82" s="541">
        <v>-23171.93566000001</v>
      </c>
      <c r="AE82" s="541">
        <v>-21380.93566000001</v>
      </c>
      <c r="AF82" s="541">
        <v>-18146.93566000001</v>
      </c>
      <c r="AG82" s="541">
        <v>-14523.147320000011</v>
      </c>
      <c r="AH82" s="541">
        <v>-11852.264220000012</v>
      </c>
      <c r="AI82" s="541">
        <v>-11852.264220000012</v>
      </c>
      <c r="AJ82" s="541">
        <v>-11852.264220000012</v>
      </c>
      <c r="AK82" s="541">
        <v>-11852.264220000012</v>
      </c>
      <c r="AL82" s="541">
        <v>-11852.264220000012</v>
      </c>
      <c r="AM82" s="541">
        <v>-11852.264220000012</v>
      </c>
      <c r="AN82" s="541">
        <v>-11852.264220000012</v>
      </c>
      <c r="AO82" s="541">
        <v>-11852.264220000012</v>
      </c>
      <c r="AP82" s="541">
        <v>-11852.264220000012</v>
      </c>
      <c r="AQ82" s="541">
        <v>-11852.264220000012</v>
      </c>
      <c r="AR82" s="541">
        <v>-11852.264220000012</v>
      </c>
    </row>
    <row r="83" spans="2:44" ht="16.2" thickTop="1">
      <c r="B83" s="481" t="s">
        <v>260</v>
      </c>
      <c r="E83" s="482">
        <v>38932.730000000003</v>
      </c>
      <c r="F83" s="482">
        <v>8140.24</v>
      </c>
      <c r="G83" s="482">
        <v>-693.68</v>
      </c>
      <c r="H83" s="482">
        <v>-13695.72</v>
      </c>
      <c r="I83" s="482">
        <v>-24946.5</v>
      </c>
      <c r="J83" s="482">
        <v>-35935.699999999997</v>
      </c>
      <c r="K83" s="482">
        <v>-43868.74</v>
      </c>
      <c r="L83" s="482">
        <v>-48533.96</v>
      </c>
      <c r="M83" s="482">
        <v>-51097.11</v>
      </c>
      <c r="N83" s="482">
        <v>-53019.41</v>
      </c>
      <c r="O83" s="482">
        <v>-54619.8</v>
      </c>
      <c r="P83" s="482">
        <v>-56173.41</v>
      </c>
      <c r="Q83" s="482">
        <v>-58149.36</v>
      </c>
      <c r="R83" s="482">
        <v>-61477.49</v>
      </c>
      <c r="S83" s="482">
        <v>-56200.45</v>
      </c>
      <c r="T83" s="482">
        <v>-49897.48</v>
      </c>
      <c r="U83" s="482">
        <v>-43064.03</v>
      </c>
      <c r="V83" s="482">
        <v>-38138.129999999997</v>
      </c>
      <c r="W83" s="482">
        <v>-34282.97</v>
      </c>
      <c r="X83" s="482">
        <v>-31253.88</v>
      </c>
      <c r="Y83" s="482">
        <v>-29770.94</v>
      </c>
      <c r="Z83" s="482">
        <v>-28708.29</v>
      </c>
      <c r="AA83" s="482">
        <v>-27692.49</v>
      </c>
      <c r="AB83" s="482">
        <v>-26711.89</v>
      </c>
      <c r="AC83" s="482">
        <v>-25249.18</v>
      </c>
      <c r="AD83" s="482">
        <v>-23171.94</v>
      </c>
      <c r="AE83" s="482">
        <v>-21380.94</v>
      </c>
      <c r="AF83" s="482">
        <v>-18146.939999999999</v>
      </c>
      <c r="AG83" s="482">
        <v>-14523.15</v>
      </c>
      <c r="AH83" s="482">
        <v>-14523.15</v>
      </c>
      <c r="AI83" s="482">
        <v>-14523.15</v>
      </c>
      <c r="AJ83" s="482">
        <v>0</v>
      </c>
      <c r="AK83" s="482">
        <v>0</v>
      </c>
      <c r="AL83" s="482">
        <v>0</v>
      </c>
      <c r="AM83" s="482">
        <v>0</v>
      </c>
      <c r="AN83" s="482">
        <v>0</v>
      </c>
      <c r="AO83" s="482">
        <v>0</v>
      </c>
      <c r="AP83" s="482">
        <v>0</v>
      </c>
      <c r="AQ83" s="482">
        <v>0</v>
      </c>
      <c r="AR83" s="482">
        <v>0</v>
      </c>
    </row>
    <row r="84" spans="2:44">
      <c r="B84" s="481" t="s">
        <v>245</v>
      </c>
      <c r="E84" s="482">
        <v>-2.1000000560889021E-4</v>
      </c>
      <c r="F84" s="482">
        <v>-1.4600000013160752E-3</v>
      </c>
      <c r="G84" s="482">
        <v>-1.4600000016571357E-3</v>
      </c>
      <c r="H84" s="482">
        <v>-1.4600000031350646E-3</v>
      </c>
      <c r="I84" s="482">
        <v>-1.6300000024784822E-3</v>
      </c>
      <c r="J84" s="482">
        <v>2.2599999938393012E-3</v>
      </c>
      <c r="K84" s="482">
        <v>2.7099999933852814E-3</v>
      </c>
      <c r="L84" s="482">
        <v>7.6399999961722642E-3</v>
      </c>
      <c r="M84" s="482">
        <v>4.8499999975319952E-3</v>
      </c>
      <c r="N84" s="482">
        <v>3.9899999974295497E-3</v>
      </c>
      <c r="O84" s="482">
        <v>4.0999999328050762E-4</v>
      </c>
      <c r="P84" s="482">
        <v>3.8499999936902896E-3</v>
      </c>
      <c r="Q84" s="482">
        <v>6.1099999875295907E-3</v>
      </c>
      <c r="R84" s="482">
        <v>7.5699999870266765E-3</v>
      </c>
      <c r="S84" s="482">
        <v>4.3599999844445847E-3</v>
      </c>
      <c r="T84" s="482">
        <v>4.3599999917205423E-3</v>
      </c>
      <c r="U84" s="482">
        <v>8.7499999863211997E-3</v>
      </c>
      <c r="V84" s="482">
        <v>1.2219999982335139E-2</v>
      </c>
      <c r="W84" s="482">
        <v>8.6599999849568121E-3</v>
      </c>
      <c r="X84" s="482">
        <v>6.9499999844992999E-3</v>
      </c>
      <c r="Y84" s="482">
        <v>1.0889999983191956E-2</v>
      </c>
      <c r="Z84" s="482">
        <v>7.4599999861675315E-3</v>
      </c>
      <c r="AA84" s="482">
        <v>2.469999988534255E-3</v>
      </c>
      <c r="AB84" s="482">
        <v>3.1499999859079253E-3</v>
      </c>
      <c r="AC84" s="482">
        <v>5.2099999884376302E-3</v>
      </c>
      <c r="AD84" s="482">
        <v>4.339999988587806E-3</v>
      </c>
      <c r="AE84" s="482">
        <v>4.339999988587806E-3</v>
      </c>
      <c r="AF84" s="482">
        <v>4.339999988587806E-3</v>
      </c>
      <c r="AG84" s="482">
        <v>2.6799999886861769E-3</v>
      </c>
      <c r="AH84" s="482">
        <v>2670.8857799999878</v>
      </c>
      <c r="AI84" s="482">
        <v>2670.8857799999878</v>
      </c>
      <c r="AJ84" s="482">
        <v>-11852.264220000012</v>
      </c>
      <c r="AK84" s="482">
        <v>-11852.264220000012</v>
      </c>
      <c r="AL84" s="482">
        <v>-11852.264220000012</v>
      </c>
      <c r="AM84" s="482">
        <v>-11852.264220000012</v>
      </c>
      <c r="AN84" s="482">
        <v>-11852.264220000012</v>
      </c>
      <c r="AO84" s="482">
        <v>-11852.264220000012</v>
      </c>
      <c r="AP84" s="482">
        <v>-11852.264220000012</v>
      </c>
      <c r="AQ84" s="482">
        <v>-11852.264220000012</v>
      </c>
      <c r="AR84" s="482">
        <v>-11852.264220000012</v>
      </c>
    </row>
  </sheetData>
  <conditionalFormatting sqref="E29 K29:AS29 L65:AS65">
    <cfRule type="cellIs" dxfId="221" priority="23" operator="notEqual">
      <formula>E28</formula>
    </cfRule>
  </conditionalFormatting>
  <conditionalFormatting sqref="F29">
    <cfRule type="cellIs" dxfId="220" priority="22" operator="notEqual">
      <formula>F28</formula>
    </cfRule>
  </conditionalFormatting>
  <conditionalFormatting sqref="G29">
    <cfRule type="cellIs" dxfId="219" priority="21" operator="notEqual">
      <formula>G28</formula>
    </cfRule>
  </conditionalFormatting>
  <conditionalFormatting sqref="H29">
    <cfRule type="cellIs" dxfId="218" priority="20" operator="notEqual">
      <formula>H28</formula>
    </cfRule>
  </conditionalFormatting>
  <conditionalFormatting sqref="G65">
    <cfRule type="cellIs" dxfId="217" priority="17" operator="notEqual">
      <formula>G64</formula>
    </cfRule>
  </conditionalFormatting>
  <conditionalFormatting sqref="H65">
    <cfRule type="cellIs" dxfId="216" priority="16" operator="notEqual">
      <formula>H64</formula>
    </cfRule>
  </conditionalFormatting>
  <conditionalFormatting sqref="E65">
    <cfRule type="cellIs" dxfId="215" priority="19" operator="notEqual">
      <formula>E64</formula>
    </cfRule>
  </conditionalFormatting>
  <conditionalFormatting sqref="F65">
    <cfRule type="cellIs" dxfId="214" priority="18" operator="notEqual">
      <formula>F64</formula>
    </cfRule>
  </conditionalFormatting>
  <conditionalFormatting sqref="AY80 AY47 AY11">
    <cfRule type="cellIs" dxfId="213" priority="15" operator="notEqual">
      <formula>0</formula>
    </cfRule>
  </conditionalFormatting>
  <conditionalFormatting sqref="D65">
    <cfRule type="cellIs" dxfId="212" priority="14" operator="notEqual">
      <formula>D64</formula>
    </cfRule>
  </conditionalFormatting>
  <conditionalFormatting sqref="C65">
    <cfRule type="cellIs" dxfId="211" priority="13" operator="notEqual">
      <formula>C64</formula>
    </cfRule>
  </conditionalFormatting>
  <conditionalFormatting sqref="D29">
    <cfRule type="cellIs" dxfId="210" priority="12" operator="notEqual">
      <formula>D28</formula>
    </cfRule>
  </conditionalFormatting>
  <conditionalFormatting sqref="C29">
    <cfRule type="cellIs" dxfId="209" priority="11" operator="notEqual">
      <formula>C28</formula>
    </cfRule>
  </conditionalFormatting>
  <conditionalFormatting sqref="I29">
    <cfRule type="cellIs" dxfId="208" priority="10" operator="notEqual">
      <formula>I28</formula>
    </cfRule>
  </conditionalFormatting>
  <conditionalFormatting sqref="I65">
    <cfRule type="cellIs" dxfId="207" priority="9" operator="notEqual">
      <formula>I64</formula>
    </cfRule>
  </conditionalFormatting>
  <conditionalFormatting sqref="J29">
    <cfRule type="cellIs" dxfId="206" priority="8" operator="notEqual">
      <formula>J28</formula>
    </cfRule>
  </conditionalFormatting>
  <conditionalFormatting sqref="J65">
    <cfRule type="cellIs" dxfId="205" priority="7" operator="notEqual">
      <formula>J64</formula>
    </cfRule>
  </conditionalFormatting>
  <conditionalFormatting sqref="K65">
    <cfRule type="cellIs" dxfId="204" priority="6" operator="notEqual">
      <formula>K64</formula>
    </cfRule>
  </conditionalFormatting>
  <conditionalFormatting sqref="U29">
    <cfRule type="cellIs" dxfId="203" priority="5" operator="notEqual">
      <formula>U28</formula>
    </cfRule>
  </conditionalFormatting>
  <conditionalFormatting sqref="U65">
    <cfRule type="cellIs" dxfId="202" priority="4" operator="notEqual">
      <formula>U64</formula>
    </cfRule>
  </conditionalFormatting>
  <conditionalFormatting sqref="V29">
    <cfRule type="cellIs" dxfId="201" priority="3" operator="notEqual">
      <formula>V28</formula>
    </cfRule>
  </conditionalFormatting>
  <conditionalFormatting sqref="V65">
    <cfRule type="cellIs" dxfId="200" priority="2" operator="notEqual">
      <formula>V64</formula>
    </cfRule>
  </conditionalFormatting>
  <conditionalFormatting sqref="W65">
    <cfRule type="cellIs" dxfId="199" priority="1" operator="notEqual">
      <formula>W64</formula>
    </cfRule>
  </conditionalFormatting>
  <pageMargins left="0" right="0" top="0.75" bottom="0.75" header="0.3" footer="0.3"/>
  <pageSetup scale="41" orientation="landscape" r:id="rId1"/>
  <customProperties>
    <customPr name="xxe4aPID" r:id="rId2"/>
  </customProperties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A93"/>
  <sheetViews>
    <sheetView topLeftCell="B1" zoomScale="89" zoomScaleNormal="89" zoomScaleSheetLayoutView="85" workbookViewId="0">
      <selection activeCell="B1" sqref="A1:XFD1048576"/>
    </sheetView>
  </sheetViews>
  <sheetFormatPr defaultColWidth="9.109375" defaultRowHeight="15.6"/>
  <cols>
    <col min="1" max="1" width="16.6640625" style="482" customWidth="1"/>
    <col min="2" max="2" width="25.33203125" style="481" bestFit="1" customWidth="1"/>
    <col min="3" max="3" width="16.33203125" style="482" bestFit="1" customWidth="1"/>
    <col min="4" max="4" width="16.109375" style="482" customWidth="1"/>
    <col min="5" max="6" width="16.44140625" style="482" hidden="1" customWidth="1"/>
    <col min="7" max="7" width="16.33203125" style="482" hidden="1" customWidth="1"/>
    <col min="8" max="9" width="18.44140625" style="482" hidden="1" customWidth="1"/>
    <col min="10" max="12" width="16.33203125" style="482" hidden="1" customWidth="1"/>
    <col min="13" max="13" width="16.88671875" style="482" hidden="1" customWidth="1"/>
    <col min="14" max="20" width="16.33203125" style="482" hidden="1" customWidth="1"/>
    <col min="21" max="21" width="18.44140625" style="482" hidden="1" customWidth="1"/>
    <col min="22" max="23" width="16.33203125" style="482" hidden="1" customWidth="1"/>
    <col min="24" max="24" width="16.6640625" style="482" hidden="1" customWidth="1"/>
    <col min="25" max="25" width="16.88671875" style="482" hidden="1" customWidth="1"/>
    <col min="26" max="29" width="16.33203125" style="482" hidden="1" customWidth="1"/>
    <col min="30" max="33" width="16.33203125" style="482" customWidth="1"/>
    <col min="34" max="44" width="16.33203125" style="482" hidden="1" customWidth="1"/>
    <col min="45" max="45" width="1.44140625" style="482" customWidth="1"/>
    <col min="46" max="46" width="36.33203125" style="482" bestFit="1" customWidth="1"/>
    <col min="47" max="47" width="15.5546875" style="525" bestFit="1" customWidth="1"/>
    <col min="48" max="48" width="4.6640625" style="482" bestFit="1" customWidth="1"/>
    <col min="49" max="49" width="3.44140625" style="482" bestFit="1" customWidth="1"/>
    <col min="50" max="51" width="17.109375" style="482" bestFit="1" customWidth="1"/>
    <col min="52" max="52" width="0.5546875" style="482" customWidth="1"/>
    <col min="53" max="16384" width="9.109375" style="482"/>
  </cols>
  <sheetData>
    <row r="1" spans="1:51">
      <c r="A1" s="480" t="s">
        <v>265</v>
      </c>
      <c r="AT1" s="480" t="s">
        <v>315</v>
      </c>
    </row>
    <row r="2" spans="1:51">
      <c r="A2" s="483" t="s">
        <v>267</v>
      </c>
    </row>
    <row r="3" spans="1:51" s="483" customFormat="1" ht="31.8" thickBot="1">
      <c r="A3" s="484">
        <v>191010</v>
      </c>
      <c r="B3" s="485" t="s">
        <v>256</v>
      </c>
      <c r="C3" s="486" t="s">
        <v>251</v>
      </c>
      <c r="D3" s="487" t="s">
        <v>261</v>
      </c>
      <c r="E3" s="484">
        <v>201309</v>
      </c>
      <c r="F3" s="484">
        <v>201310</v>
      </c>
      <c r="G3" s="484">
        <v>201311</v>
      </c>
      <c r="H3" s="484">
        <v>201312</v>
      </c>
      <c r="I3" s="484">
        <v>201401</v>
      </c>
      <c r="J3" s="484">
        <v>201402</v>
      </c>
      <c r="K3" s="484">
        <v>201403</v>
      </c>
      <c r="L3" s="484">
        <v>201404</v>
      </c>
      <c r="M3" s="484">
        <v>201405</v>
      </c>
      <c r="N3" s="484">
        <v>201406</v>
      </c>
      <c r="O3" s="484">
        <v>201407</v>
      </c>
      <c r="P3" s="484">
        <v>201408</v>
      </c>
      <c r="Q3" s="484">
        <v>201409</v>
      </c>
      <c r="R3" s="484">
        <v>201410</v>
      </c>
      <c r="S3" s="484">
        <v>201411</v>
      </c>
      <c r="T3" s="484">
        <v>201412</v>
      </c>
      <c r="U3" s="484">
        <v>201501</v>
      </c>
      <c r="V3" s="484">
        <v>201502</v>
      </c>
      <c r="W3" s="484">
        <v>201503</v>
      </c>
      <c r="X3" s="484">
        <v>201504</v>
      </c>
      <c r="Y3" s="484">
        <v>201505</v>
      </c>
      <c r="Z3" s="484">
        <v>201506</v>
      </c>
      <c r="AA3" s="484">
        <v>201507</v>
      </c>
      <c r="AB3" s="484">
        <v>201508</v>
      </c>
      <c r="AC3" s="484">
        <v>201509</v>
      </c>
      <c r="AD3" s="484">
        <v>201510</v>
      </c>
      <c r="AE3" s="484">
        <v>201511</v>
      </c>
      <c r="AF3" s="484">
        <v>201512</v>
      </c>
      <c r="AG3" s="484">
        <v>201601</v>
      </c>
      <c r="AH3" s="484">
        <v>201602</v>
      </c>
      <c r="AI3" s="484">
        <v>201603</v>
      </c>
      <c r="AJ3" s="484">
        <v>201604</v>
      </c>
      <c r="AK3" s="484">
        <v>201605</v>
      </c>
      <c r="AL3" s="484">
        <v>201606</v>
      </c>
      <c r="AM3" s="484">
        <v>201607</v>
      </c>
      <c r="AN3" s="484">
        <v>201608</v>
      </c>
      <c r="AO3" s="484">
        <v>201609</v>
      </c>
      <c r="AP3" s="484">
        <v>201610</v>
      </c>
      <c r="AQ3" s="484">
        <v>201611</v>
      </c>
      <c r="AR3" s="484">
        <v>201612</v>
      </c>
      <c r="AU3" s="484"/>
    </row>
    <row r="4" spans="1:51" s="483" customFormat="1" ht="16.2" thickBot="1">
      <c r="B4" s="485" t="s">
        <v>257</v>
      </c>
      <c r="C4" s="482"/>
      <c r="E4" s="488">
        <v>0.01</v>
      </c>
      <c r="F4" s="488">
        <v>0.01</v>
      </c>
      <c r="G4" s="488">
        <v>0.01</v>
      </c>
      <c r="H4" s="488">
        <v>0.01</v>
      </c>
      <c r="I4" s="488">
        <v>0.01</v>
      </c>
      <c r="J4" s="488">
        <v>0.01</v>
      </c>
      <c r="K4" s="488">
        <v>0.01</v>
      </c>
      <c r="L4" s="488">
        <v>0.01</v>
      </c>
      <c r="M4" s="488">
        <v>0.01</v>
      </c>
      <c r="N4" s="488">
        <v>0.01</v>
      </c>
      <c r="O4" s="488">
        <v>0.01</v>
      </c>
      <c r="P4" s="488">
        <v>0.01</v>
      </c>
      <c r="Q4" s="488">
        <v>0.01</v>
      </c>
      <c r="R4" s="488">
        <v>0.01</v>
      </c>
      <c r="S4" s="488">
        <v>0.01</v>
      </c>
      <c r="T4" s="488">
        <v>0.01</v>
      </c>
      <c r="U4" s="488">
        <v>0.01</v>
      </c>
      <c r="V4" s="488">
        <v>0.01</v>
      </c>
      <c r="W4" s="488">
        <v>0.01</v>
      </c>
      <c r="X4" s="488">
        <v>0.01</v>
      </c>
      <c r="Y4" s="488">
        <v>0.01</v>
      </c>
      <c r="Z4" s="488">
        <v>0.01</v>
      </c>
      <c r="AA4" s="488">
        <v>0.01</v>
      </c>
      <c r="AB4" s="488">
        <v>0.01</v>
      </c>
      <c r="AC4" s="488">
        <v>0.01</v>
      </c>
      <c r="AD4" s="488">
        <v>0.01</v>
      </c>
      <c r="AE4" s="488">
        <v>0.01</v>
      </c>
      <c r="AF4" s="488">
        <v>0.01</v>
      </c>
      <c r="AG4" s="488">
        <v>0.01</v>
      </c>
      <c r="AH4" s="488">
        <v>0.01</v>
      </c>
      <c r="AI4" s="488">
        <v>0.01</v>
      </c>
      <c r="AJ4" s="488">
        <v>0.01</v>
      </c>
      <c r="AK4" s="488">
        <v>0.01</v>
      </c>
      <c r="AL4" s="488">
        <v>0.01</v>
      </c>
      <c r="AM4" s="488">
        <v>0.01</v>
      </c>
      <c r="AN4" s="488">
        <v>0.01</v>
      </c>
      <c r="AO4" s="488">
        <v>0.01</v>
      </c>
      <c r="AP4" s="488">
        <v>0.01</v>
      </c>
      <c r="AQ4" s="488">
        <v>0.01</v>
      </c>
      <c r="AR4" s="488">
        <v>0.01</v>
      </c>
      <c r="AT4" s="544">
        <v>201601</v>
      </c>
      <c r="AU4" s="526"/>
      <c r="AV4" s="514"/>
      <c r="AW4" s="514"/>
      <c r="AX4" s="514"/>
      <c r="AY4" s="515"/>
    </row>
    <row r="5" spans="1:51" ht="16.2">
      <c r="B5" s="481" t="s">
        <v>253</v>
      </c>
      <c r="E5" s="482">
        <v>491376.95469994179</v>
      </c>
      <c r="F5" s="482">
        <v>413477.3946999418</v>
      </c>
      <c r="G5" s="482">
        <v>-179650.44284699953</v>
      </c>
      <c r="H5" s="482">
        <v>-770749.33284699952</v>
      </c>
      <c r="I5" s="482">
        <v>-2710545.8528469997</v>
      </c>
      <c r="J5" s="482">
        <v>-3047355.5123960003</v>
      </c>
      <c r="K5" s="482">
        <v>-3483331.733870001</v>
      </c>
      <c r="L5" s="482">
        <v>-3303433.4165520016</v>
      </c>
      <c r="M5" s="482">
        <v>-3467159.4003390018</v>
      </c>
      <c r="N5" s="482">
        <v>-2909172.6151350024</v>
      </c>
      <c r="O5" s="482">
        <v>-2551330.5892050019</v>
      </c>
      <c r="P5" s="482">
        <v>-2140981.1901720017</v>
      </c>
      <c r="Q5" s="482">
        <v>-1918732.8315610008</v>
      </c>
      <c r="R5" s="482">
        <v>-1739297.7924040011</v>
      </c>
      <c r="S5" s="482">
        <v>-1868566.8768950021</v>
      </c>
      <c r="T5" s="482">
        <v>312448.97088100051</v>
      </c>
      <c r="U5" s="482">
        <v>-411904.7279799963</v>
      </c>
      <c r="V5" s="482">
        <v>-645308.82581999747</v>
      </c>
      <c r="W5" s="482">
        <v>-754837.52375499834</v>
      </c>
      <c r="X5" s="482">
        <v>-287477.8915199968</v>
      </c>
      <c r="Y5" s="482">
        <v>-1224292.1730279976</v>
      </c>
      <c r="Z5" s="482">
        <v>-1390232.6525299973</v>
      </c>
      <c r="AA5" s="482">
        <v>-1678662.999059998</v>
      </c>
      <c r="AB5" s="482">
        <v>-2022423.1820719973</v>
      </c>
      <c r="AC5" s="482">
        <v>-2418884.2503219969</v>
      </c>
      <c r="AD5" s="482">
        <v>-3067053.2533299979</v>
      </c>
      <c r="AE5" s="482">
        <v>-3722405.068684998</v>
      </c>
      <c r="AF5" s="482">
        <v>-2684344.9824949973</v>
      </c>
      <c r="AG5" s="482">
        <v>-3634681.6735539967</v>
      </c>
      <c r="AH5" s="482">
        <v>-4349728.1832369966</v>
      </c>
      <c r="AI5" s="482">
        <v>-4647921.2662099963</v>
      </c>
      <c r="AJ5" s="482">
        <v>-3255049.113798995</v>
      </c>
      <c r="AK5" s="482">
        <v>-3497333.2897369959</v>
      </c>
      <c r="AL5" s="482">
        <v>-3302855.1736369957</v>
      </c>
      <c r="AM5" s="482">
        <v>-3313426.7091669966</v>
      </c>
      <c r="AN5" s="482">
        <v>-3394629.8605589955</v>
      </c>
      <c r="AO5" s="482">
        <v>-3486469.8786729947</v>
      </c>
      <c r="AP5" s="482">
        <v>-3782924.2429509955</v>
      </c>
      <c r="AQ5" s="482">
        <v>-3918308.6635799953</v>
      </c>
      <c r="AR5" s="482">
        <v>-4560473.6973899947</v>
      </c>
      <c r="AT5" s="497" t="s">
        <v>304</v>
      </c>
      <c r="AU5" s="527">
        <v>419600</v>
      </c>
      <c r="AV5" s="498" t="s">
        <v>288</v>
      </c>
      <c r="AW5" s="498" t="s">
        <v>291</v>
      </c>
      <c r="AX5" s="519">
        <v>0</v>
      </c>
      <c r="AY5" s="520">
        <v>0</v>
      </c>
    </row>
    <row r="6" spans="1:51" ht="16.2">
      <c r="B6" s="481" t="s">
        <v>254</v>
      </c>
      <c r="C6" s="482">
        <v>-1987332.6096469974</v>
      </c>
      <c r="D6" s="482">
        <v>-3892072.071107314</v>
      </c>
      <c r="E6" s="482">
        <v>-455176.44</v>
      </c>
      <c r="F6" s="482">
        <v>-566000.78</v>
      </c>
      <c r="G6" s="482">
        <v>-244467.20000000001</v>
      </c>
      <c r="H6" s="482">
        <v>-725196.73</v>
      </c>
      <c r="I6" s="482">
        <v>227098.6570139993</v>
      </c>
      <c r="J6" s="482">
        <v>183834.20290999953</v>
      </c>
      <c r="K6" s="482">
        <v>469545.21157699917</v>
      </c>
      <c r="L6" s="482">
        <v>-169417.40824799961</v>
      </c>
      <c r="M6" s="482">
        <v>239184.1142799994</v>
      </c>
      <c r="N6" s="482">
        <v>-6425.6929409997538</v>
      </c>
      <c r="O6" s="482">
        <v>-26143.601032999693</v>
      </c>
      <c r="P6" s="482">
        <v>-200511.53219999885</v>
      </c>
      <c r="Q6" s="482">
        <v>-248881.32278600021</v>
      </c>
      <c r="R6" s="482">
        <v>-424822.11258000066</v>
      </c>
      <c r="S6" s="482">
        <v>-901115.83999999752</v>
      </c>
      <c r="T6" s="482">
        <v>-209833.86169599695</v>
      </c>
      <c r="U6" s="482">
        <v>331968.15844599903</v>
      </c>
      <c r="V6" s="482">
        <v>96375.796815998852</v>
      </c>
      <c r="W6" s="482">
        <v>547802.71264300169</v>
      </c>
      <c r="X6" s="482">
        <v>-1029654.8148680007</v>
      </c>
      <c r="Y6" s="482">
        <v>-494908.28808599967</v>
      </c>
      <c r="Z6" s="482">
        <v>-803843.28933000052</v>
      </c>
      <c r="AA6" s="482">
        <v>-778841.02357199905</v>
      </c>
      <c r="AB6" s="482">
        <v>-816009.11660199915</v>
      </c>
      <c r="AC6" s="482">
        <v>-995450.54456800083</v>
      </c>
      <c r="AD6" s="482">
        <v>-911936.74747700011</v>
      </c>
      <c r="AE6" s="482">
        <v>-105844.75449999981</v>
      </c>
      <c r="AF6" s="482">
        <v>-283989.88756899955</v>
      </c>
      <c r="AG6" s="482">
        <v>-74080.34529899992</v>
      </c>
      <c r="AH6" s="482">
        <v>45758.92718099989</v>
      </c>
      <c r="AI6" s="482">
        <v>1481485.3942430012</v>
      </c>
      <c r="AJ6" s="482">
        <v>-329784.44286800071</v>
      </c>
      <c r="AK6" s="482">
        <v>-132940.32528599957</v>
      </c>
      <c r="AL6" s="482">
        <v>-526274.63333000056</v>
      </c>
      <c r="AM6" s="482">
        <v>-516382.38517199899</v>
      </c>
      <c r="AN6" s="482">
        <v>-511412.85420199909</v>
      </c>
      <c r="AO6" s="482">
        <v>-643347.30856800068</v>
      </c>
      <c r="AP6" s="482">
        <v>-390519.99427700008</v>
      </c>
      <c r="AQ6" s="482">
        <v>-105844.75449999981</v>
      </c>
      <c r="AR6" s="482">
        <v>-283989.88756899955</v>
      </c>
      <c r="AT6" s="499" t="s">
        <v>305</v>
      </c>
      <c r="AU6" s="528">
        <v>431600</v>
      </c>
      <c r="AV6" s="358" t="s">
        <v>288</v>
      </c>
      <c r="AW6" s="358" t="s">
        <v>291</v>
      </c>
      <c r="AX6" s="381">
        <v>3325.45</v>
      </c>
      <c r="AY6" s="500">
        <v>0</v>
      </c>
    </row>
    <row r="7" spans="1:51" ht="16.2">
      <c r="B7" s="481" t="s">
        <v>255</v>
      </c>
      <c r="C7" s="482">
        <v>148026.65475199965</v>
      </c>
      <c r="D7" s="482">
        <v>270495.33285337873</v>
      </c>
      <c r="E7" s="482">
        <v>376900.01</v>
      </c>
      <c r="F7" s="482">
        <v>81480.25</v>
      </c>
      <c r="G7" s="482">
        <v>-348603.87</v>
      </c>
      <c r="H7" s="482">
        <v>-725799.3</v>
      </c>
      <c r="I7" s="482">
        <v>-561510.18656299985</v>
      </c>
      <c r="J7" s="482">
        <v>-617090.45438399981</v>
      </c>
      <c r="K7" s="482">
        <v>-286820.25425899972</v>
      </c>
      <c r="L7" s="482">
        <v>8511.3344610000495</v>
      </c>
      <c r="M7" s="482">
        <v>321458.37092400005</v>
      </c>
      <c r="N7" s="482">
        <v>366541.97887100006</v>
      </c>
      <c r="O7" s="482">
        <v>438447.32006599999</v>
      </c>
      <c r="P7" s="482">
        <v>424450.73081099975</v>
      </c>
      <c r="Q7" s="482">
        <v>429839.90194300003</v>
      </c>
      <c r="R7" s="482">
        <v>297055.67808899994</v>
      </c>
      <c r="S7" s="482">
        <v>530386.54777600011</v>
      </c>
      <c r="T7" s="482">
        <v>-514478.41716499988</v>
      </c>
      <c r="U7" s="482">
        <v>-634725.57628600008</v>
      </c>
      <c r="V7" s="482">
        <v>-205263.17475099966</v>
      </c>
      <c r="W7" s="482">
        <v>-80067.220408000168</v>
      </c>
      <c r="X7" s="482">
        <v>93304.253359999973</v>
      </c>
      <c r="Y7" s="482">
        <v>330056.73858399986</v>
      </c>
      <c r="Z7" s="482">
        <v>516691.11279999983</v>
      </c>
      <c r="AA7" s="482">
        <v>436622.32056000002</v>
      </c>
      <c r="AB7" s="482">
        <v>421397.81835199991</v>
      </c>
      <c r="AC7" s="482">
        <v>349566.40155999974</v>
      </c>
      <c r="AD7" s="482">
        <v>259412.69212199986</v>
      </c>
      <c r="AE7" s="482">
        <v>-532788.92931000004</v>
      </c>
      <c r="AF7" s="482">
        <v>-663714.97348999989</v>
      </c>
      <c r="AG7" s="482">
        <v>-637640.7143839997</v>
      </c>
      <c r="AH7" s="482">
        <v>-340204.55015399994</v>
      </c>
      <c r="AI7" s="482">
        <v>-85321.711832000175</v>
      </c>
      <c r="AJ7" s="482">
        <v>90312.58692999999</v>
      </c>
      <c r="AK7" s="482">
        <v>330250.67138599989</v>
      </c>
      <c r="AL7" s="482">
        <v>518458.73779999977</v>
      </c>
      <c r="AM7" s="482">
        <v>437973.09378</v>
      </c>
      <c r="AN7" s="482">
        <v>422438.76608799992</v>
      </c>
      <c r="AO7" s="482">
        <v>349920.59428999986</v>
      </c>
      <c r="AP7" s="482">
        <v>258343.08364799991</v>
      </c>
      <c r="AQ7" s="482">
        <v>-532788.92931000004</v>
      </c>
      <c r="AR7" s="482">
        <v>-663714.97348999989</v>
      </c>
      <c r="AT7" s="499" t="s">
        <v>306</v>
      </c>
      <c r="AU7" s="528">
        <v>191010</v>
      </c>
      <c r="AV7" s="358" t="s">
        <v>288</v>
      </c>
      <c r="AW7" s="358" t="s">
        <v>291</v>
      </c>
      <c r="AX7" s="381">
        <v>0</v>
      </c>
      <c r="AY7" s="500">
        <v>715046.50968299957</v>
      </c>
    </row>
    <row r="8" spans="1:51" ht="16.2">
      <c r="B8" s="481" t="s">
        <v>258</v>
      </c>
      <c r="C8" s="482">
        <v>-38386.199999999997</v>
      </c>
      <c r="D8" s="482">
        <v>-13104.920000000007</v>
      </c>
      <c r="E8" s="482">
        <v>376.87</v>
      </c>
      <c r="F8" s="482">
        <v>52.13</v>
      </c>
      <c r="G8" s="482">
        <v>-394.85</v>
      </c>
      <c r="H8" s="537">
        <v>-1246.8699999999999</v>
      </c>
      <c r="I8" s="489">
        <v>-2398.13</v>
      </c>
      <c r="J8" s="489">
        <v>-2719.99</v>
      </c>
      <c r="K8" s="489">
        <v>-2826.64</v>
      </c>
      <c r="L8" s="489">
        <v>-2819.91</v>
      </c>
      <c r="M8" s="489">
        <v>-2655.7</v>
      </c>
      <c r="N8" s="489">
        <v>-2274.2600000000002</v>
      </c>
      <c r="O8" s="489">
        <v>-1954.32</v>
      </c>
      <c r="P8" s="489">
        <v>-1690.84</v>
      </c>
      <c r="Q8" s="489">
        <v>-1523.54</v>
      </c>
      <c r="R8" s="489">
        <v>-1502.65</v>
      </c>
      <c r="S8" s="559">
        <v>414.5</v>
      </c>
      <c r="T8" s="489">
        <v>-41.42</v>
      </c>
      <c r="U8" s="489">
        <v>-469.4</v>
      </c>
      <c r="V8" s="489">
        <v>-641.30999999999995</v>
      </c>
      <c r="W8" s="489">
        <v>-434.04</v>
      </c>
      <c r="X8" s="489">
        <v>-629.57000000000005</v>
      </c>
      <c r="Y8" s="489">
        <v>-1088.93</v>
      </c>
      <c r="Z8" s="489">
        <v>-1278.17</v>
      </c>
      <c r="AA8" s="489">
        <v>-1541.48</v>
      </c>
      <c r="AB8" s="489">
        <v>-1849.77</v>
      </c>
      <c r="AC8" s="489">
        <v>-2284.86</v>
      </c>
      <c r="AD8" s="489">
        <v>-2827.76</v>
      </c>
      <c r="AE8" s="482">
        <v>-1969.22</v>
      </c>
      <c r="AF8" s="489">
        <v>-2631.83</v>
      </c>
      <c r="AG8" s="489">
        <v>-3325.45</v>
      </c>
      <c r="AH8" s="489">
        <v>-3747.46</v>
      </c>
      <c r="AI8" s="489">
        <v>-3291.53</v>
      </c>
      <c r="AJ8" s="489">
        <v>-2812.32</v>
      </c>
      <c r="AK8" s="489">
        <v>-2832.23</v>
      </c>
      <c r="AL8" s="489">
        <v>-2755.64</v>
      </c>
      <c r="AM8" s="489">
        <v>-2793.86</v>
      </c>
      <c r="AN8" s="489">
        <v>-2865.93</v>
      </c>
      <c r="AO8" s="489">
        <v>-3027.65</v>
      </c>
      <c r="AP8" s="489">
        <v>-3207.51</v>
      </c>
      <c r="AQ8" s="489">
        <v>-3531.35</v>
      </c>
      <c r="AR8" s="489">
        <v>-4195.2700000000004</v>
      </c>
      <c r="AT8" s="499" t="s">
        <v>307</v>
      </c>
      <c r="AU8" s="209">
        <v>805120</v>
      </c>
      <c r="AV8" s="7" t="s">
        <v>288</v>
      </c>
      <c r="AW8" s="7" t="s">
        <v>291</v>
      </c>
      <c r="AX8" s="472">
        <v>711721.05968299962</v>
      </c>
      <c r="AY8" s="462">
        <v>0</v>
      </c>
    </row>
    <row r="9" spans="1:51" ht="16.2">
      <c r="B9" s="481" t="s">
        <v>262</v>
      </c>
      <c r="C9" s="482">
        <v>0</v>
      </c>
      <c r="E9" s="482">
        <v>0</v>
      </c>
      <c r="F9" s="490">
        <v>764537.78326267947</v>
      </c>
      <c r="G9" s="490">
        <v>2367.0300000000002</v>
      </c>
      <c r="H9" s="482">
        <v>0</v>
      </c>
      <c r="I9" s="482">
        <v>0</v>
      </c>
      <c r="J9" s="482">
        <v>0</v>
      </c>
      <c r="K9" s="482">
        <v>0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557">
        <v>1649242.74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v>0</v>
      </c>
      <c r="AA9" s="482">
        <v>0</v>
      </c>
      <c r="AB9" s="482">
        <v>0</v>
      </c>
      <c r="AC9" s="482">
        <v>0</v>
      </c>
      <c r="AD9" s="482">
        <v>0</v>
      </c>
      <c r="AE9" s="557">
        <v>2319268.2000000002</v>
      </c>
      <c r="AF9" s="482">
        <v>0</v>
      </c>
      <c r="AG9" s="482">
        <v>0</v>
      </c>
      <c r="AH9" s="482">
        <v>0</v>
      </c>
      <c r="AI9" s="482">
        <v>0</v>
      </c>
      <c r="AJ9" s="482">
        <v>0</v>
      </c>
      <c r="AK9" s="482">
        <v>0</v>
      </c>
      <c r="AL9" s="482">
        <v>0</v>
      </c>
      <c r="AM9" s="482">
        <v>0</v>
      </c>
      <c r="AN9" s="482">
        <v>0</v>
      </c>
      <c r="AO9" s="482">
        <v>0</v>
      </c>
      <c r="AP9" s="482">
        <v>0</v>
      </c>
      <c r="AQ9" s="482">
        <v>0</v>
      </c>
      <c r="AR9" s="482">
        <v>0</v>
      </c>
      <c r="AT9" s="499" t="s">
        <v>11</v>
      </c>
      <c r="AU9" s="209">
        <v>191010</v>
      </c>
      <c r="AV9" s="7" t="s">
        <v>288</v>
      </c>
      <c r="AW9" s="7" t="s">
        <v>291</v>
      </c>
      <c r="AX9" s="472">
        <v>0</v>
      </c>
      <c r="AY9" s="462">
        <v>0</v>
      </c>
    </row>
    <row r="10" spans="1:51" ht="16.8" thickBot="1">
      <c r="B10" s="481" t="s">
        <v>263</v>
      </c>
      <c r="C10" s="482">
        <v>0</v>
      </c>
      <c r="E10" s="482">
        <v>0</v>
      </c>
      <c r="F10" s="490">
        <v>-881118.99080962082</v>
      </c>
      <c r="G10" s="482">
        <v>0</v>
      </c>
      <c r="H10" s="490">
        <v>-481637.67</v>
      </c>
      <c r="I10" s="482">
        <v>0</v>
      </c>
      <c r="J10" s="482">
        <v>0</v>
      </c>
      <c r="K10" s="482">
        <v>0</v>
      </c>
      <c r="L10" s="482">
        <v>0</v>
      </c>
      <c r="M10" s="482">
        <v>0</v>
      </c>
      <c r="N10" s="482">
        <v>0</v>
      </c>
      <c r="O10" s="482">
        <v>0</v>
      </c>
      <c r="P10" s="482">
        <v>0</v>
      </c>
      <c r="Q10" s="482">
        <v>0</v>
      </c>
      <c r="R10" s="482">
        <v>0</v>
      </c>
      <c r="S10" s="557">
        <v>879829.61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v>0</v>
      </c>
      <c r="AA10" s="482">
        <v>0</v>
      </c>
      <c r="AB10" s="482">
        <v>0</v>
      </c>
      <c r="AC10" s="482">
        <v>0</v>
      </c>
      <c r="AD10" s="482">
        <v>0</v>
      </c>
      <c r="AE10" s="557">
        <v>-651240.86</v>
      </c>
      <c r="AF10" s="482">
        <v>0</v>
      </c>
      <c r="AG10" s="482">
        <v>0</v>
      </c>
      <c r="AH10" s="482">
        <v>0</v>
      </c>
      <c r="AI10" s="482">
        <v>0</v>
      </c>
      <c r="AJ10" s="482">
        <v>0</v>
      </c>
      <c r="AK10" s="482">
        <v>0</v>
      </c>
      <c r="AL10" s="482">
        <v>0</v>
      </c>
      <c r="AM10" s="482">
        <v>0</v>
      </c>
      <c r="AN10" s="482">
        <v>0</v>
      </c>
      <c r="AO10" s="482">
        <v>0</v>
      </c>
      <c r="AP10" s="482">
        <v>0</v>
      </c>
      <c r="AQ10" s="482">
        <v>0</v>
      </c>
      <c r="AR10" s="482">
        <v>0</v>
      </c>
      <c r="AT10" s="501" t="s">
        <v>11</v>
      </c>
      <c r="AU10" s="561">
        <v>191000</v>
      </c>
      <c r="AV10" s="561" t="s">
        <v>288</v>
      </c>
      <c r="AW10" s="561" t="s">
        <v>291</v>
      </c>
      <c r="AX10" s="464">
        <v>0</v>
      </c>
      <c r="AY10" s="473">
        <v>0</v>
      </c>
    </row>
    <row r="11" spans="1:51" ht="16.2" thickBot="1">
      <c r="B11" s="481" t="s">
        <v>264</v>
      </c>
      <c r="C11" s="482">
        <v>0</v>
      </c>
      <c r="E11" s="482">
        <v>0</v>
      </c>
      <c r="F11" s="490">
        <v>7921.7699999999995</v>
      </c>
      <c r="G11" s="482">
        <v>0</v>
      </c>
      <c r="H11" s="490">
        <v>-5915.95</v>
      </c>
      <c r="I11" s="482">
        <v>0</v>
      </c>
      <c r="J11" s="482">
        <v>0</v>
      </c>
      <c r="K11" s="482">
        <v>0</v>
      </c>
      <c r="L11" s="482">
        <v>0</v>
      </c>
      <c r="M11" s="482">
        <v>0</v>
      </c>
      <c r="N11" s="482">
        <v>0</v>
      </c>
      <c r="O11" s="482">
        <v>0</v>
      </c>
      <c r="P11" s="482">
        <v>0</v>
      </c>
      <c r="Q11" s="482">
        <v>0</v>
      </c>
      <c r="R11" s="482">
        <v>0</v>
      </c>
      <c r="S11" s="557">
        <v>22258.26</v>
      </c>
      <c r="T11" s="482">
        <v>0</v>
      </c>
      <c r="U11" s="482">
        <v>-49.16</v>
      </c>
      <c r="V11" s="482">
        <v>0</v>
      </c>
      <c r="W11" s="482">
        <v>0</v>
      </c>
      <c r="X11" s="482">
        <v>0</v>
      </c>
      <c r="Y11" s="482">
        <v>0</v>
      </c>
      <c r="Z11" s="482">
        <v>0</v>
      </c>
      <c r="AA11" s="482">
        <v>0</v>
      </c>
      <c r="AB11" s="482">
        <v>0</v>
      </c>
      <c r="AC11" s="482">
        <v>0</v>
      </c>
      <c r="AD11" s="482">
        <v>0</v>
      </c>
      <c r="AE11" s="557">
        <v>10635.72</v>
      </c>
      <c r="AF11" s="482">
        <v>0</v>
      </c>
      <c r="AG11" s="482">
        <v>0</v>
      </c>
      <c r="AH11" s="482">
        <v>0</v>
      </c>
      <c r="AI11" s="482">
        <v>0</v>
      </c>
      <c r="AJ11" s="482">
        <v>0</v>
      </c>
      <c r="AK11" s="482">
        <v>0</v>
      </c>
      <c r="AL11" s="482">
        <v>0</v>
      </c>
      <c r="AM11" s="482">
        <v>0</v>
      </c>
      <c r="AN11" s="482">
        <v>0</v>
      </c>
      <c r="AO11" s="482">
        <v>0</v>
      </c>
      <c r="AP11" s="482">
        <v>0</v>
      </c>
      <c r="AQ11" s="482">
        <v>0</v>
      </c>
      <c r="AR11" s="482">
        <v>0</v>
      </c>
      <c r="AT11" s="516"/>
      <c r="AU11" s="530"/>
      <c r="AV11" s="517"/>
      <c r="AW11" s="517"/>
      <c r="AX11" s="517" t="s">
        <v>159</v>
      </c>
      <c r="AY11" s="518">
        <v>0</v>
      </c>
    </row>
    <row r="12" spans="1:51">
      <c r="B12" s="481" t="s">
        <v>148</v>
      </c>
      <c r="C12" s="482"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0.02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0.03</v>
      </c>
      <c r="T12" s="482">
        <v>0</v>
      </c>
      <c r="U12" s="482">
        <v>69871.88</v>
      </c>
      <c r="V12" s="482">
        <v>-0.01</v>
      </c>
      <c r="W12" s="482">
        <v>58.18</v>
      </c>
      <c r="X12" s="482">
        <v>165.85</v>
      </c>
      <c r="Y12" s="482">
        <v>0</v>
      </c>
      <c r="Z12" s="482">
        <v>0</v>
      </c>
      <c r="AA12" s="482">
        <v>0</v>
      </c>
      <c r="AB12" s="482">
        <v>0</v>
      </c>
      <c r="AC12" s="482">
        <v>0</v>
      </c>
      <c r="AD12" s="482">
        <v>0</v>
      </c>
      <c r="AE12" s="557">
        <v>-7.0000000000000007E-2</v>
      </c>
      <c r="AF12" s="482">
        <v>0</v>
      </c>
      <c r="AG12" s="482">
        <v>0</v>
      </c>
      <c r="AH12" s="482">
        <v>0</v>
      </c>
      <c r="AI12" s="482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  <c r="AP12" s="482">
        <v>0</v>
      </c>
      <c r="AQ12" s="482">
        <v>0</v>
      </c>
      <c r="AR12" s="482">
        <v>0</v>
      </c>
    </row>
    <row r="13" spans="1:51" ht="16.8" thickBot="1">
      <c r="B13" s="481" t="s">
        <v>56</v>
      </c>
      <c r="C13" s="541"/>
      <c r="D13" s="541"/>
      <c r="E13" s="541">
        <v>413477.3946999418</v>
      </c>
      <c r="F13" s="541">
        <v>-179650.44284699953</v>
      </c>
      <c r="G13" s="541">
        <v>-770749.33284699952</v>
      </c>
      <c r="H13" s="541">
        <v>-2710545.8528469997</v>
      </c>
      <c r="I13" s="541">
        <v>-3047355.5123960003</v>
      </c>
      <c r="J13" s="541">
        <v>-3483331.733870001</v>
      </c>
      <c r="K13" s="541">
        <v>-3303433.4165520016</v>
      </c>
      <c r="L13" s="541">
        <v>-3467159.4003390018</v>
      </c>
      <c r="M13" s="541">
        <v>-2909172.6151350024</v>
      </c>
      <c r="N13" s="541">
        <v>-2551330.5892050019</v>
      </c>
      <c r="O13" s="541">
        <v>-2140981.1901720017</v>
      </c>
      <c r="P13" s="541">
        <v>-1918732.8315610008</v>
      </c>
      <c r="Q13" s="541">
        <v>-1739297.7924040011</v>
      </c>
      <c r="R13" s="541">
        <v>-1868566.8768950021</v>
      </c>
      <c r="S13" s="541">
        <v>312448.97088100051</v>
      </c>
      <c r="T13" s="541">
        <v>-411904.7279799963</v>
      </c>
      <c r="U13" s="541">
        <v>-645308.82581999747</v>
      </c>
      <c r="V13" s="541">
        <v>-754837.52375499834</v>
      </c>
      <c r="W13" s="541">
        <v>-287477.8915199968</v>
      </c>
      <c r="X13" s="541">
        <v>-1224292.1730279976</v>
      </c>
      <c r="Y13" s="541">
        <v>-1390232.6525299973</v>
      </c>
      <c r="Z13" s="541">
        <v>-1678662.999059998</v>
      </c>
      <c r="AA13" s="541">
        <v>-2022423.1820719973</v>
      </c>
      <c r="AB13" s="541">
        <v>-2418884.2503219969</v>
      </c>
      <c r="AC13" s="541">
        <v>-3067053.2533299979</v>
      </c>
      <c r="AD13" s="541">
        <v>-3722405.068684998</v>
      </c>
      <c r="AE13" s="541">
        <v>-2684344.9824949973</v>
      </c>
      <c r="AF13" s="541">
        <v>-3634681.6735539967</v>
      </c>
      <c r="AG13" s="541">
        <v>-4349728.1832369966</v>
      </c>
      <c r="AH13" s="541">
        <v>-4647921.2662099963</v>
      </c>
      <c r="AI13" s="541">
        <v>-3255049.113798995</v>
      </c>
      <c r="AJ13" s="541">
        <v>-3497333.2897369959</v>
      </c>
      <c r="AK13" s="541">
        <v>-3302855.1736369957</v>
      </c>
      <c r="AL13" s="541">
        <v>-3313426.7091669966</v>
      </c>
      <c r="AM13" s="541">
        <v>-3394629.8605589955</v>
      </c>
      <c r="AN13" s="541">
        <v>-3486469.8786729947</v>
      </c>
      <c r="AO13" s="541">
        <v>-3782924.2429509955</v>
      </c>
      <c r="AP13" s="541">
        <v>-3918308.6635799953</v>
      </c>
      <c r="AQ13" s="541">
        <v>-4560473.6973899947</v>
      </c>
      <c r="AR13" s="541">
        <v>-5512373.8284489941</v>
      </c>
    </row>
    <row r="14" spans="1:51" ht="16.2" thickTop="1">
      <c r="B14" s="481" t="s">
        <v>260</v>
      </c>
      <c r="E14" s="482">
        <v>413477.41</v>
      </c>
      <c r="F14" s="482">
        <v>-179650.42</v>
      </c>
      <c r="G14" s="482">
        <v>-770749.31</v>
      </c>
      <c r="H14" s="482">
        <v>-2710545.83</v>
      </c>
      <c r="I14" s="482">
        <v>-3047355.49</v>
      </c>
      <c r="J14" s="482">
        <v>-3483331.73</v>
      </c>
      <c r="K14" s="482">
        <v>-3303433.41</v>
      </c>
      <c r="L14" s="482">
        <v>-3467159.39</v>
      </c>
      <c r="M14" s="482">
        <v>-2909172.6</v>
      </c>
      <c r="N14" s="482">
        <v>-2551330.5699999998</v>
      </c>
      <c r="O14" s="482">
        <v>-2140981.17</v>
      </c>
      <c r="P14" s="482">
        <v>-1918732.81</v>
      </c>
      <c r="Q14" s="482">
        <v>-1739297.77</v>
      </c>
      <c r="R14" s="482">
        <v>-1868566.85</v>
      </c>
      <c r="S14" s="482">
        <v>312448.96999999997</v>
      </c>
      <c r="T14" s="482">
        <v>-411904.73</v>
      </c>
      <c r="U14" s="482">
        <v>-645308.82999999996</v>
      </c>
      <c r="V14" s="482">
        <v>-754837.52</v>
      </c>
      <c r="W14" s="482">
        <v>-287477.89</v>
      </c>
      <c r="X14" s="482">
        <v>-1224292.17</v>
      </c>
      <c r="Y14" s="482">
        <v>-1390232.65</v>
      </c>
      <c r="Z14" s="482">
        <v>-1678663</v>
      </c>
      <c r="AA14" s="482">
        <v>-2022423.18</v>
      </c>
      <c r="AB14" s="482">
        <v>-2418884.25</v>
      </c>
      <c r="AC14" s="482">
        <v>-3067053.25</v>
      </c>
      <c r="AD14" s="482">
        <v>-3722405.07</v>
      </c>
      <c r="AE14" s="482">
        <v>-2684344.98</v>
      </c>
      <c r="AF14" s="482">
        <v>-3634681.67</v>
      </c>
      <c r="AG14" s="482">
        <v>-4349728.18</v>
      </c>
      <c r="AH14" s="482">
        <v>-4349728.18</v>
      </c>
      <c r="AI14" s="482">
        <v>-4349728.18</v>
      </c>
      <c r="AJ14" s="482">
        <v>0</v>
      </c>
      <c r="AK14" s="482">
        <v>0</v>
      </c>
      <c r="AL14" s="482">
        <v>0</v>
      </c>
      <c r="AM14" s="482">
        <v>0</v>
      </c>
      <c r="AN14" s="482">
        <v>0</v>
      </c>
      <c r="AO14" s="482">
        <v>0</v>
      </c>
      <c r="AP14" s="482">
        <v>0</v>
      </c>
      <c r="AQ14" s="482">
        <v>0</v>
      </c>
      <c r="AR14" s="482">
        <v>0</v>
      </c>
    </row>
    <row r="15" spans="1:51">
      <c r="B15" s="481" t="s">
        <v>245</v>
      </c>
      <c r="E15" s="482">
        <v>-1.5300058177672327E-2</v>
      </c>
      <c r="F15" s="482">
        <v>-2.2846999519970268E-2</v>
      </c>
      <c r="G15" s="482">
        <v>-2.2846999461762607E-2</v>
      </c>
      <c r="H15" s="482">
        <v>-2.2846999578177929E-2</v>
      </c>
      <c r="I15" s="482">
        <v>-2.2396000102162361E-2</v>
      </c>
      <c r="J15" s="482">
        <v>-3.8700010627508163E-3</v>
      </c>
      <c r="K15" s="482">
        <v>-6.5520014613866806E-3</v>
      </c>
      <c r="L15" s="482">
        <v>-1.0339001659303904E-2</v>
      </c>
      <c r="M15" s="482">
        <v>-1.5135002322494984E-2</v>
      </c>
      <c r="N15" s="482">
        <v>-1.920500211417675E-2</v>
      </c>
      <c r="O15" s="482">
        <v>-2.0172001793980598E-2</v>
      </c>
      <c r="P15" s="482">
        <v>-2.1561000728979707E-2</v>
      </c>
      <c r="Q15" s="482">
        <v>-2.2404001094400883E-2</v>
      </c>
      <c r="R15" s="482">
        <v>-2.6895001996308565E-2</v>
      </c>
      <c r="S15" s="482">
        <v>8.8100053835660219E-4</v>
      </c>
      <c r="T15" s="482">
        <v>2.0200036815367639E-3</v>
      </c>
      <c r="U15" s="482">
        <v>4.1800024919211864E-3</v>
      </c>
      <c r="V15" s="482">
        <v>-3.7549983244389296E-3</v>
      </c>
      <c r="W15" s="482">
        <v>-1.5199967892840505E-3</v>
      </c>
      <c r="X15" s="482">
        <v>-3.0279976781457663E-3</v>
      </c>
      <c r="Y15" s="482">
        <v>-2.5299973785877228E-3</v>
      </c>
      <c r="Z15" s="482">
        <v>9.4000203534960747E-4</v>
      </c>
      <c r="AA15" s="482">
        <v>-2.0719973836094141E-3</v>
      </c>
      <c r="AB15" s="482">
        <v>-3.2199686393141747E-4</v>
      </c>
      <c r="AC15" s="482">
        <v>-3.3299978822469711E-3</v>
      </c>
      <c r="AD15" s="482">
        <v>1.3150018639862537E-3</v>
      </c>
      <c r="AE15" s="482">
        <v>-2.4949973449110985E-3</v>
      </c>
      <c r="AF15" s="482">
        <v>-3.5539967939257622E-3</v>
      </c>
      <c r="AG15" s="482">
        <v>-3.2369969412684441E-3</v>
      </c>
      <c r="AH15" s="482">
        <v>-298193.0862099966</v>
      </c>
      <c r="AI15" s="482">
        <v>1094679.0662010047</v>
      </c>
      <c r="AJ15" s="482">
        <v>-3497333.2897369959</v>
      </c>
      <c r="AK15" s="482">
        <v>-3302855.1736369957</v>
      </c>
      <c r="AL15" s="482">
        <v>-3313426.7091669966</v>
      </c>
      <c r="AM15" s="482">
        <v>-3394629.8605589955</v>
      </c>
      <c r="AN15" s="482">
        <v>-3486469.8786729947</v>
      </c>
      <c r="AO15" s="482">
        <v>-3782924.2429509955</v>
      </c>
      <c r="AP15" s="482">
        <v>-3918308.6635799953</v>
      </c>
      <c r="AQ15" s="482">
        <v>-4560473.6973899947</v>
      </c>
      <c r="AR15" s="482">
        <v>-5512373.8284489941</v>
      </c>
    </row>
    <row r="16" spans="1:51">
      <c r="A16" s="483" t="s">
        <v>271</v>
      </c>
      <c r="U16" s="482" t="s">
        <v>328</v>
      </c>
    </row>
    <row r="17" spans="1:51">
      <c r="A17" s="483" t="s">
        <v>292</v>
      </c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U17" s="558"/>
    </row>
    <row r="18" spans="1:51">
      <c r="A18" s="536">
        <v>191000</v>
      </c>
      <c r="B18" s="485" t="s">
        <v>256</v>
      </c>
      <c r="C18" s="486" t="s">
        <v>251</v>
      </c>
      <c r="D18" s="486" t="s">
        <v>252</v>
      </c>
      <c r="E18" s="484">
        <v>201309</v>
      </c>
      <c r="F18" s="484">
        <v>201310</v>
      </c>
      <c r="G18" s="484">
        <v>201311</v>
      </c>
      <c r="H18" s="484">
        <v>201312</v>
      </c>
      <c r="I18" s="484">
        <v>201401</v>
      </c>
      <c r="J18" s="484">
        <v>201402</v>
      </c>
      <c r="K18" s="484">
        <v>201403</v>
      </c>
      <c r="L18" s="484">
        <v>201404</v>
      </c>
      <c r="M18" s="484">
        <v>201405</v>
      </c>
      <c r="N18" s="484">
        <v>201406</v>
      </c>
      <c r="O18" s="484">
        <v>201407</v>
      </c>
      <c r="P18" s="484">
        <v>201408</v>
      </c>
      <c r="Q18" s="484">
        <v>201409</v>
      </c>
      <c r="R18" s="484">
        <v>201410</v>
      </c>
      <c r="S18" s="484">
        <v>201411</v>
      </c>
      <c r="T18" s="484">
        <v>201412</v>
      </c>
      <c r="U18" s="484">
        <v>201501</v>
      </c>
      <c r="V18" s="484">
        <v>201502</v>
      </c>
      <c r="W18" s="484">
        <v>201503</v>
      </c>
      <c r="X18" s="484">
        <v>201504</v>
      </c>
      <c r="Y18" s="484">
        <v>201505</v>
      </c>
      <c r="Z18" s="484">
        <v>201506</v>
      </c>
      <c r="AA18" s="484">
        <v>201507</v>
      </c>
      <c r="AB18" s="484">
        <v>201508</v>
      </c>
      <c r="AC18" s="484">
        <v>201509</v>
      </c>
      <c r="AD18" s="484">
        <v>201510</v>
      </c>
      <c r="AE18" s="484">
        <v>201511</v>
      </c>
      <c r="AF18" s="484">
        <v>201512</v>
      </c>
      <c r="AG18" s="484">
        <v>201601</v>
      </c>
      <c r="AH18" s="484">
        <v>201602</v>
      </c>
      <c r="AI18" s="484">
        <v>201603</v>
      </c>
      <c r="AJ18" s="484">
        <v>201604</v>
      </c>
      <c r="AK18" s="484">
        <v>201605</v>
      </c>
      <c r="AL18" s="484">
        <v>201606</v>
      </c>
      <c r="AM18" s="484">
        <v>201607</v>
      </c>
      <c r="AN18" s="484">
        <v>201608</v>
      </c>
      <c r="AO18" s="484">
        <v>201609</v>
      </c>
      <c r="AP18" s="484">
        <v>201610</v>
      </c>
      <c r="AQ18" s="484">
        <v>201611</v>
      </c>
      <c r="AR18" s="484">
        <v>201612</v>
      </c>
      <c r="AS18" s="484">
        <v>201613</v>
      </c>
      <c r="AU18" s="558"/>
    </row>
    <row r="19" spans="1:51">
      <c r="A19" s="483"/>
      <c r="B19" s="481" t="s">
        <v>37</v>
      </c>
      <c r="C19" s="491">
        <v>15302920</v>
      </c>
      <c r="D19" s="491">
        <v>31769980</v>
      </c>
      <c r="E19" s="491">
        <v>1338764</v>
      </c>
      <c r="F19" s="491">
        <v>4291264</v>
      </c>
      <c r="G19" s="491">
        <v>7085932</v>
      </c>
      <c r="H19" s="491">
        <v>10497053</v>
      </c>
      <c r="I19" s="491">
        <v>8687325</v>
      </c>
      <c r="J19" s="491">
        <v>8895182</v>
      </c>
      <c r="K19" s="491">
        <v>6774285</v>
      </c>
      <c r="L19" s="491">
        <v>3867130</v>
      </c>
      <c r="M19" s="491">
        <v>1979544</v>
      </c>
      <c r="N19" s="491">
        <v>1402196</v>
      </c>
      <c r="O19" s="491">
        <v>1007077</v>
      </c>
      <c r="P19" s="491">
        <v>989884</v>
      </c>
      <c r="Q19" s="491">
        <v>1199079</v>
      </c>
      <c r="R19" s="491">
        <v>2624816</v>
      </c>
      <c r="S19" s="491">
        <v>7693608</v>
      </c>
      <c r="T19" s="491">
        <v>8470110</v>
      </c>
      <c r="U19" s="491">
        <v>8991869</v>
      </c>
      <c r="V19" s="491">
        <v>5607449</v>
      </c>
      <c r="W19" s="491">
        <v>5090227</v>
      </c>
      <c r="X19" s="491">
        <v>3621515</v>
      </c>
      <c r="Y19" s="491">
        <v>1624041</v>
      </c>
      <c r="Z19" s="491">
        <v>985347</v>
      </c>
      <c r="AA19" s="491">
        <v>990038</v>
      </c>
      <c r="AB19" s="491">
        <v>930531</v>
      </c>
      <c r="AC19" s="491">
        <v>1531464</v>
      </c>
      <c r="AD19" s="491">
        <v>2476612</v>
      </c>
      <c r="AE19" s="491">
        <v>7248071</v>
      </c>
      <c r="AF19" s="491">
        <v>9218989</v>
      </c>
      <c r="AG19" s="491">
        <v>8841051</v>
      </c>
      <c r="AH19" s="491">
        <v>6461869</v>
      </c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</row>
    <row r="20" spans="1:51">
      <c r="A20" s="483"/>
      <c r="B20" s="481" t="s">
        <v>38</v>
      </c>
      <c r="C20" s="491">
        <v>5183179</v>
      </c>
      <c r="D20" s="491">
        <v>10263970</v>
      </c>
      <c r="E20" s="491">
        <v>1168974</v>
      </c>
      <c r="F20" s="491">
        <v>1602282</v>
      </c>
      <c r="G20" s="491">
        <v>2422167</v>
      </c>
      <c r="H20" s="491">
        <v>3263133</v>
      </c>
      <c r="I20" s="491">
        <v>3029182</v>
      </c>
      <c r="J20" s="491">
        <v>3036554</v>
      </c>
      <c r="K20" s="491">
        <v>2467111</v>
      </c>
      <c r="L20" s="491">
        <v>1697584</v>
      </c>
      <c r="M20" s="491">
        <v>1050330</v>
      </c>
      <c r="N20" s="491">
        <v>1107684</v>
      </c>
      <c r="O20" s="491">
        <v>856502</v>
      </c>
      <c r="P20" s="491">
        <v>1025146</v>
      </c>
      <c r="Q20" s="491">
        <v>908391</v>
      </c>
      <c r="R20" s="491">
        <v>1622635</v>
      </c>
      <c r="S20" s="491">
        <v>2516335</v>
      </c>
      <c r="T20" s="491">
        <v>2595480</v>
      </c>
      <c r="U20" s="491">
        <v>2818068</v>
      </c>
      <c r="V20" s="491">
        <v>2333245</v>
      </c>
      <c r="W20" s="491">
        <v>1927746</v>
      </c>
      <c r="X20" s="491">
        <v>1633221</v>
      </c>
      <c r="Y20" s="491">
        <v>1075904</v>
      </c>
      <c r="Z20" s="491">
        <v>1089173</v>
      </c>
      <c r="AA20" s="491">
        <v>964252</v>
      </c>
      <c r="AB20" s="491">
        <v>1322423</v>
      </c>
      <c r="AC20" s="491">
        <v>1101192</v>
      </c>
      <c r="AD20" s="491">
        <v>1392647</v>
      </c>
      <c r="AE20" s="491">
        <v>2379775</v>
      </c>
      <c r="AF20" s="491">
        <v>2701016</v>
      </c>
      <c r="AG20" s="491">
        <v>2843963</v>
      </c>
      <c r="AH20" s="491">
        <v>2339216</v>
      </c>
      <c r="AI20" s="491"/>
      <c r="AJ20" s="491"/>
      <c r="AK20" s="491"/>
      <c r="AL20" s="491"/>
      <c r="AM20" s="491"/>
      <c r="AN20" s="491"/>
      <c r="AO20" s="491"/>
      <c r="AP20" s="491"/>
      <c r="AQ20" s="491"/>
      <c r="AR20" s="491"/>
      <c r="AS20" s="491"/>
    </row>
    <row r="21" spans="1:51" hidden="1">
      <c r="A21" s="483"/>
      <c r="B21" s="481" t="s">
        <v>39</v>
      </c>
      <c r="C21" s="491">
        <v>0</v>
      </c>
      <c r="D21" s="491">
        <v>0</v>
      </c>
      <c r="E21" s="491"/>
      <c r="F21" s="491"/>
      <c r="G21" s="491"/>
      <c r="H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</row>
    <row r="22" spans="1:51" hidden="1">
      <c r="A22" s="483"/>
      <c r="B22" s="481" t="s">
        <v>40</v>
      </c>
      <c r="C22" s="491">
        <v>0</v>
      </c>
      <c r="D22" s="491">
        <v>0</v>
      </c>
      <c r="E22" s="491"/>
      <c r="F22" s="491"/>
      <c r="G22" s="491"/>
      <c r="H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</row>
    <row r="23" spans="1:51" hidden="1">
      <c r="A23" s="483"/>
      <c r="B23" s="481" t="s">
        <v>41</v>
      </c>
      <c r="C23" s="491">
        <v>0</v>
      </c>
      <c r="D23" s="491">
        <v>0</v>
      </c>
      <c r="E23" s="491"/>
      <c r="F23" s="491"/>
      <c r="G23" s="491"/>
      <c r="H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</row>
    <row r="24" spans="1:51">
      <c r="A24" s="483"/>
      <c r="B24" s="481" t="s">
        <v>42</v>
      </c>
      <c r="C24" s="491">
        <v>0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0</v>
      </c>
      <c r="S24" s="491">
        <v>0</v>
      </c>
      <c r="T24" s="491">
        <v>0</v>
      </c>
      <c r="U24" s="491">
        <v>0</v>
      </c>
      <c r="V24" s="491">
        <v>0</v>
      </c>
      <c r="W24" s="491">
        <v>0</v>
      </c>
      <c r="X24" s="491">
        <v>0</v>
      </c>
      <c r="Y24" s="491">
        <v>0</v>
      </c>
      <c r="Z24" s="491">
        <v>0</v>
      </c>
      <c r="AA24" s="491">
        <v>0</v>
      </c>
      <c r="AB24" s="491">
        <v>0</v>
      </c>
      <c r="AC24" s="491">
        <v>0</v>
      </c>
      <c r="AD24" s="491">
        <v>0</v>
      </c>
      <c r="AE24" s="491">
        <v>0</v>
      </c>
      <c r="AF24" s="491">
        <v>0</v>
      </c>
      <c r="AG24" s="491">
        <v>0</v>
      </c>
      <c r="AH24" s="491">
        <v>0</v>
      </c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51" hidden="1">
      <c r="A25" s="483"/>
      <c r="B25" s="481" t="s">
        <v>43</v>
      </c>
      <c r="C25" s="491">
        <v>0</v>
      </c>
      <c r="D25" s="491">
        <v>0</v>
      </c>
      <c r="E25" s="491"/>
      <c r="F25" s="491"/>
      <c r="G25" s="491"/>
      <c r="H25" s="491"/>
    </row>
    <row r="26" spans="1:51" hidden="1">
      <c r="A26" s="483"/>
      <c r="B26" s="481" t="s">
        <v>74</v>
      </c>
      <c r="C26" s="491">
        <v>0</v>
      </c>
      <c r="D26" s="491">
        <v>0</v>
      </c>
      <c r="E26" s="491"/>
      <c r="F26" s="491"/>
      <c r="G26" s="491"/>
      <c r="H26" s="491"/>
    </row>
    <row r="27" spans="1:51" ht="16.8" thickBot="1">
      <c r="A27" s="483"/>
      <c r="B27" s="481" t="s">
        <v>21</v>
      </c>
      <c r="C27" s="542">
        <v>69054815</v>
      </c>
      <c r="D27" s="542">
        <v>79142017</v>
      </c>
      <c r="E27" s="542">
        <v>2507738</v>
      </c>
      <c r="F27" s="542">
        <v>5893546</v>
      </c>
      <c r="G27" s="542">
        <v>9508099</v>
      </c>
      <c r="H27" s="542">
        <v>13760186</v>
      </c>
      <c r="I27" s="542">
        <v>11716507</v>
      </c>
      <c r="J27" s="542">
        <v>11931736</v>
      </c>
      <c r="K27" s="542">
        <v>9241396</v>
      </c>
      <c r="L27" s="542">
        <v>5564714</v>
      </c>
      <c r="M27" s="542">
        <v>3029874</v>
      </c>
      <c r="N27" s="542">
        <v>2509880</v>
      </c>
      <c r="O27" s="542">
        <v>1863579</v>
      </c>
      <c r="P27" s="542">
        <v>2015030</v>
      </c>
      <c r="Q27" s="542">
        <v>2107470</v>
      </c>
      <c r="R27" s="542">
        <v>4247451</v>
      </c>
      <c r="S27" s="542">
        <v>10209943</v>
      </c>
      <c r="T27" s="542">
        <v>11065590</v>
      </c>
      <c r="U27" s="542">
        <v>11809937</v>
      </c>
      <c r="V27" s="542">
        <v>7940694</v>
      </c>
      <c r="W27" s="542">
        <v>7017973</v>
      </c>
      <c r="X27" s="542">
        <v>5254736</v>
      </c>
      <c r="Y27" s="542">
        <v>2699945</v>
      </c>
      <c r="Z27" s="542">
        <v>2074520</v>
      </c>
      <c r="AA27" s="542">
        <v>1954290</v>
      </c>
      <c r="AB27" s="542">
        <v>2252954</v>
      </c>
      <c r="AC27" s="542">
        <v>2632656</v>
      </c>
      <c r="AD27" s="542">
        <v>3869259</v>
      </c>
      <c r="AE27" s="542">
        <v>9627846</v>
      </c>
      <c r="AF27" s="542">
        <v>11920005</v>
      </c>
      <c r="AG27" s="542">
        <v>11685014</v>
      </c>
      <c r="AH27" s="542">
        <v>8801085</v>
      </c>
      <c r="AI27" s="542">
        <v>0</v>
      </c>
      <c r="AJ27" s="542">
        <v>0</v>
      </c>
      <c r="AK27" s="542">
        <v>0</v>
      </c>
      <c r="AL27" s="542">
        <v>0</v>
      </c>
      <c r="AM27" s="542">
        <v>0</v>
      </c>
      <c r="AN27" s="542">
        <v>0</v>
      </c>
      <c r="AO27" s="542">
        <v>0</v>
      </c>
      <c r="AP27" s="542">
        <v>0</v>
      </c>
      <c r="AQ27" s="542">
        <v>0</v>
      </c>
      <c r="AR27" s="542">
        <v>0</v>
      </c>
    </row>
    <row r="28" spans="1:51" ht="16.2" thickTop="1">
      <c r="A28" s="483"/>
      <c r="B28" s="481" t="s">
        <v>269</v>
      </c>
      <c r="C28" s="491">
        <v>69054815</v>
      </c>
      <c r="D28" s="491">
        <v>79142017</v>
      </c>
      <c r="E28" s="491">
        <v>2507738</v>
      </c>
      <c r="F28" s="491">
        <v>5893546</v>
      </c>
      <c r="G28" s="491">
        <v>9508099</v>
      </c>
      <c r="H28" s="491">
        <v>13760186</v>
      </c>
      <c r="I28" s="491">
        <v>11716507</v>
      </c>
      <c r="J28" s="491">
        <v>11931736</v>
      </c>
      <c r="K28" s="491">
        <v>9241396</v>
      </c>
      <c r="L28" s="491">
        <v>5564714</v>
      </c>
      <c r="M28" s="491">
        <v>3029874</v>
      </c>
      <c r="N28" s="491">
        <v>2509880</v>
      </c>
      <c r="O28" s="543">
        <v>1863579</v>
      </c>
      <c r="P28" s="543">
        <v>2015030</v>
      </c>
      <c r="Q28" s="543">
        <v>2107470</v>
      </c>
      <c r="R28" s="543">
        <v>4247451</v>
      </c>
      <c r="S28" s="543">
        <v>10209943</v>
      </c>
      <c r="T28" s="543">
        <v>11065590</v>
      </c>
      <c r="U28" s="491">
        <v>11809937</v>
      </c>
      <c r="V28" s="491">
        <v>7940694</v>
      </c>
      <c r="W28" s="491">
        <v>7017973</v>
      </c>
      <c r="X28" s="491">
        <v>5254736</v>
      </c>
      <c r="Y28" s="491">
        <v>2699945</v>
      </c>
      <c r="Z28" s="491">
        <v>2074520</v>
      </c>
      <c r="AA28" s="543">
        <v>1954290</v>
      </c>
      <c r="AB28" s="543">
        <v>2252954</v>
      </c>
      <c r="AC28" s="543">
        <v>2632656</v>
      </c>
      <c r="AD28" s="543">
        <v>3869259</v>
      </c>
      <c r="AE28" s="573">
        <v>9627846</v>
      </c>
      <c r="AF28" s="543">
        <v>11920005</v>
      </c>
      <c r="AG28" s="543">
        <v>11685014</v>
      </c>
      <c r="AH28" s="582"/>
      <c r="AI28" s="582"/>
      <c r="AJ28" s="582"/>
      <c r="AK28" s="582"/>
      <c r="AL28" s="582"/>
      <c r="AM28" s="582"/>
      <c r="AN28" s="582"/>
      <c r="AO28" s="582"/>
      <c r="AP28" s="582"/>
      <c r="AQ28" s="582"/>
      <c r="AR28" s="582"/>
    </row>
    <row r="29" spans="1:51">
      <c r="A29" s="483" t="s">
        <v>22</v>
      </c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</row>
    <row r="30" spans="1:51">
      <c r="A30" s="536">
        <v>191000</v>
      </c>
      <c r="B30" s="485" t="s">
        <v>256</v>
      </c>
      <c r="E30" s="484">
        <v>201309</v>
      </c>
      <c r="F30" s="484">
        <v>201310</v>
      </c>
      <c r="G30" s="484">
        <v>201311</v>
      </c>
      <c r="H30" s="484">
        <v>201312</v>
      </c>
      <c r="I30" s="484">
        <v>201401</v>
      </c>
      <c r="J30" s="484">
        <v>201402</v>
      </c>
      <c r="K30" s="484">
        <v>201403</v>
      </c>
      <c r="L30" s="484">
        <v>201404</v>
      </c>
      <c r="M30" s="484">
        <v>201405</v>
      </c>
      <c r="N30" s="484">
        <v>201406</v>
      </c>
      <c r="O30" s="484">
        <v>201407</v>
      </c>
      <c r="P30" s="484">
        <v>201408</v>
      </c>
      <c r="Q30" s="484">
        <v>201409</v>
      </c>
      <c r="R30" s="484">
        <v>201410</v>
      </c>
      <c r="S30" s="484">
        <v>201411</v>
      </c>
      <c r="T30" s="484">
        <v>201412</v>
      </c>
      <c r="U30" s="484">
        <v>201501</v>
      </c>
      <c r="V30" s="484">
        <v>201502</v>
      </c>
      <c r="W30" s="484">
        <v>201503</v>
      </c>
      <c r="X30" s="484">
        <v>201504</v>
      </c>
      <c r="Y30" s="484">
        <v>201505</v>
      </c>
      <c r="Z30" s="484">
        <v>201506</v>
      </c>
      <c r="AA30" s="484">
        <v>201507</v>
      </c>
      <c r="AB30" s="484">
        <v>201508</v>
      </c>
      <c r="AC30" s="484">
        <v>201509</v>
      </c>
      <c r="AD30" s="484">
        <v>201510</v>
      </c>
      <c r="AE30" s="484">
        <v>201511</v>
      </c>
      <c r="AF30" s="484">
        <v>201512</v>
      </c>
      <c r="AG30" s="484">
        <v>201601</v>
      </c>
      <c r="AH30" s="484">
        <v>201602</v>
      </c>
      <c r="AI30" s="484">
        <v>201603</v>
      </c>
      <c r="AJ30" s="484">
        <v>201604</v>
      </c>
      <c r="AK30" s="484">
        <v>201605</v>
      </c>
      <c r="AL30" s="484">
        <v>201606</v>
      </c>
      <c r="AM30" s="484">
        <v>201607</v>
      </c>
      <c r="AN30" s="484">
        <v>201608</v>
      </c>
      <c r="AO30" s="484">
        <v>201609</v>
      </c>
      <c r="AP30" s="484">
        <v>201610</v>
      </c>
      <c r="AQ30" s="484">
        <v>201611</v>
      </c>
      <c r="AR30" s="484">
        <v>201612</v>
      </c>
    </row>
    <row r="31" spans="1:51">
      <c r="A31" s="483"/>
      <c r="B31" s="481" t="s">
        <v>37</v>
      </c>
      <c r="E31" s="492">
        <v>1.7780000000000001E-2</v>
      </c>
      <c r="F31" s="492" t="s">
        <v>270</v>
      </c>
      <c r="G31" s="492" t="s">
        <v>270</v>
      </c>
      <c r="H31" s="492">
        <v>-1.4999999999999999E-4</v>
      </c>
      <c r="I31" s="492">
        <v>-1.4999999999999999E-4</v>
      </c>
      <c r="J31" s="492">
        <v>-1.4999999999999999E-4</v>
      </c>
      <c r="K31" s="492">
        <v>-1.4999999999999999E-4</v>
      </c>
      <c r="L31" s="492">
        <v>-1.4999999999999999E-4</v>
      </c>
      <c r="M31" s="492">
        <v>-1.4999999999999999E-4</v>
      </c>
      <c r="N31" s="492">
        <v>-1.4999999999999999E-4</v>
      </c>
      <c r="O31" s="492">
        <v>-1.4999999999999999E-4</v>
      </c>
      <c r="P31" s="492">
        <v>-1.4999999999999999E-4</v>
      </c>
      <c r="Q31" s="492">
        <v>-1.4999999999999999E-4</v>
      </c>
      <c r="R31" s="492">
        <v>-1.4999999999999999E-4</v>
      </c>
      <c r="S31" s="492" t="s">
        <v>270</v>
      </c>
      <c r="T31" s="492" t="s">
        <v>270</v>
      </c>
      <c r="U31" s="492">
        <v>3.041E-2</v>
      </c>
      <c r="V31" s="492">
        <v>3.041E-2</v>
      </c>
      <c r="W31" s="492">
        <v>3.041E-2</v>
      </c>
      <c r="X31" s="492">
        <v>3.041E-2</v>
      </c>
      <c r="Y31" s="492">
        <v>3.041E-2</v>
      </c>
      <c r="Z31" s="492">
        <v>3.041E-2</v>
      </c>
      <c r="AA31" s="492">
        <v>3.041E-2</v>
      </c>
      <c r="AB31" s="492">
        <v>3.041E-2</v>
      </c>
      <c r="AC31" s="492">
        <v>3.041E-2</v>
      </c>
      <c r="AD31" s="492">
        <v>3.041E-2</v>
      </c>
      <c r="AE31" s="492" t="s">
        <v>335</v>
      </c>
      <c r="AF31" s="492" t="s">
        <v>335</v>
      </c>
      <c r="AG31" s="492">
        <v>2.8709999999999999E-2</v>
      </c>
      <c r="AH31" s="492">
        <v>2.8709999999999999E-2</v>
      </c>
      <c r="AI31" s="492">
        <v>2.8709999999999999E-2</v>
      </c>
      <c r="AJ31" s="492">
        <v>2.8709999999999999E-2</v>
      </c>
      <c r="AK31" s="492">
        <v>2.8709999999999999E-2</v>
      </c>
      <c r="AL31" s="492">
        <v>2.8709999999999999E-2</v>
      </c>
      <c r="AM31" s="492">
        <v>2.8709999999999999E-2</v>
      </c>
      <c r="AN31" s="492">
        <v>2.8709999999999999E-2</v>
      </c>
      <c r="AO31" s="492">
        <v>2.8709999999999999E-2</v>
      </c>
      <c r="AP31" s="492">
        <v>2.8709999999999999E-2</v>
      </c>
      <c r="AQ31" s="492" t="s">
        <v>335</v>
      </c>
      <c r="AR31" s="492" t="s">
        <v>335</v>
      </c>
      <c r="AT31" s="614"/>
      <c r="AU31" s="615"/>
      <c r="AV31" s="615"/>
      <c r="AW31" s="615"/>
      <c r="AX31" s="615"/>
      <c r="AY31" s="564"/>
    </row>
    <row r="32" spans="1:51">
      <c r="A32" s="483"/>
      <c r="B32" s="481" t="s">
        <v>38</v>
      </c>
      <c r="E32" s="492">
        <v>1.7780000000000001E-2</v>
      </c>
      <c r="F32" s="492" t="s">
        <v>270</v>
      </c>
      <c r="G32" s="492" t="s">
        <v>270</v>
      </c>
      <c r="H32" s="492">
        <v>-1.4999999999999999E-4</v>
      </c>
      <c r="I32" s="492">
        <v>-1.4999999999999999E-4</v>
      </c>
      <c r="J32" s="492">
        <v>-1.4999999999999999E-4</v>
      </c>
      <c r="K32" s="492">
        <v>-1.4999999999999999E-4</v>
      </c>
      <c r="L32" s="492">
        <v>-1.4999999999999999E-4</v>
      </c>
      <c r="M32" s="492">
        <v>-1.4999999999999999E-4</v>
      </c>
      <c r="N32" s="492">
        <v>-1.4999999999999999E-4</v>
      </c>
      <c r="O32" s="492">
        <v>-1.4999999999999999E-4</v>
      </c>
      <c r="P32" s="492">
        <v>-1.4999999999999999E-4</v>
      </c>
      <c r="Q32" s="492">
        <v>-1.4999999999999999E-4</v>
      </c>
      <c r="R32" s="492">
        <v>-1.4999999999999999E-4</v>
      </c>
      <c r="S32" s="492" t="s">
        <v>270</v>
      </c>
      <c r="T32" s="492" t="s">
        <v>270</v>
      </c>
      <c r="U32" s="492">
        <v>3.041E-2</v>
      </c>
      <c r="V32" s="492">
        <v>3.041E-2</v>
      </c>
      <c r="W32" s="492">
        <v>3.041E-2</v>
      </c>
      <c r="X32" s="492">
        <v>3.041E-2</v>
      </c>
      <c r="Y32" s="492">
        <v>3.041E-2</v>
      </c>
      <c r="Z32" s="492">
        <v>3.041E-2</v>
      </c>
      <c r="AA32" s="492">
        <v>3.041E-2</v>
      </c>
      <c r="AB32" s="492">
        <v>3.041E-2</v>
      </c>
      <c r="AC32" s="492">
        <v>3.041E-2</v>
      </c>
      <c r="AD32" s="492">
        <v>3.041E-2</v>
      </c>
      <c r="AE32" s="492" t="s">
        <v>335</v>
      </c>
      <c r="AF32" s="492" t="s">
        <v>335</v>
      </c>
      <c r="AG32" s="492">
        <v>2.8709999999999999E-2</v>
      </c>
      <c r="AH32" s="492">
        <v>2.8709999999999999E-2</v>
      </c>
      <c r="AI32" s="492">
        <v>2.8709999999999999E-2</v>
      </c>
      <c r="AJ32" s="492">
        <v>2.8709999999999999E-2</v>
      </c>
      <c r="AK32" s="492">
        <v>2.8709999999999999E-2</v>
      </c>
      <c r="AL32" s="492">
        <v>2.8709999999999999E-2</v>
      </c>
      <c r="AM32" s="492">
        <v>2.8709999999999999E-2</v>
      </c>
      <c r="AN32" s="492">
        <v>2.8709999999999999E-2</v>
      </c>
      <c r="AO32" s="492">
        <v>2.8709999999999999E-2</v>
      </c>
      <c r="AP32" s="492">
        <v>2.8709999999999999E-2</v>
      </c>
      <c r="AQ32" s="492" t="s">
        <v>335</v>
      </c>
      <c r="AR32" s="492" t="s">
        <v>335</v>
      </c>
      <c r="AT32" s="615"/>
      <c r="AU32" s="615"/>
      <c r="AV32" s="615"/>
      <c r="AW32" s="615"/>
      <c r="AX32" s="615"/>
    </row>
    <row r="33" spans="1:51" ht="15.75" hidden="1" customHeight="1">
      <c r="A33" s="483"/>
      <c r="B33" s="481" t="s">
        <v>39</v>
      </c>
      <c r="E33" s="492"/>
      <c r="F33" s="492" t="s">
        <v>270</v>
      </c>
      <c r="G33" s="492" t="s">
        <v>270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 t="s">
        <v>270</v>
      </c>
      <c r="T33" s="492" t="s">
        <v>270</v>
      </c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 t="s">
        <v>270</v>
      </c>
      <c r="AF33" s="492" t="s">
        <v>270</v>
      </c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 t="s">
        <v>270</v>
      </c>
      <c r="AR33" s="492" t="s">
        <v>270</v>
      </c>
      <c r="AT33" s="615"/>
      <c r="AU33" s="615"/>
      <c r="AV33" s="615"/>
      <c r="AW33" s="615"/>
      <c r="AX33" s="615"/>
    </row>
    <row r="34" spans="1:51" ht="15.75" hidden="1" customHeight="1">
      <c r="A34" s="483"/>
      <c r="B34" s="481" t="s">
        <v>40</v>
      </c>
      <c r="E34" s="492"/>
      <c r="F34" s="492" t="s">
        <v>270</v>
      </c>
      <c r="G34" s="492" t="s">
        <v>270</v>
      </c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 t="s">
        <v>270</v>
      </c>
      <c r="T34" s="492" t="s">
        <v>270</v>
      </c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 t="s">
        <v>270</v>
      </c>
      <c r="AF34" s="492" t="s">
        <v>270</v>
      </c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92" t="s">
        <v>270</v>
      </c>
      <c r="AR34" s="492" t="s">
        <v>270</v>
      </c>
      <c r="AT34" s="615"/>
      <c r="AU34" s="615"/>
      <c r="AV34" s="615"/>
      <c r="AW34" s="615"/>
      <c r="AX34" s="615"/>
    </row>
    <row r="35" spans="1:51" ht="15.75" hidden="1" customHeight="1">
      <c r="A35" s="483"/>
      <c r="B35" s="481" t="s">
        <v>41</v>
      </c>
      <c r="E35" s="492"/>
      <c r="F35" s="492" t="s">
        <v>270</v>
      </c>
      <c r="G35" s="492" t="s">
        <v>270</v>
      </c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 t="s">
        <v>270</v>
      </c>
      <c r="T35" s="492" t="s">
        <v>270</v>
      </c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 t="s">
        <v>270</v>
      </c>
      <c r="AF35" s="492" t="s">
        <v>270</v>
      </c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 t="s">
        <v>270</v>
      </c>
      <c r="AR35" s="492" t="s">
        <v>270</v>
      </c>
      <c r="AT35" s="615"/>
      <c r="AU35" s="615"/>
      <c r="AV35" s="615"/>
      <c r="AW35" s="615"/>
      <c r="AX35" s="615"/>
    </row>
    <row r="36" spans="1:51">
      <c r="A36" s="483"/>
      <c r="B36" s="481" t="s">
        <v>42</v>
      </c>
      <c r="E36" s="492">
        <v>1.6570000000000001E-2</v>
      </c>
      <c r="F36" s="492" t="s">
        <v>270</v>
      </c>
      <c r="G36" s="492" t="s">
        <v>270</v>
      </c>
      <c r="H36" s="492">
        <v>1.042E-2</v>
      </c>
      <c r="I36" s="492">
        <v>1.042E-2</v>
      </c>
      <c r="J36" s="492">
        <v>1.042E-2</v>
      </c>
      <c r="K36" s="492">
        <v>1.042E-2</v>
      </c>
      <c r="L36" s="492">
        <v>1.042E-2</v>
      </c>
      <c r="M36" s="492">
        <v>1.042E-2</v>
      </c>
      <c r="N36" s="492">
        <v>1.042E-2</v>
      </c>
      <c r="O36" s="492">
        <v>1.042E-2</v>
      </c>
      <c r="P36" s="492">
        <v>1.042E-2</v>
      </c>
      <c r="Q36" s="492">
        <v>1.042E-2</v>
      </c>
      <c r="R36" s="492">
        <v>1.042E-2</v>
      </c>
      <c r="S36" s="492" t="s">
        <v>270</v>
      </c>
      <c r="T36" s="492" t="s">
        <v>270</v>
      </c>
      <c r="U36" s="492">
        <v>9.1900000000000003E-3</v>
      </c>
      <c r="V36" s="492">
        <v>9.1900000000000003E-3</v>
      </c>
      <c r="W36" s="492">
        <v>9.1900000000000003E-3</v>
      </c>
      <c r="X36" s="492">
        <v>9.1900000000000003E-3</v>
      </c>
      <c r="Y36" s="492">
        <v>9.1900000000000003E-3</v>
      </c>
      <c r="Z36" s="492">
        <v>9.1900000000000003E-3</v>
      </c>
      <c r="AA36" s="492">
        <v>9.1900000000000003E-3</v>
      </c>
      <c r="AB36" s="492">
        <v>9.1900000000000003E-3</v>
      </c>
      <c r="AC36" s="492">
        <v>9.1900000000000003E-3</v>
      </c>
      <c r="AD36" s="492">
        <v>9.1900000000000003E-3</v>
      </c>
      <c r="AE36" s="492" t="s">
        <v>335</v>
      </c>
      <c r="AF36" s="492" t="s">
        <v>335</v>
      </c>
      <c r="AG36" s="492">
        <v>3.0040000000000001E-2</v>
      </c>
      <c r="AH36" s="492">
        <v>3.0040000000000001E-2</v>
      </c>
      <c r="AI36" s="492">
        <v>3.0040000000000001E-2</v>
      </c>
      <c r="AJ36" s="492">
        <v>3.0040000000000001E-2</v>
      </c>
      <c r="AK36" s="492">
        <v>3.0040000000000001E-2</v>
      </c>
      <c r="AL36" s="492">
        <v>3.0040000000000001E-2</v>
      </c>
      <c r="AM36" s="492">
        <v>3.0040000000000001E-2</v>
      </c>
      <c r="AN36" s="492">
        <v>3.0040000000000001E-2</v>
      </c>
      <c r="AO36" s="492">
        <v>3.0040000000000001E-2</v>
      </c>
      <c r="AP36" s="492">
        <v>3.0040000000000001E-2</v>
      </c>
      <c r="AQ36" s="492" t="s">
        <v>335</v>
      </c>
      <c r="AR36" s="492" t="s">
        <v>335</v>
      </c>
      <c r="AT36" s="615"/>
      <c r="AU36" s="615"/>
      <c r="AV36" s="615"/>
      <c r="AW36" s="615"/>
      <c r="AX36" s="615"/>
    </row>
    <row r="37" spans="1:51" hidden="1">
      <c r="A37" s="483"/>
      <c r="B37" s="481" t="s">
        <v>43</v>
      </c>
      <c r="E37" s="492"/>
      <c r="F37" s="492" t="s">
        <v>270</v>
      </c>
      <c r="G37" s="492" t="s">
        <v>270</v>
      </c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</row>
    <row r="38" spans="1:51" hidden="1">
      <c r="A38" s="483"/>
      <c r="B38" s="481" t="s">
        <v>74</v>
      </c>
      <c r="E38" s="492"/>
      <c r="F38" s="492" t="s">
        <v>270</v>
      </c>
      <c r="G38" s="492" t="s">
        <v>270</v>
      </c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</row>
    <row r="39" spans="1:51">
      <c r="A39" s="483" t="s">
        <v>293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T39" s="564"/>
    </row>
    <row r="40" spans="1:51" s="483" customFormat="1" ht="16.2" thickBot="1">
      <c r="A40" s="536">
        <v>191000</v>
      </c>
      <c r="B40" s="485" t="s">
        <v>256</v>
      </c>
      <c r="C40" s="486" t="s">
        <v>251</v>
      </c>
      <c r="D40" s="487" t="s">
        <v>252</v>
      </c>
      <c r="E40" s="484">
        <v>201309</v>
      </c>
      <c r="F40" s="484">
        <v>201310</v>
      </c>
      <c r="G40" s="484">
        <v>201311</v>
      </c>
      <c r="H40" s="484">
        <v>201312</v>
      </c>
      <c r="I40" s="484">
        <v>201401</v>
      </c>
      <c r="J40" s="484">
        <v>201402</v>
      </c>
      <c r="K40" s="484">
        <v>201403</v>
      </c>
      <c r="L40" s="484">
        <v>201404</v>
      </c>
      <c r="M40" s="484">
        <v>201405</v>
      </c>
      <c r="N40" s="484">
        <v>201406</v>
      </c>
      <c r="O40" s="484">
        <v>201407</v>
      </c>
      <c r="P40" s="484">
        <v>201408</v>
      </c>
      <c r="Q40" s="484">
        <v>201409</v>
      </c>
      <c r="R40" s="484">
        <v>201410</v>
      </c>
      <c r="S40" s="484">
        <v>201411</v>
      </c>
      <c r="T40" s="484">
        <v>201412</v>
      </c>
      <c r="U40" s="484">
        <v>201501</v>
      </c>
      <c r="V40" s="484">
        <v>201502</v>
      </c>
      <c r="W40" s="484">
        <v>201503</v>
      </c>
      <c r="X40" s="484">
        <v>201504</v>
      </c>
      <c r="Y40" s="484">
        <v>201505</v>
      </c>
      <c r="Z40" s="484">
        <v>201506</v>
      </c>
      <c r="AA40" s="484">
        <v>201507</v>
      </c>
      <c r="AB40" s="484">
        <v>201508</v>
      </c>
      <c r="AC40" s="484">
        <v>201509</v>
      </c>
      <c r="AD40" s="484">
        <v>201510</v>
      </c>
      <c r="AE40" s="484">
        <v>201511</v>
      </c>
      <c r="AF40" s="484">
        <v>201512</v>
      </c>
      <c r="AG40" s="484">
        <v>201601</v>
      </c>
      <c r="AH40" s="484">
        <v>201602</v>
      </c>
      <c r="AI40" s="484">
        <v>201603</v>
      </c>
      <c r="AJ40" s="484">
        <v>201604</v>
      </c>
      <c r="AK40" s="484">
        <v>201605</v>
      </c>
      <c r="AL40" s="484">
        <v>201606</v>
      </c>
      <c r="AM40" s="484">
        <v>201607</v>
      </c>
      <c r="AN40" s="484">
        <v>201608</v>
      </c>
      <c r="AO40" s="484">
        <v>201609</v>
      </c>
      <c r="AP40" s="484">
        <v>201610</v>
      </c>
      <c r="AQ40" s="484">
        <v>201611</v>
      </c>
      <c r="AR40" s="484">
        <v>201612</v>
      </c>
      <c r="AT40" s="564"/>
      <c r="AU40" s="484"/>
    </row>
    <row r="41" spans="1:51" s="483" customFormat="1" ht="16.2" thickBot="1">
      <c r="B41" s="485" t="s">
        <v>257</v>
      </c>
      <c r="C41" s="482"/>
      <c r="E41" s="488">
        <v>0.01</v>
      </c>
      <c r="F41" s="488">
        <v>0.01</v>
      </c>
      <c r="G41" s="488">
        <v>0.01</v>
      </c>
      <c r="H41" s="488">
        <v>0.01</v>
      </c>
      <c r="I41" s="488">
        <v>0.01</v>
      </c>
      <c r="J41" s="488">
        <v>0.01</v>
      </c>
      <c r="K41" s="488">
        <v>0.01</v>
      </c>
      <c r="L41" s="488">
        <v>0.01</v>
      </c>
      <c r="M41" s="488">
        <v>0.01</v>
      </c>
      <c r="N41" s="488">
        <v>0.01</v>
      </c>
      <c r="O41" s="488">
        <v>0.01</v>
      </c>
      <c r="P41" s="488">
        <v>0.01</v>
      </c>
      <c r="Q41" s="488">
        <v>0.01</v>
      </c>
      <c r="R41" s="488">
        <v>0.01</v>
      </c>
      <c r="S41" s="488">
        <v>0.01</v>
      </c>
      <c r="T41" s="488">
        <v>0.01</v>
      </c>
      <c r="U41" s="488">
        <v>0.01</v>
      </c>
      <c r="V41" s="488">
        <v>0.01</v>
      </c>
      <c r="W41" s="488">
        <v>0.01</v>
      </c>
      <c r="X41" s="488">
        <v>0.01</v>
      </c>
      <c r="Y41" s="488">
        <v>0.01</v>
      </c>
      <c r="Z41" s="488">
        <v>0.01</v>
      </c>
      <c r="AA41" s="488">
        <v>0.01</v>
      </c>
      <c r="AB41" s="488">
        <v>0.01</v>
      </c>
      <c r="AC41" s="488">
        <v>0.01</v>
      </c>
      <c r="AD41" s="488">
        <v>0.01</v>
      </c>
      <c r="AE41" s="488">
        <v>0.01</v>
      </c>
      <c r="AF41" s="488">
        <v>0.01</v>
      </c>
      <c r="AG41" s="488">
        <v>0.01</v>
      </c>
      <c r="AH41" s="488">
        <v>0.01</v>
      </c>
      <c r="AI41" s="488">
        <v>0.01</v>
      </c>
      <c r="AJ41" s="488">
        <v>0.01</v>
      </c>
      <c r="AK41" s="488">
        <v>0.01</v>
      </c>
      <c r="AL41" s="488">
        <v>0.01</v>
      </c>
      <c r="AM41" s="488">
        <v>0.01</v>
      </c>
      <c r="AN41" s="488">
        <v>0.01</v>
      </c>
      <c r="AO41" s="488">
        <v>0.01</v>
      </c>
      <c r="AP41" s="488">
        <v>0.01</v>
      </c>
      <c r="AQ41" s="488">
        <v>0.01</v>
      </c>
      <c r="AR41" s="488">
        <v>0.01</v>
      </c>
      <c r="AT41" s="513">
        <v>201601</v>
      </c>
      <c r="AU41" s="526"/>
      <c r="AV41" s="514"/>
      <c r="AW41" s="514"/>
      <c r="AX41" s="514"/>
      <c r="AY41" s="515"/>
    </row>
    <row r="42" spans="1:51" ht="16.2">
      <c r="A42" s="493"/>
      <c r="B42" s="481" t="s">
        <v>253</v>
      </c>
      <c r="E42" s="482">
        <v>-50127.534716029098</v>
      </c>
      <c r="F42" s="482">
        <v>-5563.1478626091184</v>
      </c>
      <c r="G42" s="482">
        <v>122203.74560073584</v>
      </c>
      <c r="H42" s="482">
        <v>121907.05607206978</v>
      </c>
      <c r="I42" s="482">
        <v>119852.94737383818</v>
      </c>
      <c r="J42" s="482">
        <v>118194.61649829555</v>
      </c>
      <c r="K42" s="482">
        <v>116502.60587854413</v>
      </c>
      <c r="L42" s="482">
        <v>115212.90439619293</v>
      </c>
      <c r="M42" s="482">
        <v>114473.86025523143</v>
      </c>
      <c r="N42" s="482">
        <v>114114.58467165245</v>
      </c>
      <c r="O42" s="482">
        <v>113833.04129137883</v>
      </c>
      <c r="P42" s="482">
        <v>113648.24883543415</v>
      </c>
      <c r="Q42" s="482">
        <v>113440.57527008868</v>
      </c>
      <c r="R42" s="482">
        <v>113218.85686593875</v>
      </c>
      <c r="S42" s="482">
        <v>112675.82279763953</v>
      </c>
      <c r="T42" s="482">
        <v>-2186758.9002166959</v>
      </c>
      <c r="U42" s="482">
        <v>-1737468.3702166961</v>
      </c>
      <c r="V42" s="482">
        <v>-1379625.346046696</v>
      </c>
      <c r="W42" s="482">
        <v>-1139196.8415066958</v>
      </c>
      <c r="X42" s="482">
        <v>-927936.74257669575</v>
      </c>
      <c r="Y42" s="482">
        <v>-767403.9580847763</v>
      </c>
      <c r="Z42" s="482">
        <v>-685903.92338007619</v>
      </c>
      <c r="AA42" s="482">
        <v>-623363.07088572613</v>
      </c>
      <c r="AB42" s="482">
        <v>-564427.81872858922</v>
      </c>
      <c r="AC42" s="482">
        <v>-496357.29729955469</v>
      </c>
      <c r="AD42" s="482">
        <v>-416678.50147523766</v>
      </c>
      <c r="AE42" s="482">
        <v>-299312.54063388787</v>
      </c>
      <c r="AF42" s="482">
        <v>-1658528.5495927494</v>
      </c>
      <c r="AG42" s="482">
        <v>-1317584.0800507434</v>
      </c>
      <c r="AH42" s="482">
        <v>-983065.53286414407</v>
      </c>
      <c r="AI42" s="482">
        <v>-731100.32081221836</v>
      </c>
      <c r="AJ42" s="482">
        <v>-731709.57107956184</v>
      </c>
      <c r="AK42" s="482">
        <v>-732319.32905546145</v>
      </c>
      <c r="AL42" s="482">
        <v>-732929.59516300762</v>
      </c>
      <c r="AM42" s="482">
        <v>-733540.36982564349</v>
      </c>
      <c r="AN42" s="482">
        <v>-734151.65346716484</v>
      </c>
      <c r="AO42" s="482">
        <v>-734763.44651172077</v>
      </c>
      <c r="AP42" s="482">
        <v>-735375.74938381382</v>
      </c>
      <c r="AQ42" s="482">
        <v>-735988.5625083003</v>
      </c>
      <c r="AR42" s="482">
        <v>-736601.88631039055</v>
      </c>
      <c r="AT42" s="497" t="s">
        <v>308</v>
      </c>
      <c r="AU42" s="527">
        <v>419600</v>
      </c>
      <c r="AV42" s="498" t="s">
        <v>288</v>
      </c>
      <c r="AW42" s="498" t="s">
        <v>291</v>
      </c>
      <c r="AX42" s="519">
        <v>0</v>
      </c>
      <c r="AY42" s="520">
        <v>0</v>
      </c>
    </row>
    <row r="43" spans="1:51" ht="16.2">
      <c r="B43" s="481" t="s">
        <v>23</v>
      </c>
      <c r="C43" s="482">
        <v>588155.90229</v>
      </c>
      <c r="D43" s="491">
        <v>1207039.9022900001</v>
      </c>
      <c r="E43" s="482">
        <v>44587.581640000004</v>
      </c>
      <c r="F43" s="482">
        <v>-849.23</v>
      </c>
      <c r="G43" s="482">
        <v>-398.36</v>
      </c>
      <c r="H43" s="482">
        <v>-2064.0279</v>
      </c>
      <c r="I43" s="482">
        <v>-1757.4760499999998</v>
      </c>
      <c r="J43" s="482">
        <v>-1789.7603999999999</v>
      </c>
      <c r="K43" s="482">
        <v>-1386.2093999999997</v>
      </c>
      <c r="L43" s="482">
        <v>-834.70709999999985</v>
      </c>
      <c r="M43" s="482">
        <v>-454.48109999999997</v>
      </c>
      <c r="N43" s="482">
        <v>-376.48199999999997</v>
      </c>
      <c r="O43" s="482">
        <v>-279.53684999999996</v>
      </c>
      <c r="P43" s="482">
        <v>-302.25450000000001</v>
      </c>
      <c r="Q43" s="482">
        <v>-316.12049999999999</v>
      </c>
      <c r="R43" s="482">
        <v>-637.11764999999991</v>
      </c>
      <c r="S43" s="557">
        <v>313583.35999999999</v>
      </c>
      <c r="T43" s="557">
        <v>332991.17</v>
      </c>
      <c r="U43" s="482">
        <v>359140.18416999996</v>
      </c>
      <c r="V43" s="482">
        <v>241476.50453999999</v>
      </c>
      <c r="W43" s="482">
        <v>213416.55893</v>
      </c>
      <c r="X43" s="482">
        <v>159796.52176</v>
      </c>
      <c r="Y43" s="482">
        <v>82105.327449999997</v>
      </c>
      <c r="Z43" s="482">
        <v>63086.153200000001</v>
      </c>
      <c r="AA43" s="482">
        <v>59429.958899999998</v>
      </c>
      <c r="AB43" s="482">
        <v>68512.331139999995</v>
      </c>
      <c r="AC43" s="482">
        <v>80059.068960000004</v>
      </c>
      <c r="AD43" s="482">
        <v>117664.16618999999</v>
      </c>
      <c r="AE43" s="482">
        <v>276700</v>
      </c>
      <c r="AF43" s="563">
        <v>342184</v>
      </c>
      <c r="AG43" s="563">
        <v>335476.75193999999</v>
      </c>
      <c r="AH43" s="563">
        <v>252679.15035000001</v>
      </c>
      <c r="AI43" s="563">
        <v>0</v>
      </c>
      <c r="AJ43" s="563">
        <v>0</v>
      </c>
      <c r="AK43" s="563">
        <v>0</v>
      </c>
      <c r="AL43" s="563">
        <v>0</v>
      </c>
      <c r="AM43" s="563">
        <v>0</v>
      </c>
      <c r="AN43" s="563">
        <v>0</v>
      </c>
      <c r="AO43" s="563">
        <v>0</v>
      </c>
      <c r="AP43" s="563">
        <v>0</v>
      </c>
      <c r="AQ43" s="563">
        <v>0</v>
      </c>
      <c r="AR43" s="563">
        <v>0</v>
      </c>
      <c r="AT43" s="499" t="s">
        <v>309</v>
      </c>
      <c r="AU43" s="528">
        <v>431600</v>
      </c>
      <c r="AV43" s="358" t="s">
        <v>288</v>
      </c>
      <c r="AW43" s="358" t="s">
        <v>291</v>
      </c>
      <c r="AX43" s="381">
        <v>958.20475340061967</v>
      </c>
      <c r="AY43" s="500">
        <v>0</v>
      </c>
    </row>
    <row r="44" spans="1:51" ht="16.2">
      <c r="B44" s="481" t="s">
        <v>4</v>
      </c>
      <c r="C44" s="482">
        <v>-7787.5434549059755</v>
      </c>
      <c r="D44" s="491">
        <v>-9314.4941644125975</v>
      </c>
      <c r="E44" s="482">
        <v>-23.194786580024246</v>
      </c>
      <c r="F44" s="482">
        <v>93.835916403610199</v>
      </c>
      <c r="G44" s="482">
        <v>101.67047133394655</v>
      </c>
      <c r="H44" s="489">
        <v>9.9192017683914884</v>
      </c>
      <c r="I44" s="489">
        <v>99.145174457365144</v>
      </c>
      <c r="J44" s="489">
        <v>97.74978024857964</v>
      </c>
      <c r="K44" s="489">
        <v>96.507917648786787</v>
      </c>
      <c r="L44" s="489">
        <v>95.662959038494108</v>
      </c>
      <c r="M44" s="489">
        <v>95.205516421026189</v>
      </c>
      <c r="N44" s="489">
        <v>94.938619726377041</v>
      </c>
      <c r="O44" s="489">
        <v>94.744394055315695</v>
      </c>
      <c r="P44" s="489">
        <v>94.580934654528463</v>
      </c>
      <c r="Q44" s="489">
        <v>94.402095850073906</v>
      </c>
      <c r="R44" s="489">
        <v>94.083581700782304</v>
      </c>
      <c r="S44" s="489">
        <v>-1926.4530143353002</v>
      </c>
      <c r="T44" s="489">
        <v>-1683.55</v>
      </c>
      <c r="U44" s="489">
        <v>-1297.1600000000001</v>
      </c>
      <c r="V44" s="489">
        <v>-1047.99</v>
      </c>
      <c r="W44" s="489">
        <v>-859.33</v>
      </c>
      <c r="X44" s="489">
        <v>-705.49726808057983</v>
      </c>
      <c r="Y44" s="489">
        <v>-605.29274529981353</v>
      </c>
      <c r="Z44" s="489">
        <v>-545.30070565006349</v>
      </c>
      <c r="AA44" s="489">
        <v>-494.70674286310515</v>
      </c>
      <c r="AB44" s="489">
        <v>-441.80971096549104</v>
      </c>
      <c r="AC44" s="489">
        <v>-380.27313568296228</v>
      </c>
      <c r="AD44" s="489">
        <v>-298.20534865019806</v>
      </c>
      <c r="AE44" s="489">
        <v>-1514.5789588615733</v>
      </c>
      <c r="AF44" s="489">
        <v>-1239.530457993958</v>
      </c>
      <c r="AG44" s="489">
        <v>-958.20475340061967</v>
      </c>
      <c r="AH44" s="489">
        <v>-713.93829807428676</v>
      </c>
      <c r="AI44" s="489">
        <v>-609.25026734351536</v>
      </c>
      <c r="AJ44" s="489">
        <v>-609.75797589963486</v>
      </c>
      <c r="AK44" s="489">
        <v>-610.26610754621788</v>
      </c>
      <c r="AL44" s="489">
        <v>-610.77466263583972</v>
      </c>
      <c r="AM44" s="489">
        <v>-611.28364152136965</v>
      </c>
      <c r="AN44" s="489">
        <v>-611.79304455597071</v>
      </c>
      <c r="AO44" s="489">
        <v>-612.30287209310063</v>
      </c>
      <c r="AP44" s="489">
        <v>-612.81312448651158</v>
      </c>
      <c r="AQ44" s="489">
        <v>-613.3238020902503</v>
      </c>
      <c r="AR44" s="489">
        <v>-613.83490525865886</v>
      </c>
      <c r="AT44" s="499" t="s">
        <v>310</v>
      </c>
      <c r="AU44" s="528">
        <v>191000</v>
      </c>
      <c r="AV44" s="358" t="s">
        <v>288</v>
      </c>
      <c r="AW44" s="358" t="s">
        <v>291</v>
      </c>
      <c r="AX44" s="381">
        <v>334518.54718659935</v>
      </c>
      <c r="AY44" s="500">
        <v>0</v>
      </c>
    </row>
    <row r="45" spans="1:51" ht="16.2">
      <c r="B45" s="481" t="s">
        <v>259</v>
      </c>
      <c r="C45" s="482">
        <v>0</v>
      </c>
      <c r="E45" s="482">
        <v>0</v>
      </c>
      <c r="F45" s="490">
        <v>108659.43754694135</v>
      </c>
      <c r="G45" s="482">
        <v>0</v>
      </c>
      <c r="H45" s="482">
        <v>0</v>
      </c>
      <c r="I45" s="482">
        <v>0</v>
      </c>
      <c r="J45" s="482">
        <v>0</v>
      </c>
      <c r="K45" s="482">
        <v>0</v>
      </c>
      <c r="L45" s="482">
        <v>0</v>
      </c>
      <c r="M45" s="482">
        <v>0</v>
      </c>
      <c r="N45" s="482">
        <v>0</v>
      </c>
      <c r="O45" s="482">
        <v>0</v>
      </c>
      <c r="P45" s="482">
        <v>0</v>
      </c>
      <c r="Q45" s="482">
        <v>0</v>
      </c>
      <c r="R45" s="482">
        <v>0</v>
      </c>
      <c r="S45" s="557">
        <v>-2551330.61</v>
      </c>
      <c r="T45" s="482">
        <v>0</v>
      </c>
      <c r="U45" s="482">
        <v>0</v>
      </c>
      <c r="V45" s="482">
        <v>0</v>
      </c>
      <c r="W45" s="482">
        <v>0</v>
      </c>
      <c r="X45" s="482">
        <v>0</v>
      </c>
      <c r="Y45" s="482">
        <v>0</v>
      </c>
      <c r="Z45" s="482">
        <v>0</v>
      </c>
      <c r="AA45" s="482">
        <v>0</v>
      </c>
      <c r="AB45" s="482">
        <v>0</v>
      </c>
      <c r="AC45" s="482">
        <v>0</v>
      </c>
      <c r="AD45" s="482">
        <v>0</v>
      </c>
      <c r="AE45" s="557">
        <v>-1678662.99</v>
      </c>
      <c r="AF45" s="482">
        <v>0</v>
      </c>
      <c r="AG45" s="482">
        <v>0</v>
      </c>
      <c r="AH45" s="482">
        <v>0</v>
      </c>
      <c r="AI45" s="482">
        <v>0</v>
      </c>
      <c r="AJ45" s="482">
        <v>0</v>
      </c>
      <c r="AK45" s="482">
        <v>0</v>
      </c>
      <c r="AL45" s="482">
        <v>0</v>
      </c>
      <c r="AM45" s="482">
        <v>0</v>
      </c>
      <c r="AN45" s="482">
        <v>0</v>
      </c>
      <c r="AO45" s="482">
        <v>0</v>
      </c>
      <c r="AP45" s="482">
        <v>0</v>
      </c>
      <c r="AQ45" s="482">
        <v>0</v>
      </c>
      <c r="AR45" s="482">
        <v>0</v>
      </c>
      <c r="AT45" s="499" t="s">
        <v>311</v>
      </c>
      <c r="AU45" s="528">
        <v>805110</v>
      </c>
      <c r="AV45" s="358" t="s">
        <v>288</v>
      </c>
      <c r="AW45" s="358" t="s">
        <v>291</v>
      </c>
      <c r="AX45" s="381">
        <v>0</v>
      </c>
      <c r="AY45" s="500">
        <v>335476.75193999999</v>
      </c>
    </row>
    <row r="46" spans="1:51" ht="16.2">
      <c r="B46" s="481" t="s">
        <v>148</v>
      </c>
      <c r="C46" s="482">
        <v>0</v>
      </c>
      <c r="E46" s="482">
        <v>0</v>
      </c>
      <c r="F46" s="490">
        <v>19862.850000000002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2">
        <v>0</v>
      </c>
      <c r="M46" s="482">
        <v>0</v>
      </c>
      <c r="N46" s="482">
        <v>0</v>
      </c>
      <c r="O46" s="482">
        <v>0</v>
      </c>
      <c r="P46" s="482">
        <v>0</v>
      </c>
      <c r="Q46" s="482">
        <v>0</v>
      </c>
      <c r="R46" s="482">
        <v>0</v>
      </c>
      <c r="S46" s="557">
        <v>-59761.02</v>
      </c>
      <c r="T46" s="563">
        <v>117982.91</v>
      </c>
      <c r="U46" s="482">
        <v>0</v>
      </c>
      <c r="V46" s="482">
        <v>-0.01</v>
      </c>
      <c r="W46" s="482">
        <v>-1297.1300000000001</v>
      </c>
      <c r="X46" s="482">
        <v>1441.76</v>
      </c>
      <c r="Y46" s="482">
        <v>0</v>
      </c>
      <c r="Z46" s="482">
        <v>0</v>
      </c>
      <c r="AA46" s="482">
        <v>0</v>
      </c>
      <c r="AB46" s="482">
        <v>0</v>
      </c>
      <c r="AC46" s="482">
        <v>0</v>
      </c>
      <c r="AD46" s="482">
        <v>0</v>
      </c>
      <c r="AE46" s="557">
        <v>44261.56</v>
      </c>
      <c r="AF46" s="482">
        <v>0</v>
      </c>
      <c r="AG46" s="482">
        <v>0</v>
      </c>
      <c r="AH46" s="482">
        <v>0</v>
      </c>
      <c r="AI46" s="482">
        <v>0</v>
      </c>
      <c r="AJ46" s="482">
        <v>0</v>
      </c>
      <c r="AK46" s="482">
        <v>0</v>
      </c>
      <c r="AL46" s="482">
        <v>0</v>
      </c>
      <c r="AM46" s="482">
        <v>0</v>
      </c>
      <c r="AN46" s="482">
        <v>0</v>
      </c>
      <c r="AO46" s="482">
        <v>0</v>
      </c>
      <c r="AP46" s="482">
        <v>0</v>
      </c>
      <c r="AQ46" s="482">
        <v>0</v>
      </c>
      <c r="AR46" s="482">
        <v>0</v>
      </c>
      <c r="AT46" s="499" t="s">
        <v>156</v>
      </c>
      <c r="AU46" s="528">
        <v>191000</v>
      </c>
      <c r="AV46" s="528" t="s">
        <v>288</v>
      </c>
      <c r="AW46" s="528" t="s">
        <v>291</v>
      </c>
      <c r="AX46" s="381">
        <v>0</v>
      </c>
      <c r="AY46" s="500">
        <v>0</v>
      </c>
    </row>
    <row r="47" spans="1:51" ht="16.8" thickBot="1">
      <c r="B47" s="481" t="s">
        <v>56</v>
      </c>
      <c r="C47" s="541"/>
      <c r="D47" s="541"/>
      <c r="E47" s="541">
        <v>-5563.1478626091184</v>
      </c>
      <c r="F47" s="541">
        <v>122203.74560073584</v>
      </c>
      <c r="G47" s="541">
        <v>121907.05607206978</v>
      </c>
      <c r="H47" s="541">
        <v>119852.94737383818</v>
      </c>
      <c r="I47" s="541">
        <v>118194.61649829555</v>
      </c>
      <c r="J47" s="541">
        <v>116502.60587854413</v>
      </c>
      <c r="K47" s="541">
        <v>115212.90439619293</v>
      </c>
      <c r="L47" s="541">
        <v>114473.86025523143</v>
      </c>
      <c r="M47" s="541">
        <v>114114.58467165245</v>
      </c>
      <c r="N47" s="541">
        <v>113833.04129137883</v>
      </c>
      <c r="O47" s="541">
        <v>113648.24883543415</v>
      </c>
      <c r="P47" s="541">
        <v>113440.57527008868</v>
      </c>
      <c r="Q47" s="541">
        <v>113218.85686593875</v>
      </c>
      <c r="R47" s="541">
        <v>112675.82279763953</v>
      </c>
      <c r="S47" s="541">
        <v>-2186758.9002166959</v>
      </c>
      <c r="T47" s="541">
        <v>-1737468.3702166961</v>
      </c>
      <c r="U47" s="541">
        <v>-1379625.346046696</v>
      </c>
      <c r="V47" s="541">
        <v>-1139196.8415066958</v>
      </c>
      <c r="W47" s="541">
        <v>-927936.74257669575</v>
      </c>
      <c r="X47" s="541">
        <v>-767403.9580847763</v>
      </c>
      <c r="Y47" s="541">
        <v>-685903.92338007619</v>
      </c>
      <c r="Z47" s="541">
        <v>-623363.07088572613</v>
      </c>
      <c r="AA47" s="541">
        <v>-564427.81872858922</v>
      </c>
      <c r="AB47" s="541">
        <v>-496357.29729955469</v>
      </c>
      <c r="AC47" s="541">
        <v>-416678.50147523766</v>
      </c>
      <c r="AD47" s="541">
        <v>-299312.54063388787</v>
      </c>
      <c r="AE47" s="541">
        <v>-1658528.5495927494</v>
      </c>
      <c r="AF47" s="541">
        <v>-1317584.0800507434</v>
      </c>
      <c r="AG47" s="541">
        <v>-983065.53286414407</v>
      </c>
      <c r="AH47" s="541">
        <v>-731100.32081221836</v>
      </c>
      <c r="AI47" s="541">
        <v>-731709.57107956184</v>
      </c>
      <c r="AJ47" s="541">
        <v>-732319.32905546145</v>
      </c>
      <c r="AK47" s="541">
        <v>-732929.59516300762</v>
      </c>
      <c r="AL47" s="541">
        <v>-733540.36982564349</v>
      </c>
      <c r="AM47" s="541">
        <v>-734151.65346716484</v>
      </c>
      <c r="AN47" s="541">
        <v>-734763.44651172077</v>
      </c>
      <c r="AO47" s="541">
        <v>-735375.74938381382</v>
      </c>
      <c r="AP47" s="541">
        <v>-735988.5625083003</v>
      </c>
      <c r="AQ47" s="541">
        <v>-736601.88631039055</v>
      </c>
      <c r="AR47" s="541">
        <v>-737215.72121564916</v>
      </c>
      <c r="AT47" s="501" t="s">
        <v>156</v>
      </c>
      <c r="AU47" s="529">
        <v>805110</v>
      </c>
      <c r="AV47" s="529" t="s">
        <v>288</v>
      </c>
      <c r="AW47" s="529" t="s">
        <v>291</v>
      </c>
      <c r="AX47" s="503">
        <v>0</v>
      </c>
      <c r="AY47" s="521">
        <v>0</v>
      </c>
    </row>
    <row r="48" spans="1:51" ht="16.8" thickTop="1" thickBot="1">
      <c r="B48" s="481" t="s">
        <v>260</v>
      </c>
      <c r="E48" s="482">
        <v>-5563.17</v>
      </c>
      <c r="F48" s="482">
        <v>122113.18</v>
      </c>
      <c r="G48" s="482">
        <v>121816.41</v>
      </c>
      <c r="H48" s="482">
        <v>119852.95</v>
      </c>
      <c r="I48" s="482">
        <v>118194.62</v>
      </c>
      <c r="J48" s="482">
        <v>116502.61</v>
      </c>
      <c r="K48" s="482">
        <v>115212.91</v>
      </c>
      <c r="L48" s="482">
        <v>114473.87</v>
      </c>
      <c r="M48" s="482">
        <v>114114.59</v>
      </c>
      <c r="N48" s="482">
        <v>113833.05</v>
      </c>
      <c r="O48" s="482">
        <v>113927.91</v>
      </c>
      <c r="P48" s="482">
        <v>113440.59</v>
      </c>
      <c r="Q48" s="482">
        <v>113218.87</v>
      </c>
      <c r="R48" s="482">
        <v>112675.84</v>
      </c>
      <c r="S48" s="482">
        <v>-2186758.9</v>
      </c>
      <c r="T48" s="482">
        <v>-1737468.37</v>
      </c>
      <c r="U48" s="482">
        <v>-1379625.35</v>
      </c>
      <c r="V48" s="482">
        <v>-1139196.8400000001</v>
      </c>
      <c r="W48" s="482">
        <v>-927936.74</v>
      </c>
      <c r="X48" s="482">
        <v>-767403.96</v>
      </c>
      <c r="Y48" s="482">
        <v>-685903.92</v>
      </c>
      <c r="Z48" s="482">
        <v>-623363.06999999995</v>
      </c>
      <c r="AA48" s="482">
        <v>-564427.81999999995</v>
      </c>
      <c r="AB48" s="482">
        <v>-496357.3</v>
      </c>
      <c r="AC48" s="482">
        <v>-416678.5</v>
      </c>
      <c r="AD48" s="482">
        <v>-299312.53999999998</v>
      </c>
      <c r="AE48" s="482">
        <v>-1658528.55</v>
      </c>
      <c r="AF48" s="482">
        <v>-1317584.08</v>
      </c>
      <c r="AG48" s="482">
        <v>-983065.53</v>
      </c>
      <c r="AH48" s="482">
        <v>-983065.53</v>
      </c>
      <c r="AI48" s="482">
        <v>-983065.53</v>
      </c>
      <c r="AJ48" s="482">
        <v>0</v>
      </c>
      <c r="AK48" s="482">
        <v>0</v>
      </c>
      <c r="AL48" s="482">
        <v>0</v>
      </c>
      <c r="AM48" s="482">
        <v>0</v>
      </c>
      <c r="AN48" s="482">
        <v>0</v>
      </c>
      <c r="AO48" s="482">
        <v>0</v>
      </c>
      <c r="AP48" s="482">
        <v>0</v>
      </c>
      <c r="AQ48" s="482">
        <v>0</v>
      </c>
      <c r="AR48" s="482">
        <v>0</v>
      </c>
      <c r="AT48" s="516"/>
      <c r="AU48" s="530"/>
      <c r="AV48" s="517"/>
      <c r="AW48" s="517"/>
      <c r="AX48" s="517" t="s">
        <v>159</v>
      </c>
      <c r="AY48" s="518">
        <v>0</v>
      </c>
    </row>
    <row r="49" spans="1:45">
      <c r="B49" s="481" t="s">
        <v>245</v>
      </c>
      <c r="E49" s="482">
        <v>2.2137390881653118E-2</v>
      </c>
      <c r="F49" s="482">
        <v>90.56560073584842</v>
      </c>
      <c r="G49" s="482">
        <v>90.646072069779621</v>
      </c>
      <c r="H49" s="482">
        <v>-2.6261618186254054E-3</v>
      </c>
      <c r="I49" s="482">
        <v>-3.5017044428968802E-3</v>
      </c>
      <c r="J49" s="482">
        <v>-4.1214558732463047E-3</v>
      </c>
      <c r="K49" s="482">
        <v>-5.6038070761132985E-3</v>
      </c>
      <c r="L49" s="482">
        <v>-9.7447685693623498E-3</v>
      </c>
      <c r="M49" s="482">
        <v>-5.3283475426724181E-3</v>
      </c>
      <c r="N49" s="482">
        <v>-8.7086211715359241E-3</v>
      </c>
      <c r="O49" s="482">
        <v>-279.66116456585587</v>
      </c>
      <c r="P49" s="482">
        <v>-1.4729911315953359E-2</v>
      </c>
      <c r="Q49" s="482">
        <v>-1.3134061242453754E-2</v>
      </c>
      <c r="R49" s="482">
        <v>-1.7202360468218103E-2</v>
      </c>
      <c r="S49" s="482">
        <v>-2.1669594570994377E-4</v>
      </c>
      <c r="T49" s="482">
        <v>-2.1669594570994377E-4</v>
      </c>
      <c r="U49" s="482">
        <v>3.9533041417598724E-3</v>
      </c>
      <c r="V49" s="482">
        <v>-1.506695756688714E-3</v>
      </c>
      <c r="W49" s="482">
        <v>-2.5766957551240921E-3</v>
      </c>
      <c r="X49" s="482">
        <v>1.9152236636728048E-3</v>
      </c>
      <c r="Y49" s="482">
        <v>-3.3800761448219419E-3</v>
      </c>
      <c r="Z49" s="482">
        <v>-8.8572618551552296E-4</v>
      </c>
      <c r="AA49" s="482">
        <v>1.2714107288047671E-3</v>
      </c>
      <c r="AB49" s="482">
        <v>2.7004453004337847E-3</v>
      </c>
      <c r="AC49" s="482">
        <v>-1.4752376591786742E-3</v>
      </c>
      <c r="AD49" s="482">
        <v>-6.3388788839802146E-4</v>
      </c>
      <c r="AE49" s="482">
        <v>4.0725059807300568E-4</v>
      </c>
      <c r="AF49" s="482">
        <v>-5.0743343308568001E-5</v>
      </c>
      <c r="AG49" s="482">
        <v>-2.8641440439969301E-3</v>
      </c>
      <c r="AH49" s="482">
        <v>251965.20918778167</v>
      </c>
      <c r="AI49" s="482">
        <v>251355.95892043819</v>
      </c>
      <c r="AJ49" s="482">
        <v>-732319.32905546145</v>
      </c>
      <c r="AK49" s="482">
        <v>-732929.59516300762</v>
      </c>
      <c r="AL49" s="482">
        <v>-733540.36982564349</v>
      </c>
      <c r="AM49" s="482">
        <v>-734151.65346716484</v>
      </c>
      <c r="AN49" s="482">
        <v>-734763.44651172077</v>
      </c>
      <c r="AO49" s="482">
        <v>-735375.74938381382</v>
      </c>
      <c r="AP49" s="482">
        <v>-735988.5625083003</v>
      </c>
      <c r="AQ49" s="482">
        <v>-736601.88631039055</v>
      </c>
      <c r="AR49" s="482">
        <v>-737215.72121564916</v>
      </c>
      <c r="AS49" s="482">
        <v>0</v>
      </c>
    </row>
    <row r="50" spans="1:45">
      <c r="A50" s="483" t="s">
        <v>292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</row>
    <row r="51" spans="1:45">
      <c r="A51" s="536">
        <v>191015</v>
      </c>
      <c r="B51" s="485" t="s">
        <v>256</v>
      </c>
      <c r="C51" s="486" t="s">
        <v>251</v>
      </c>
      <c r="D51" s="486" t="s">
        <v>252</v>
      </c>
      <c r="E51" s="484">
        <v>201309</v>
      </c>
      <c r="F51" s="484">
        <v>201310</v>
      </c>
      <c r="G51" s="484">
        <v>201311</v>
      </c>
      <c r="H51" s="484">
        <v>201312</v>
      </c>
      <c r="I51" s="484">
        <v>201401</v>
      </c>
      <c r="J51" s="484">
        <v>201402</v>
      </c>
      <c r="K51" s="484">
        <v>201403</v>
      </c>
      <c r="L51" s="484">
        <v>201404</v>
      </c>
      <c r="M51" s="484">
        <v>201405</v>
      </c>
      <c r="N51" s="484">
        <v>201406</v>
      </c>
      <c r="O51" s="484">
        <v>201407</v>
      </c>
      <c r="P51" s="484">
        <v>201408</v>
      </c>
      <c r="Q51" s="484">
        <v>201409</v>
      </c>
      <c r="R51" s="484">
        <v>201410</v>
      </c>
      <c r="S51" s="484">
        <v>201411</v>
      </c>
      <c r="T51" s="484">
        <v>201412</v>
      </c>
      <c r="U51" s="484">
        <v>201501</v>
      </c>
      <c r="V51" s="484">
        <v>201502</v>
      </c>
      <c r="W51" s="484">
        <v>201503</v>
      </c>
      <c r="X51" s="484">
        <v>201504</v>
      </c>
      <c r="Y51" s="484">
        <v>201505</v>
      </c>
      <c r="Z51" s="484">
        <v>201506</v>
      </c>
      <c r="AA51" s="484">
        <v>201507</v>
      </c>
      <c r="AB51" s="484">
        <v>201508</v>
      </c>
      <c r="AC51" s="484">
        <v>201509</v>
      </c>
      <c r="AD51" s="484">
        <v>201510</v>
      </c>
      <c r="AE51" s="484">
        <v>201511</v>
      </c>
      <c r="AF51" s="484">
        <v>201512</v>
      </c>
      <c r="AG51" s="484">
        <v>201601</v>
      </c>
      <c r="AH51" s="484">
        <v>201602</v>
      </c>
      <c r="AI51" s="484">
        <v>201603</v>
      </c>
      <c r="AJ51" s="484">
        <v>201604</v>
      </c>
      <c r="AK51" s="484">
        <v>201605</v>
      </c>
      <c r="AL51" s="484">
        <v>201606</v>
      </c>
      <c r="AM51" s="484">
        <v>201607</v>
      </c>
      <c r="AN51" s="484">
        <v>201608</v>
      </c>
      <c r="AO51" s="484">
        <v>201609</v>
      </c>
      <c r="AP51" s="484">
        <v>201610</v>
      </c>
      <c r="AQ51" s="484">
        <v>201611</v>
      </c>
      <c r="AR51" s="484">
        <v>201612</v>
      </c>
    </row>
    <row r="52" spans="1:45">
      <c r="A52" s="483"/>
      <c r="B52" s="481" t="s">
        <v>37</v>
      </c>
      <c r="C52" s="491">
        <v>48316153</v>
      </c>
      <c r="D52" s="491">
        <v>48012811</v>
      </c>
      <c r="E52" s="495" t="s">
        <v>272</v>
      </c>
      <c r="F52" s="491"/>
      <c r="G52" s="491">
        <v>7085932</v>
      </c>
      <c r="H52" s="491">
        <v>10497053</v>
      </c>
      <c r="I52" s="491">
        <v>8687325</v>
      </c>
      <c r="J52" s="491">
        <v>8895182</v>
      </c>
      <c r="K52" s="491">
        <v>6774285</v>
      </c>
      <c r="L52" s="491">
        <v>3867130</v>
      </c>
      <c r="M52" s="491">
        <v>1979544</v>
      </c>
      <c r="N52" s="491">
        <v>1402196</v>
      </c>
      <c r="O52" s="491">
        <v>1007077</v>
      </c>
      <c r="P52" s="491">
        <v>989884</v>
      </c>
      <c r="Q52" s="491">
        <v>1199079</v>
      </c>
      <c r="R52" s="491">
        <v>2624816</v>
      </c>
      <c r="S52" s="491">
        <v>7693608</v>
      </c>
      <c r="T52" s="491">
        <v>8470110</v>
      </c>
      <c r="U52" s="491">
        <v>8991869</v>
      </c>
      <c r="V52" s="491">
        <v>5607449</v>
      </c>
      <c r="W52" s="491">
        <v>5090227</v>
      </c>
      <c r="X52" s="491">
        <v>3621515</v>
      </c>
      <c r="Y52" s="491">
        <v>1624041</v>
      </c>
      <c r="Z52" s="491">
        <v>985347</v>
      </c>
      <c r="AA52" s="491">
        <v>990038</v>
      </c>
      <c r="AB52" s="491">
        <v>930531</v>
      </c>
      <c r="AC52" s="491">
        <v>1531464</v>
      </c>
      <c r="AD52" s="491">
        <v>2476612</v>
      </c>
      <c r="AE52" s="491">
        <v>7248071</v>
      </c>
      <c r="AF52" s="491">
        <v>9218989</v>
      </c>
      <c r="AG52" s="491">
        <v>8841051</v>
      </c>
      <c r="AH52" s="491">
        <v>6461869</v>
      </c>
      <c r="AI52" s="491"/>
      <c r="AJ52" s="491"/>
      <c r="AK52" s="491"/>
      <c r="AL52" s="491"/>
      <c r="AM52" s="491"/>
      <c r="AN52" s="491"/>
      <c r="AO52" s="491"/>
      <c r="AP52" s="491"/>
      <c r="AQ52" s="491"/>
      <c r="AR52" s="491"/>
      <c r="AS52" s="491">
        <v>8841051</v>
      </c>
    </row>
    <row r="53" spans="1:45">
      <c r="A53" s="483"/>
      <c r="B53" s="481" t="s">
        <v>38</v>
      </c>
      <c r="C53" s="491">
        <v>20738662</v>
      </c>
      <c r="D53" s="491">
        <v>20769686</v>
      </c>
      <c r="E53" s="495" t="s">
        <v>272</v>
      </c>
      <c r="F53" s="491"/>
      <c r="G53" s="491">
        <v>2422167</v>
      </c>
      <c r="H53" s="491">
        <v>3263133</v>
      </c>
      <c r="I53" s="491">
        <v>3029182</v>
      </c>
      <c r="J53" s="491">
        <v>3036554</v>
      </c>
      <c r="K53" s="491">
        <v>2467111</v>
      </c>
      <c r="L53" s="491">
        <v>1697584</v>
      </c>
      <c r="M53" s="491">
        <v>1050330</v>
      </c>
      <c r="N53" s="491">
        <v>1107684</v>
      </c>
      <c r="O53" s="491">
        <v>856502</v>
      </c>
      <c r="P53" s="491">
        <v>1025146</v>
      </c>
      <c r="Q53" s="491">
        <v>908391</v>
      </c>
      <c r="R53" s="491">
        <v>1622635</v>
      </c>
      <c r="S53" s="491">
        <v>2516335</v>
      </c>
      <c r="T53" s="491">
        <v>2595480</v>
      </c>
      <c r="U53" s="491">
        <v>2818068</v>
      </c>
      <c r="V53" s="491">
        <v>2333245</v>
      </c>
      <c r="W53" s="491">
        <v>1927746</v>
      </c>
      <c r="X53" s="491">
        <v>1633221</v>
      </c>
      <c r="Y53" s="491">
        <v>1075904</v>
      </c>
      <c r="Z53" s="491">
        <v>1089173</v>
      </c>
      <c r="AA53" s="491">
        <v>964252</v>
      </c>
      <c r="AB53" s="491">
        <v>1322423</v>
      </c>
      <c r="AC53" s="491">
        <v>1101192</v>
      </c>
      <c r="AD53" s="491">
        <v>1392647</v>
      </c>
      <c r="AE53" s="491">
        <v>2379775</v>
      </c>
      <c r="AF53" s="491">
        <v>2701016</v>
      </c>
      <c r="AG53" s="491">
        <v>2843963</v>
      </c>
      <c r="AH53" s="491">
        <v>2339216</v>
      </c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>
        <v>2843963</v>
      </c>
    </row>
    <row r="54" spans="1:45">
      <c r="A54" s="483"/>
      <c r="B54" s="481" t="s">
        <v>39</v>
      </c>
      <c r="C54" s="491">
        <v>252450</v>
      </c>
      <c r="D54" s="491">
        <v>281962</v>
      </c>
      <c r="E54" s="495" t="s">
        <v>272</v>
      </c>
      <c r="F54" s="491"/>
      <c r="G54" s="491">
        <v>24496</v>
      </c>
      <c r="H54" s="491">
        <v>870</v>
      </c>
      <c r="I54" s="491">
        <v>2743</v>
      </c>
      <c r="J54" s="491">
        <v>2162</v>
      </c>
      <c r="K54" s="491">
        <v>1774</v>
      </c>
      <c r="L54" s="491">
        <v>364</v>
      </c>
      <c r="M54" s="491">
        <v>13788</v>
      </c>
      <c r="N54" s="491">
        <v>29747</v>
      </c>
      <c r="O54" s="491">
        <v>55765</v>
      </c>
      <c r="P54" s="491">
        <v>49456</v>
      </c>
      <c r="Q54" s="491">
        <v>35117</v>
      </c>
      <c r="R54" s="491">
        <v>123099</v>
      </c>
      <c r="S54" s="491">
        <v>36163</v>
      </c>
      <c r="T54" s="491">
        <v>22942</v>
      </c>
      <c r="U54" s="491">
        <v>2994</v>
      </c>
      <c r="V54" s="491">
        <v>1973</v>
      </c>
      <c r="W54" s="491">
        <v>871</v>
      </c>
      <c r="X54" s="491">
        <v>5610</v>
      </c>
      <c r="Y54" s="491">
        <v>18173</v>
      </c>
      <c r="Z54" s="491">
        <v>21920</v>
      </c>
      <c r="AA54" s="491">
        <v>28026</v>
      </c>
      <c r="AB54" s="491">
        <v>47622</v>
      </c>
      <c r="AC54" s="491">
        <v>26734</v>
      </c>
      <c r="AD54" s="491">
        <v>68934</v>
      </c>
      <c r="AE54" s="491">
        <v>23496</v>
      </c>
      <c r="AF54" s="491">
        <v>6097</v>
      </c>
      <c r="AG54" s="491">
        <v>2754</v>
      </c>
      <c r="AH54" s="491">
        <v>2352</v>
      </c>
      <c r="AI54" s="491"/>
      <c r="AJ54" s="491"/>
      <c r="AK54" s="491"/>
      <c r="AL54" s="491"/>
      <c r="AM54" s="491"/>
      <c r="AN54" s="491"/>
      <c r="AO54" s="491"/>
      <c r="AP54" s="491"/>
      <c r="AQ54" s="491"/>
      <c r="AR54" s="491"/>
      <c r="AS54" s="491">
        <v>2754</v>
      </c>
    </row>
    <row r="55" spans="1:45">
      <c r="A55" s="483"/>
      <c r="B55" s="481" t="s">
        <v>40</v>
      </c>
      <c r="C55" s="491">
        <v>0</v>
      </c>
      <c r="D55" s="491">
        <v>0</v>
      </c>
      <c r="E55" s="495" t="s">
        <v>272</v>
      </c>
      <c r="F55" s="491"/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0</v>
      </c>
      <c r="P55" s="491">
        <v>0</v>
      </c>
      <c r="Q55" s="491">
        <v>0</v>
      </c>
      <c r="R55" s="491">
        <v>0</v>
      </c>
      <c r="S55" s="491">
        <v>0</v>
      </c>
      <c r="T55" s="491">
        <v>0</v>
      </c>
      <c r="U55" s="491">
        <v>0</v>
      </c>
      <c r="V55" s="491">
        <v>0</v>
      </c>
      <c r="W55" s="491">
        <v>0</v>
      </c>
      <c r="X55" s="491">
        <v>0</v>
      </c>
      <c r="Y55" s="491">
        <v>0</v>
      </c>
      <c r="Z55" s="491">
        <v>0</v>
      </c>
      <c r="AA55" s="491">
        <v>0</v>
      </c>
      <c r="AB55" s="491">
        <v>0</v>
      </c>
      <c r="AC55" s="491">
        <v>0</v>
      </c>
      <c r="AD55" s="491">
        <v>0</v>
      </c>
      <c r="AE55" s="491">
        <v>0</v>
      </c>
      <c r="AF55" s="491">
        <v>0</v>
      </c>
      <c r="AG55" s="491">
        <v>0</v>
      </c>
      <c r="AH55" s="491">
        <v>0</v>
      </c>
      <c r="AI55" s="491"/>
      <c r="AJ55" s="491"/>
      <c r="AK55" s="491"/>
      <c r="AL55" s="491"/>
      <c r="AM55" s="491"/>
      <c r="AN55" s="491"/>
      <c r="AO55" s="491"/>
      <c r="AP55" s="491"/>
      <c r="AQ55" s="491"/>
      <c r="AR55" s="491"/>
      <c r="AS55" s="491">
        <v>0</v>
      </c>
    </row>
    <row r="56" spans="1:45" hidden="1">
      <c r="A56" s="483"/>
      <c r="B56" s="481" t="s">
        <v>41</v>
      </c>
      <c r="C56" s="491">
        <v>0</v>
      </c>
      <c r="D56" s="491">
        <v>0</v>
      </c>
      <c r="E56" s="495" t="s">
        <v>272</v>
      </c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491"/>
    </row>
    <row r="57" spans="1:45" hidden="1">
      <c r="A57" s="483"/>
      <c r="B57" s="481" t="s">
        <v>42</v>
      </c>
      <c r="C57" s="491">
        <v>0</v>
      </c>
      <c r="D57" s="491">
        <v>0</v>
      </c>
      <c r="E57" s="495" t="s">
        <v>272</v>
      </c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491"/>
    </row>
    <row r="58" spans="1:45">
      <c r="A58" s="483"/>
      <c r="B58" s="481" t="s">
        <v>43</v>
      </c>
      <c r="C58" s="491">
        <v>148273</v>
      </c>
      <c r="D58" s="491">
        <v>211954</v>
      </c>
      <c r="E58" s="495" t="s">
        <v>272</v>
      </c>
      <c r="F58" s="491"/>
      <c r="G58" s="491">
        <v>27816</v>
      </c>
      <c r="H58" s="491">
        <v>38707</v>
      </c>
      <c r="I58" s="491">
        <v>41552</v>
      </c>
      <c r="J58" s="491">
        <v>36266</v>
      </c>
      <c r="K58" s="491">
        <v>32078</v>
      </c>
      <c r="L58" s="491">
        <v>28993</v>
      </c>
      <c r="M58" s="491">
        <v>26189</v>
      </c>
      <c r="N58" s="491">
        <v>24317</v>
      </c>
      <c r="O58" s="491">
        <v>20569</v>
      </c>
      <c r="P58" s="491">
        <v>17075</v>
      </c>
      <c r="Q58" s="491">
        <v>19354</v>
      </c>
      <c r="R58" s="491">
        <v>20322</v>
      </c>
      <c r="S58" s="491">
        <v>25290</v>
      </c>
      <c r="T58" s="491">
        <v>38391</v>
      </c>
      <c r="U58" s="491">
        <v>40458</v>
      </c>
      <c r="V58" s="491">
        <v>33212</v>
      </c>
      <c r="W58" s="491">
        <v>33140</v>
      </c>
      <c r="X58" s="491">
        <v>25684</v>
      </c>
      <c r="Y58" s="491">
        <v>15779</v>
      </c>
      <c r="Z58" s="491">
        <v>0</v>
      </c>
      <c r="AA58" s="491">
        <v>0</v>
      </c>
      <c r="AB58" s="491">
        <v>0</v>
      </c>
      <c r="AC58" s="491">
        <v>0</v>
      </c>
      <c r="AD58" s="491">
        <v>0</v>
      </c>
      <c r="AE58" s="491">
        <v>0</v>
      </c>
      <c r="AF58" s="491">
        <v>0</v>
      </c>
      <c r="AG58" s="491">
        <v>0</v>
      </c>
      <c r="AH58" s="491">
        <v>0</v>
      </c>
      <c r="AI58" s="491"/>
      <c r="AJ58" s="491"/>
      <c r="AK58" s="491"/>
      <c r="AL58" s="491"/>
      <c r="AM58" s="491"/>
      <c r="AN58" s="491"/>
      <c r="AO58" s="491"/>
      <c r="AP58" s="491"/>
      <c r="AQ58" s="491"/>
      <c r="AR58" s="491"/>
      <c r="AS58" s="491">
        <v>0</v>
      </c>
    </row>
    <row r="59" spans="1:45" hidden="1">
      <c r="A59" s="483"/>
      <c r="B59" s="481" t="s">
        <v>74</v>
      </c>
      <c r="C59" s="491">
        <v>0</v>
      </c>
      <c r="D59" s="491">
        <v>0</v>
      </c>
      <c r="E59" s="495" t="s">
        <v>272</v>
      </c>
      <c r="F59" s="491"/>
      <c r="G59" s="491"/>
      <c r="H59" s="491"/>
      <c r="I59" s="491"/>
      <c r="J59" s="491"/>
      <c r="U59" s="491"/>
      <c r="V59" s="491"/>
      <c r="AP59" s="491">
        <v>3938193</v>
      </c>
    </row>
    <row r="60" spans="1:45" ht="16.8" thickBot="1">
      <c r="A60" s="483"/>
      <c r="B60" s="481" t="s">
        <v>21</v>
      </c>
      <c r="C60" s="542">
        <v>69455538</v>
      </c>
      <c r="D60" s="542">
        <v>69276413</v>
      </c>
      <c r="E60" s="542" t="s">
        <v>272</v>
      </c>
      <c r="F60" s="542">
        <v>0</v>
      </c>
      <c r="G60" s="542">
        <v>9560411</v>
      </c>
      <c r="H60" s="542">
        <v>13799763</v>
      </c>
      <c r="I60" s="542">
        <v>11760802</v>
      </c>
      <c r="J60" s="542">
        <v>11970164</v>
      </c>
      <c r="K60" s="542">
        <v>9275248</v>
      </c>
      <c r="L60" s="542">
        <v>5594071</v>
      </c>
      <c r="M60" s="542">
        <v>3069851</v>
      </c>
      <c r="N60" s="542">
        <v>2563944</v>
      </c>
      <c r="O60" s="542">
        <v>1939913</v>
      </c>
      <c r="P60" s="542">
        <v>2081561</v>
      </c>
      <c r="Q60" s="542">
        <v>2161941</v>
      </c>
      <c r="R60" s="542">
        <v>4390872</v>
      </c>
      <c r="S60" s="542">
        <v>10271396</v>
      </c>
      <c r="T60" s="542">
        <v>11126923</v>
      </c>
      <c r="U60" s="542">
        <v>11853389</v>
      </c>
      <c r="V60" s="542">
        <v>7975879</v>
      </c>
      <c r="W60" s="542">
        <v>7051984</v>
      </c>
      <c r="X60" s="542">
        <v>5286030</v>
      </c>
      <c r="Y60" s="542">
        <v>2733897</v>
      </c>
      <c r="Z60" s="542">
        <v>2096440</v>
      </c>
      <c r="AA60" s="542">
        <v>1982316</v>
      </c>
      <c r="AB60" s="542">
        <v>2300576</v>
      </c>
      <c r="AC60" s="542">
        <v>2659390</v>
      </c>
      <c r="AD60" s="542">
        <v>3938193</v>
      </c>
      <c r="AE60" s="542">
        <v>9651342</v>
      </c>
      <c r="AF60" s="542">
        <v>11926102</v>
      </c>
      <c r="AG60" s="542">
        <v>11687768</v>
      </c>
      <c r="AH60" s="542">
        <v>8803437</v>
      </c>
      <c r="AI60" s="542">
        <v>0</v>
      </c>
      <c r="AJ60" s="542">
        <v>0</v>
      </c>
      <c r="AK60" s="542">
        <v>0</v>
      </c>
      <c r="AL60" s="542">
        <v>0</v>
      </c>
      <c r="AM60" s="542">
        <v>0</v>
      </c>
      <c r="AN60" s="542">
        <v>0</v>
      </c>
      <c r="AO60" s="542">
        <v>0</v>
      </c>
      <c r="AP60" s="542">
        <v>3938193</v>
      </c>
      <c r="AQ60" s="542">
        <v>0</v>
      </c>
      <c r="AR60" s="542">
        <v>0</v>
      </c>
      <c r="AS60" s="542">
        <v>11687768</v>
      </c>
    </row>
    <row r="61" spans="1:45" ht="16.2" thickTop="1">
      <c r="A61" s="483"/>
      <c r="B61" s="481" t="s">
        <v>269</v>
      </c>
      <c r="C61" s="491">
        <v>69455538</v>
      </c>
      <c r="D61" s="491">
        <v>69276413</v>
      </c>
      <c r="E61" s="495" t="s">
        <v>272</v>
      </c>
      <c r="F61" s="491">
        <v>0</v>
      </c>
      <c r="G61" s="491">
        <v>9560411</v>
      </c>
      <c r="H61" s="491">
        <v>13799763</v>
      </c>
      <c r="I61" s="491">
        <v>11760802</v>
      </c>
      <c r="J61" s="491">
        <v>11970164</v>
      </c>
      <c r="K61" s="491">
        <v>9275248</v>
      </c>
      <c r="L61" s="543">
        <v>5594071</v>
      </c>
      <c r="M61" s="543">
        <v>3069851</v>
      </c>
      <c r="N61" s="543">
        <v>2563944</v>
      </c>
      <c r="O61" s="543">
        <v>1939913</v>
      </c>
      <c r="P61" s="543">
        <v>2081561</v>
      </c>
      <c r="Q61" s="543">
        <v>2161941</v>
      </c>
      <c r="R61" s="543">
        <v>4390872</v>
      </c>
      <c r="S61" s="543">
        <v>10271396</v>
      </c>
      <c r="T61" s="482">
        <v>11126923</v>
      </c>
      <c r="U61" s="491">
        <v>11853389</v>
      </c>
      <c r="V61" s="491">
        <v>7975879</v>
      </c>
      <c r="W61" s="491">
        <v>7051984</v>
      </c>
      <c r="X61" s="543">
        <v>5286030</v>
      </c>
      <c r="Y61" s="573">
        <v>2733897</v>
      </c>
      <c r="Z61" s="543">
        <v>2096440</v>
      </c>
      <c r="AA61" s="543">
        <v>1982316</v>
      </c>
      <c r="AB61" s="543">
        <v>2300576</v>
      </c>
      <c r="AC61" s="543">
        <v>2659390</v>
      </c>
      <c r="AD61" s="543">
        <v>3938193</v>
      </c>
      <c r="AE61" s="573">
        <v>9651342</v>
      </c>
      <c r="AF61" s="543">
        <v>11926102</v>
      </c>
      <c r="AG61" s="543">
        <v>11687768</v>
      </c>
      <c r="AH61" s="582"/>
      <c r="AI61" s="582"/>
      <c r="AJ61" s="582"/>
      <c r="AK61" s="582"/>
      <c r="AL61" s="582"/>
      <c r="AM61" s="582"/>
      <c r="AN61" s="582"/>
      <c r="AO61" s="582"/>
      <c r="AP61" s="582"/>
      <c r="AQ61" s="582"/>
      <c r="AR61" s="582"/>
      <c r="AS61" s="543">
        <v>11926102</v>
      </c>
    </row>
    <row r="62" spans="1:45">
      <c r="A62" s="483" t="s">
        <v>22</v>
      </c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</row>
    <row r="63" spans="1:45">
      <c r="A63" s="536">
        <v>191015</v>
      </c>
      <c r="B63" s="485" t="s">
        <v>256</v>
      </c>
      <c r="E63" s="484">
        <v>201309</v>
      </c>
      <c r="F63" s="484">
        <v>201310</v>
      </c>
      <c r="G63" s="484">
        <v>201311</v>
      </c>
      <c r="H63" s="484">
        <v>201312</v>
      </c>
      <c r="I63" s="484">
        <v>201401</v>
      </c>
      <c r="J63" s="484">
        <v>201402</v>
      </c>
      <c r="K63" s="484">
        <v>201403</v>
      </c>
      <c r="L63" s="484">
        <v>201404</v>
      </c>
      <c r="M63" s="484">
        <v>201405</v>
      </c>
      <c r="N63" s="484">
        <v>201406</v>
      </c>
      <c r="O63" s="484">
        <v>201407</v>
      </c>
      <c r="P63" s="484">
        <v>201408</v>
      </c>
      <c r="Q63" s="484">
        <v>201409</v>
      </c>
      <c r="R63" s="484">
        <v>201410</v>
      </c>
      <c r="S63" s="484">
        <v>201411</v>
      </c>
      <c r="T63" s="484">
        <v>201412</v>
      </c>
      <c r="U63" s="484">
        <v>201501</v>
      </c>
      <c r="V63" s="484">
        <v>201502</v>
      </c>
      <c r="W63" s="484">
        <v>201503</v>
      </c>
      <c r="X63" s="484">
        <v>201504</v>
      </c>
      <c r="Y63" s="484">
        <v>201505</v>
      </c>
      <c r="Z63" s="484">
        <v>201506</v>
      </c>
      <c r="AA63" s="484">
        <v>201507</v>
      </c>
      <c r="AB63" s="484">
        <v>201508</v>
      </c>
      <c r="AC63" s="484">
        <v>201509</v>
      </c>
      <c r="AD63" s="484">
        <v>201510</v>
      </c>
      <c r="AE63" s="484">
        <v>201511</v>
      </c>
      <c r="AF63" s="484">
        <v>201512</v>
      </c>
      <c r="AG63" s="484">
        <v>201601</v>
      </c>
      <c r="AH63" s="484">
        <v>201602</v>
      </c>
      <c r="AI63" s="484">
        <v>201603</v>
      </c>
      <c r="AJ63" s="484">
        <v>201604</v>
      </c>
      <c r="AK63" s="484">
        <v>201605</v>
      </c>
      <c r="AL63" s="484">
        <v>201606</v>
      </c>
      <c r="AM63" s="484">
        <v>201607</v>
      </c>
      <c r="AN63" s="484">
        <v>201608</v>
      </c>
      <c r="AO63" s="484">
        <v>201609</v>
      </c>
      <c r="AP63" s="484">
        <v>201610</v>
      </c>
      <c r="AQ63" s="484">
        <v>201611</v>
      </c>
      <c r="AR63" s="484">
        <v>201612</v>
      </c>
    </row>
    <row r="64" spans="1:45">
      <c r="A64" s="483"/>
      <c r="B64" s="481" t="s">
        <v>37</v>
      </c>
      <c r="E64" s="492">
        <v>0</v>
      </c>
      <c r="F64" s="496" t="s">
        <v>270</v>
      </c>
      <c r="G64" s="496" t="s">
        <v>270</v>
      </c>
      <c r="H64" s="492">
        <v>1.482E-2</v>
      </c>
      <c r="I64" s="492">
        <v>1.482E-2</v>
      </c>
      <c r="J64" s="492">
        <v>1.482E-2</v>
      </c>
      <c r="K64" s="492">
        <v>1.482E-2</v>
      </c>
      <c r="L64" s="492">
        <v>1.482E-2</v>
      </c>
      <c r="M64" s="492">
        <v>1.482E-2</v>
      </c>
      <c r="N64" s="492">
        <v>1.482E-2</v>
      </c>
      <c r="O64" s="492">
        <v>1.482E-2</v>
      </c>
      <c r="P64" s="492">
        <v>1.482E-2</v>
      </c>
      <c r="Q64" s="492">
        <v>1.482E-2</v>
      </c>
      <c r="R64" s="492">
        <v>1.482E-2</v>
      </c>
      <c r="S64" s="492">
        <v>1.482E-2</v>
      </c>
      <c r="T64" s="492">
        <v>1.482E-2</v>
      </c>
      <c r="U64" s="492">
        <v>1.482E-2</v>
      </c>
      <c r="V64" s="492">
        <v>1.482E-2</v>
      </c>
      <c r="W64" s="492">
        <v>1.482E-2</v>
      </c>
      <c r="X64" s="492">
        <v>1.482E-2</v>
      </c>
      <c r="Y64" s="492">
        <v>1.482E-2</v>
      </c>
      <c r="Z64" s="492">
        <v>1.482E-2</v>
      </c>
      <c r="AA64" s="492">
        <v>1.482E-2</v>
      </c>
      <c r="AB64" s="492">
        <v>1.482E-2</v>
      </c>
      <c r="AC64" s="492">
        <v>1.482E-2</v>
      </c>
      <c r="AD64" s="492">
        <v>1.482E-2</v>
      </c>
      <c r="AE64" s="492">
        <v>1.482E-2</v>
      </c>
      <c r="AF64" s="492">
        <v>1.482E-2</v>
      </c>
      <c r="AG64" s="492">
        <v>0</v>
      </c>
      <c r="AH64" s="492">
        <v>0</v>
      </c>
      <c r="AI64" s="492">
        <v>0</v>
      </c>
      <c r="AJ64" s="492">
        <v>0</v>
      </c>
      <c r="AK64" s="492">
        <v>0</v>
      </c>
      <c r="AL64" s="492">
        <v>0</v>
      </c>
      <c r="AM64" s="492">
        <v>0</v>
      </c>
      <c r="AN64" s="492">
        <v>0</v>
      </c>
      <c r="AO64" s="492">
        <v>0</v>
      </c>
      <c r="AP64" s="492">
        <v>0</v>
      </c>
      <c r="AQ64" s="492">
        <v>0</v>
      </c>
      <c r="AR64" s="492">
        <v>0</v>
      </c>
    </row>
    <row r="65" spans="1:51">
      <c r="A65" s="483"/>
      <c r="B65" s="481" t="s">
        <v>38</v>
      </c>
      <c r="E65" s="492">
        <v>0</v>
      </c>
      <c r="F65" s="496" t="s">
        <v>270</v>
      </c>
      <c r="G65" s="496" t="s">
        <v>270</v>
      </c>
      <c r="H65" s="492">
        <v>1.482E-2</v>
      </c>
      <c r="I65" s="492">
        <v>1.482E-2</v>
      </c>
      <c r="J65" s="492">
        <v>1.482E-2</v>
      </c>
      <c r="K65" s="492">
        <v>1.482E-2</v>
      </c>
      <c r="L65" s="492">
        <v>1.482E-2</v>
      </c>
      <c r="M65" s="492">
        <v>1.482E-2</v>
      </c>
      <c r="N65" s="492">
        <v>1.482E-2</v>
      </c>
      <c r="O65" s="492">
        <v>1.482E-2</v>
      </c>
      <c r="P65" s="492">
        <v>1.482E-2</v>
      </c>
      <c r="Q65" s="492">
        <v>1.482E-2</v>
      </c>
      <c r="R65" s="492">
        <v>1.482E-2</v>
      </c>
      <c r="S65" s="492">
        <v>1.482E-2</v>
      </c>
      <c r="T65" s="492">
        <v>1.482E-2</v>
      </c>
      <c r="U65" s="492">
        <v>1.482E-2</v>
      </c>
      <c r="V65" s="492">
        <v>1.482E-2</v>
      </c>
      <c r="W65" s="492">
        <v>1.482E-2</v>
      </c>
      <c r="X65" s="492">
        <v>1.482E-2</v>
      </c>
      <c r="Y65" s="492">
        <v>1.482E-2</v>
      </c>
      <c r="Z65" s="492">
        <v>1.482E-2</v>
      </c>
      <c r="AA65" s="492">
        <v>1.482E-2</v>
      </c>
      <c r="AB65" s="492">
        <v>1.482E-2</v>
      </c>
      <c r="AC65" s="492">
        <v>1.482E-2</v>
      </c>
      <c r="AD65" s="492">
        <v>1.482E-2</v>
      </c>
      <c r="AE65" s="492">
        <v>1.482E-2</v>
      </c>
      <c r="AF65" s="492">
        <v>1.482E-2</v>
      </c>
      <c r="AG65" s="492">
        <v>0</v>
      </c>
      <c r="AH65" s="492">
        <v>0</v>
      </c>
      <c r="AI65" s="492">
        <v>0</v>
      </c>
      <c r="AJ65" s="492">
        <v>0</v>
      </c>
      <c r="AK65" s="492">
        <v>0</v>
      </c>
      <c r="AL65" s="492">
        <v>0</v>
      </c>
      <c r="AM65" s="492">
        <v>0</v>
      </c>
      <c r="AN65" s="492">
        <v>0</v>
      </c>
      <c r="AO65" s="492">
        <v>0</v>
      </c>
      <c r="AP65" s="492">
        <v>0</v>
      </c>
      <c r="AQ65" s="492">
        <v>0</v>
      </c>
      <c r="AR65" s="492">
        <v>0</v>
      </c>
    </row>
    <row r="66" spans="1:51">
      <c r="A66" s="483"/>
      <c r="B66" s="481" t="s">
        <v>39</v>
      </c>
      <c r="E66" s="492">
        <v>0</v>
      </c>
      <c r="F66" s="496" t="s">
        <v>270</v>
      </c>
      <c r="G66" s="496" t="s">
        <v>270</v>
      </c>
      <c r="H66" s="492">
        <v>1.482E-2</v>
      </c>
      <c r="I66" s="492">
        <v>1.482E-2</v>
      </c>
      <c r="J66" s="492">
        <v>1.482E-2</v>
      </c>
      <c r="K66" s="492">
        <v>1.482E-2</v>
      </c>
      <c r="L66" s="492">
        <v>1.482E-2</v>
      </c>
      <c r="M66" s="492">
        <v>1.482E-2</v>
      </c>
      <c r="N66" s="492">
        <v>1.482E-2</v>
      </c>
      <c r="O66" s="492">
        <v>1.482E-2</v>
      </c>
      <c r="P66" s="492">
        <v>1.482E-2</v>
      </c>
      <c r="Q66" s="492">
        <v>1.482E-2</v>
      </c>
      <c r="R66" s="492">
        <v>1.482E-2</v>
      </c>
      <c r="S66" s="492">
        <v>1.482E-2</v>
      </c>
      <c r="T66" s="492">
        <v>1.482E-2</v>
      </c>
      <c r="U66" s="492">
        <v>1.482E-2</v>
      </c>
      <c r="V66" s="492">
        <v>1.482E-2</v>
      </c>
      <c r="W66" s="492">
        <v>1.482E-2</v>
      </c>
      <c r="X66" s="492">
        <v>1.482E-2</v>
      </c>
      <c r="Y66" s="492">
        <v>1.482E-2</v>
      </c>
      <c r="Z66" s="492">
        <v>1.482E-2</v>
      </c>
      <c r="AA66" s="492">
        <v>1.482E-2</v>
      </c>
      <c r="AB66" s="492">
        <v>1.482E-2</v>
      </c>
      <c r="AC66" s="492">
        <v>1.482E-2</v>
      </c>
      <c r="AD66" s="492">
        <v>1.482E-2</v>
      </c>
      <c r="AE66" s="492">
        <v>1.482E-2</v>
      </c>
      <c r="AF66" s="492">
        <v>1.482E-2</v>
      </c>
      <c r="AG66" s="492">
        <v>0</v>
      </c>
      <c r="AH66" s="492">
        <v>0</v>
      </c>
      <c r="AI66" s="492">
        <v>0</v>
      </c>
      <c r="AJ66" s="492">
        <v>0</v>
      </c>
      <c r="AK66" s="492">
        <v>0</v>
      </c>
      <c r="AL66" s="492">
        <v>0</v>
      </c>
      <c r="AM66" s="492">
        <v>0</v>
      </c>
      <c r="AN66" s="492">
        <v>0</v>
      </c>
      <c r="AO66" s="492">
        <v>0</v>
      </c>
      <c r="AP66" s="492">
        <v>0</v>
      </c>
      <c r="AQ66" s="492">
        <v>0</v>
      </c>
      <c r="AR66" s="492">
        <v>0</v>
      </c>
    </row>
    <row r="67" spans="1:51">
      <c r="A67" s="483"/>
      <c r="B67" s="481" t="s">
        <v>40</v>
      </c>
      <c r="E67" s="492">
        <v>0</v>
      </c>
      <c r="F67" s="496" t="s">
        <v>270</v>
      </c>
      <c r="G67" s="496" t="s">
        <v>270</v>
      </c>
      <c r="H67" s="492">
        <v>1.482E-2</v>
      </c>
      <c r="I67" s="492">
        <v>1.482E-2</v>
      </c>
      <c r="J67" s="492">
        <v>1.482E-2</v>
      </c>
      <c r="K67" s="492">
        <v>1.482E-2</v>
      </c>
      <c r="L67" s="492">
        <v>1.482E-2</v>
      </c>
      <c r="M67" s="492">
        <v>1.482E-2</v>
      </c>
      <c r="N67" s="492">
        <v>1.482E-2</v>
      </c>
      <c r="O67" s="492">
        <v>1.482E-2</v>
      </c>
      <c r="P67" s="492">
        <v>1.482E-2</v>
      </c>
      <c r="Q67" s="492">
        <v>1.482E-2</v>
      </c>
      <c r="R67" s="492">
        <v>1.482E-2</v>
      </c>
      <c r="S67" s="492">
        <v>1.482E-2</v>
      </c>
      <c r="T67" s="492">
        <v>1.482E-2</v>
      </c>
      <c r="U67" s="492">
        <v>1.482E-2</v>
      </c>
      <c r="V67" s="492">
        <v>1.482E-2</v>
      </c>
      <c r="W67" s="492">
        <v>1.482E-2</v>
      </c>
      <c r="X67" s="492">
        <v>1.482E-2</v>
      </c>
      <c r="Y67" s="492">
        <v>1.482E-2</v>
      </c>
      <c r="Z67" s="492">
        <v>1.482E-2</v>
      </c>
      <c r="AA67" s="492">
        <v>1.482E-2</v>
      </c>
      <c r="AB67" s="492">
        <v>1.482E-2</v>
      </c>
      <c r="AC67" s="492">
        <v>1.482E-2</v>
      </c>
      <c r="AD67" s="492">
        <v>1.482E-2</v>
      </c>
      <c r="AE67" s="492">
        <v>1.482E-2</v>
      </c>
      <c r="AF67" s="492">
        <v>1.482E-2</v>
      </c>
      <c r="AG67" s="492">
        <v>0</v>
      </c>
      <c r="AH67" s="492">
        <v>0</v>
      </c>
      <c r="AI67" s="492">
        <v>0</v>
      </c>
      <c r="AJ67" s="492">
        <v>0</v>
      </c>
      <c r="AK67" s="492">
        <v>0</v>
      </c>
      <c r="AL67" s="492">
        <v>0</v>
      </c>
      <c r="AM67" s="492">
        <v>0</v>
      </c>
      <c r="AN67" s="492">
        <v>0</v>
      </c>
      <c r="AO67" s="492">
        <v>0</v>
      </c>
      <c r="AP67" s="492">
        <v>0</v>
      </c>
      <c r="AQ67" s="492">
        <v>0</v>
      </c>
      <c r="AR67" s="492">
        <v>0</v>
      </c>
      <c r="AT67" s="614" t="s">
        <v>328</v>
      </c>
      <c r="AU67" s="615"/>
      <c r="AV67" s="615"/>
      <c r="AW67" s="615"/>
      <c r="AX67" s="615"/>
      <c r="AY67" s="615"/>
    </row>
    <row r="68" spans="1:51" ht="15.75" hidden="1" customHeight="1">
      <c r="A68" s="483"/>
      <c r="B68" s="481" t="s">
        <v>41</v>
      </c>
      <c r="E68" s="492">
        <v>0</v>
      </c>
      <c r="F68" s="496" t="s">
        <v>270</v>
      </c>
      <c r="G68" s="496" t="s">
        <v>270</v>
      </c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T68" s="615"/>
      <c r="AU68" s="615"/>
      <c r="AV68" s="615"/>
      <c r="AW68" s="615"/>
      <c r="AX68" s="615"/>
      <c r="AY68" s="615"/>
    </row>
    <row r="69" spans="1:51" ht="15.75" hidden="1" customHeight="1">
      <c r="A69" s="483"/>
      <c r="B69" s="481" t="s">
        <v>42</v>
      </c>
      <c r="E69" s="492">
        <v>0</v>
      </c>
      <c r="F69" s="496" t="s">
        <v>270</v>
      </c>
      <c r="G69" s="496" t="s">
        <v>270</v>
      </c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T69" s="615"/>
      <c r="AU69" s="615"/>
      <c r="AV69" s="615"/>
      <c r="AW69" s="615"/>
      <c r="AX69" s="615"/>
      <c r="AY69" s="615"/>
    </row>
    <row r="70" spans="1:51">
      <c r="A70" s="483"/>
      <c r="B70" s="481" t="s">
        <v>43</v>
      </c>
      <c r="E70" s="492">
        <v>0</v>
      </c>
      <c r="F70" s="496" t="s">
        <v>270</v>
      </c>
      <c r="G70" s="496" t="s">
        <v>270</v>
      </c>
      <c r="H70" s="492">
        <v>1.482E-2</v>
      </c>
      <c r="I70" s="492">
        <v>1.482E-2</v>
      </c>
      <c r="J70" s="492">
        <v>1.482E-2</v>
      </c>
      <c r="K70" s="492">
        <v>1.482E-2</v>
      </c>
      <c r="L70" s="492">
        <v>1.482E-2</v>
      </c>
      <c r="M70" s="492">
        <v>1.482E-2</v>
      </c>
      <c r="N70" s="492">
        <v>1.482E-2</v>
      </c>
      <c r="O70" s="492">
        <v>1.482E-2</v>
      </c>
      <c r="P70" s="492">
        <v>1.482E-2</v>
      </c>
      <c r="Q70" s="492">
        <v>1.482E-2</v>
      </c>
      <c r="R70" s="492">
        <v>1.482E-2</v>
      </c>
      <c r="S70" s="492">
        <v>1.482E-2</v>
      </c>
      <c r="T70" s="492">
        <v>1.482E-2</v>
      </c>
      <c r="U70" s="492">
        <v>1.482E-2</v>
      </c>
      <c r="V70" s="492">
        <v>1.482E-2</v>
      </c>
      <c r="W70" s="492">
        <v>1.482E-2</v>
      </c>
      <c r="X70" s="492">
        <v>1.482E-2</v>
      </c>
      <c r="Y70" s="492">
        <v>1.482E-2</v>
      </c>
      <c r="Z70" s="492">
        <v>1.482E-2</v>
      </c>
      <c r="AA70" s="492">
        <v>1.482E-2</v>
      </c>
      <c r="AB70" s="492">
        <v>1.482E-2</v>
      </c>
      <c r="AC70" s="492">
        <v>1.482E-2</v>
      </c>
      <c r="AD70" s="492">
        <v>1.482E-2</v>
      </c>
      <c r="AE70" s="492">
        <v>1.482E-2</v>
      </c>
      <c r="AF70" s="492">
        <v>1.482E-2</v>
      </c>
      <c r="AG70" s="492">
        <v>0</v>
      </c>
      <c r="AH70" s="492">
        <v>0</v>
      </c>
      <c r="AI70" s="492">
        <v>0</v>
      </c>
      <c r="AJ70" s="492">
        <v>0</v>
      </c>
      <c r="AK70" s="492">
        <v>0</v>
      </c>
      <c r="AL70" s="492">
        <v>0</v>
      </c>
      <c r="AM70" s="492">
        <v>0</v>
      </c>
      <c r="AN70" s="492">
        <v>0</v>
      </c>
      <c r="AO70" s="492">
        <v>0</v>
      </c>
      <c r="AP70" s="492">
        <v>0</v>
      </c>
      <c r="AQ70" s="492">
        <v>0</v>
      </c>
      <c r="AR70" s="492">
        <v>0</v>
      </c>
      <c r="AT70" s="615"/>
      <c r="AU70" s="615"/>
      <c r="AV70" s="615"/>
      <c r="AW70" s="615"/>
      <c r="AX70" s="615"/>
      <c r="AY70" s="615"/>
    </row>
    <row r="71" spans="1:51" ht="15.75" hidden="1" customHeight="1">
      <c r="A71" s="483"/>
      <c r="B71" s="481" t="s">
        <v>74</v>
      </c>
      <c r="E71" s="492">
        <v>0</v>
      </c>
      <c r="F71" s="492" t="s">
        <v>270</v>
      </c>
      <c r="G71" s="492" t="s">
        <v>270</v>
      </c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  <c r="AL71" s="492"/>
      <c r="AM71" s="492"/>
      <c r="AN71" s="492"/>
      <c r="AO71" s="492"/>
      <c r="AP71" s="492"/>
      <c r="AQ71" s="492"/>
      <c r="AR71" s="492"/>
      <c r="AT71" s="615"/>
      <c r="AU71" s="615"/>
      <c r="AV71" s="615"/>
      <c r="AW71" s="615"/>
      <c r="AX71" s="615"/>
      <c r="AY71" s="615"/>
    </row>
    <row r="72" spans="1:51">
      <c r="A72" s="483" t="s">
        <v>293</v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  <c r="AL72" s="492"/>
      <c r="AM72" s="492"/>
      <c r="AN72" s="492"/>
      <c r="AO72" s="492"/>
      <c r="AP72" s="492"/>
      <c r="AQ72" s="492"/>
      <c r="AR72" s="492"/>
      <c r="AT72" s="615"/>
      <c r="AU72" s="615"/>
      <c r="AV72" s="615"/>
      <c r="AW72" s="615"/>
      <c r="AX72" s="615"/>
      <c r="AY72" s="615"/>
    </row>
    <row r="73" spans="1:51" s="483" customFormat="1" ht="16.2" thickBot="1">
      <c r="A73" s="536">
        <v>191015</v>
      </c>
      <c r="B73" s="485" t="s">
        <v>256</v>
      </c>
      <c r="C73" s="486" t="s">
        <v>251</v>
      </c>
      <c r="D73" s="487" t="s">
        <v>252</v>
      </c>
      <c r="E73" s="484">
        <v>201309</v>
      </c>
      <c r="F73" s="484">
        <v>201310</v>
      </c>
      <c r="G73" s="484">
        <v>201311</v>
      </c>
      <c r="H73" s="484">
        <v>201312</v>
      </c>
      <c r="I73" s="484">
        <v>201401</v>
      </c>
      <c r="J73" s="484">
        <v>201402</v>
      </c>
      <c r="K73" s="484">
        <v>201403</v>
      </c>
      <c r="L73" s="484">
        <v>201404</v>
      </c>
      <c r="M73" s="484">
        <v>201405</v>
      </c>
      <c r="N73" s="484">
        <v>201406</v>
      </c>
      <c r="O73" s="484">
        <v>201407</v>
      </c>
      <c r="P73" s="484">
        <v>201408</v>
      </c>
      <c r="Q73" s="484">
        <v>201409</v>
      </c>
      <c r="R73" s="484">
        <v>201410</v>
      </c>
      <c r="S73" s="484">
        <v>201411</v>
      </c>
      <c r="T73" s="484">
        <v>201412</v>
      </c>
      <c r="U73" s="484">
        <v>201501</v>
      </c>
      <c r="V73" s="484">
        <v>201502</v>
      </c>
      <c r="W73" s="484">
        <v>201503</v>
      </c>
      <c r="X73" s="484">
        <v>201504</v>
      </c>
      <c r="Y73" s="484">
        <v>201505</v>
      </c>
      <c r="Z73" s="484">
        <v>201506</v>
      </c>
      <c r="AA73" s="484">
        <v>201507</v>
      </c>
      <c r="AB73" s="484">
        <v>201508</v>
      </c>
      <c r="AC73" s="484">
        <v>201509</v>
      </c>
      <c r="AD73" s="484">
        <v>201510</v>
      </c>
      <c r="AE73" s="484">
        <v>201511</v>
      </c>
      <c r="AF73" s="484">
        <v>201512</v>
      </c>
      <c r="AG73" s="484">
        <v>201601</v>
      </c>
      <c r="AH73" s="484">
        <v>201602</v>
      </c>
      <c r="AI73" s="484">
        <v>201603</v>
      </c>
      <c r="AJ73" s="484">
        <v>201604</v>
      </c>
      <c r="AK73" s="484">
        <v>201605</v>
      </c>
      <c r="AL73" s="484">
        <v>201606</v>
      </c>
      <c r="AM73" s="484">
        <v>201607</v>
      </c>
      <c r="AN73" s="484">
        <v>201608</v>
      </c>
      <c r="AO73" s="484">
        <v>201609</v>
      </c>
      <c r="AP73" s="484">
        <v>201610</v>
      </c>
      <c r="AQ73" s="484">
        <v>201611</v>
      </c>
      <c r="AR73" s="484">
        <v>201612</v>
      </c>
      <c r="AT73" s="564" t="s">
        <v>328</v>
      </c>
      <c r="AU73" s="525"/>
      <c r="AV73" s="482"/>
      <c r="AW73" s="482"/>
      <c r="AX73" s="482"/>
      <c r="AY73" s="482"/>
    </row>
    <row r="74" spans="1:51" s="483" customFormat="1" ht="16.2" thickBot="1">
      <c r="A74" s="484"/>
      <c r="B74" s="485" t="s">
        <v>257</v>
      </c>
      <c r="C74" s="486"/>
      <c r="D74" s="487"/>
      <c r="E74" s="488">
        <v>0.01</v>
      </c>
      <c r="F74" s="488">
        <v>0.01</v>
      </c>
      <c r="G74" s="488">
        <v>0.01</v>
      </c>
      <c r="H74" s="488">
        <v>0.01</v>
      </c>
      <c r="I74" s="488">
        <v>0.01</v>
      </c>
      <c r="J74" s="488">
        <v>0.01</v>
      </c>
      <c r="K74" s="488">
        <v>0.01</v>
      </c>
      <c r="L74" s="488">
        <v>0.01</v>
      </c>
      <c r="M74" s="488">
        <v>0.01</v>
      </c>
      <c r="N74" s="488">
        <v>0.01</v>
      </c>
      <c r="O74" s="488">
        <v>0.01</v>
      </c>
      <c r="P74" s="488">
        <v>0.01</v>
      </c>
      <c r="Q74" s="488">
        <v>0.01</v>
      </c>
      <c r="R74" s="488">
        <v>0.01</v>
      </c>
      <c r="S74" s="488">
        <v>0.01</v>
      </c>
      <c r="T74" s="488">
        <v>0.01</v>
      </c>
      <c r="U74" s="488">
        <v>0.01</v>
      </c>
      <c r="V74" s="488">
        <v>0.01</v>
      </c>
      <c r="W74" s="488">
        <v>0.01</v>
      </c>
      <c r="X74" s="488">
        <v>0.01</v>
      </c>
      <c r="Y74" s="488">
        <v>0.01</v>
      </c>
      <c r="Z74" s="488">
        <v>0.01</v>
      </c>
      <c r="AA74" s="488">
        <v>0.01</v>
      </c>
      <c r="AB74" s="488">
        <v>0.01</v>
      </c>
      <c r="AC74" s="488">
        <v>0.01</v>
      </c>
      <c r="AD74" s="488">
        <v>0.01</v>
      </c>
      <c r="AE74" s="488">
        <v>0.01</v>
      </c>
      <c r="AF74" s="488">
        <v>0.01</v>
      </c>
      <c r="AG74" s="488">
        <v>0.01</v>
      </c>
      <c r="AH74" s="488">
        <v>0.01</v>
      </c>
      <c r="AI74" s="488">
        <v>0.01</v>
      </c>
      <c r="AJ74" s="488">
        <v>0.01</v>
      </c>
      <c r="AK74" s="488">
        <v>0.01</v>
      </c>
      <c r="AL74" s="488">
        <v>0.01</v>
      </c>
      <c r="AM74" s="488">
        <v>0.01</v>
      </c>
      <c r="AN74" s="488">
        <v>0.01</v>
      </c>
      <c r="AO74" s="488">
        <v>0.01</v>
      </c>
      <c r="AP74" s="488">
        <v>0.01</v>
      </c>
      <c r="AQ74" s="488">
        <v>0.01</v>
      </c>
      <c r="AR74" s="488">
        <v>0.01</v>
      </c>
      <c r="AT74" s="513">
        <v>201601</v>
      </c>
      <c r="AU74" s="526"/>
      <c r="AV74" s="514"/>
      <c r="AW74" s="514"/>
      <c r="AX74" s="523"/>
      <c r="AY74" s="515"/>
    </row>
    <row r="75" spans="1:51" ht="16.2">
      <c r="A75" s="493"/>
      <c r="B75" s="481" t="s">
        <v>253</v>
      </c>
      <c r="E75" s="482">
        <v>-1564267.6899999997</v>
      </c>
      <c r="F75" s="482">
        <v>-1565571.2464083331</v>
      </c>
      <c r="G75" s="482">
        <v>-1478312.2029470066</v>
      </c>
      <c r="H75" s="482">
        <v>-1339478.8829470065</v>
      </c>
      <c r="I75" s="482">
        <v>-1135997.4141529372</v>
      </c>
      <c r="J75" s="482">
        <v>-962576.36949297041</v>
      </c>
      <c r="K75" s="482">
        <v>-785906.7696454369</v>
      </c>
      <c r="L75" s="482">
        <v>-649045.24135766376</v>
      </c>
      <c r="M75" s="482">
        <v>-566647.43620429246</v>
      </c>
      <c r="N75" s="482">
        <v>-521605.49367179343</v>
      </c>
      <c r="O75" s="482">
        <v>-484026.68190290901</v>
      </c>
      <c r="P75" s="482">
        <v>-455668.54726897553</v>
      </c>
      <c r="Q75" s="482">
        <v>-425186.68281978043</v>
      </c>
      <c r="R75" s="482">
        <v>-393487.68887037766</v>
      </c>
      <c r="S75" s="482">
        <v>-328715.75802375871</v>
      </c>
      <c r="T75" s="482">
        <v>-176704.17265240088</v>
      </c>
      <c r="U75" s="482">
        <v>-11881.717940675277</v>
      </c>
      <c r="V75" s="482">
        <v>-11881.722960675279</v>
      </c>
      <c r="W75" s="482">
        <v>-11901.532960675278</v>
      </c>
      <c r="X75" s="482">
        <v>-11911.450904809175</v>
      </c>
      <c r="Y75" s="482">
        <v>-11921.377113896517</v>
      </c>
      <c r="Z75" s="482">
        <v>-11931.311594824763</v>
      </c>
      <c r="AA75" s="482">
        <v>-11941.254354487117</v>
      </c>
      <c r="AB75" s="482">
        <v>-11951.205399782522</v>
      </c>
      <c r="AC75" s="482">
        <v>-11961.164737615674</v>
      </c>
      <c r="AD75" s="482">
        <v>-11971.132374897021</v>
      </c>
      <c r="AE75" s="482">
        <v>-11981.108318542769</v>
      </c>
      <c r="AF75" s="482">
        <v>-11991.092575474888</v>
      </c>
      <c r="AG75" s="482">
        <v>-12001.085152621117</v>
      </c>
      <c r="AH75" s="482">
        <v>-12011.086056914968</v>
      </c>
      <c r="AI75" s="482">
        <v>-12021.09529529573</v>
      </c>
      <c r="AJ75" s="482">
        <v>-12031.112874708477</v>
      </c>
      <c r="AK75" s="482">
        <v>-12041.138802104068</v>
      </c>
      <c r="AL75" s="482">
        <v>-12051.173084439155</v>
      </c>
      <c r="AM75" s="482">
        <v>-12061.215728676189</v>
      </c>
      <c r="AN75" s="482">
        <v>-12071.266741783418</v>
      </c>
      <c r="AO75" s="482">
        <v>-12081.326130734904</v>
      </c>
      <c r="AP75" s="482">
        <v>-12091.393902510516</v>
      </c>
      <c r="AQ75" s="482">
        <v>-12101.470064095942</v>
      </c>
      <c r="AR75" s="482">
        <v>-12111.554622482689</v>
      </c>
      <c r="AT75" s="497" t="s">
        <v>308</v>
      </c>
      <c r="AU75" s="527">
        <v>419600</v>
      </c>
      <c r="AV75" s="498" t="s">
        <v>288</v>
      </c>
      <c r="AW75" s="498" t="s">
        <v>291</v>
      </c>
      <c r="AX75" s="470">
        <v>0</v>
      </c>
      <c r="AY75" s="520">
        <v>0</v>
      </c>
    </row>
    <row r="76" spans="1:51" ht="16.2">
      <c r="B76" s="481" t="s">
        <v>23</v>
      </c>
      <c r="C76" s="482">
        <v>4.9799999978858978E-3</v>
      </c>
      <c r="D76" s="491">
        <v>317123.09256000002</v>
      </c>
      <c r="E76" s="482">
        <v>0</v>
      </c>
      <c r="F76" s="482">
        <v>88526.8</v>
      </c>
      <c r="G76" s="482">
        <v>140835.72</v>
      </c>
      <c r="H76" s="482">
        <v>204512.48766000001</v>
      </c>
      <c r="I76" s="482">
        <v>174295.08564</v>
      </c>
      <c r="J76" s="482">
        <v>177397.83048</v>
      </c>
      <c r="K76" s="482">
        <v>137459.17535999999</v>
      </c>
      <c r="L76" s="482">
        <v>82904.13222</v>
      </c>
      <c r="M76" s="482">
        <v>45495.19182</v>
      </c>
      <c r="N76" s="482">
        <v>37997.650079999999</v>
      </c>
      <c r="O76" s="482">
        <v>28749.51066</v>
      </c>
      <c r="P76" s="482">
        <v>30848.73402</v>
      </c>
      <c r="Q76" s="482">
        <v>32039.965619999999</v>
      </c>
      <c r="R76" s="482">
        <v>65072.723039999997</v>
      </c>
      <c r="S76" s="482">
        <v>152222.08872</v>
      </c>
      <c r="T76" s="482">
        <v>164900.99885999999</v>
      </c>
      <c r="U76" s="482">
        <v>4.9799999978858978E-3</v>
      </c>
      <c r="V76" s="482">
        <v>0</v>
      </c>
      <c r="W76" s="482">
        <v>0</v>
      </c>
      <c r="X76" s="482">
        <v>0</v>
      </c>
      <c r="Y76" s="482">
        <v>0</v>
      </c>
      <c r="Z76" s="482">
        <v>0</v>
      </c>
      <c r="AA76" s="482">
        <v>0</v>
      </c>
      <c r="AB76" s="482">
        <v>0</v>
      </c>
      <c r="AC76" s="482">
        <v>0</v>
      </c>
      <c r="AD76" s="482">
        <v>0</v>
      </c>
      <c r="AE76" s="482">
        <v>0</v>
      </c>
      <c r="AF76" s="482">
        <v>0</v>
      </c>
      <c r="AG76" s="482">
        <v>0</v>
      </c>
      <c r="AH76" s="482">
        <v>0</v>
      </c>
      <c r="AI76" s="482">
        <v>0</v>
      </c>
      <c r="AJ76" s="482">
        <v>0</v>
      </c>
      <c r="AK76" s="482">
        <v>0</v>
      </c>
      <c r="AL76" s="482">
        <v>0</v>
      </c>
      <c r="AM76" s="482">
        <v>0</v>
      </c>
      <c r="AN76" s="482">
        <v>0</v>
      </c>
      <c r="AO76" s="482">
        <v>0</v>
      </c>
      <c r="AP76" s="482">
        <v>0</v>
      </c>
      <c r="AQ76" s="482">
        <v>0</v>
      </c>
      <c r="AR76" s="482">
        <v>0</v>
      </c>
      <c r="AT76" s="499" t="s">
        <v>309</v>
      </c>
      <c r="AU76" s="528">
        <v>431600</v>
      </c>
      <c r="AV76" s="358" t="s">
        <v>288</v>
      </c>
      <c r="AW76" s="358" t="s">
        <v>291</v>
      </c>
      <c r="AX76" s="381">
        <v>10.000904293850931</v>
      </c>
      <c r="AY76" s="500">
        <v>0</v>
      </c>
    </row>
    <row r="77" spans="1:51" ht="16.2">
      <c r="B77" s="481" t="s">
        <v>4</v>
      </c>
      <c r="C77" s="482">
        <v>-109.46219194583813</v>
      </c>
      <c r="D77" s="491">
        <v>-378.5328547840578</v>
      </c>
      <c r="E77" s="482">
        <v>-1303.5564083333331</v>
      </c>
      <c r="F77" s="482">
        <v>-1267.756538673611</v>
      </c>
      <c r="G77" s="482">
        <v>-1173.94</v>
      </c>
      <c r="H77" s="489">
        <v>-1031.0188659308387</v>
      </c>
      <c r="I77" s="489">
        <v>-874.04098003316506</v>
      </c>
      <c r="J77" s="489">
        <v>-728.23063246652612</v>
      </c>
      <c r="K77" s="489">
        <v>-597.64707222691482</v>
      </c>
      <c r="L77" s="489">
        <v>-506.32706662877047</v>
      </c>
      <c r="M77" s="489">
        <v>-453.24928750096109</v>
      </c>
      <c r="N77" s="489">
        <v>-418.8383111155452</v>
      </c>
      <c r="O77" s="489">
        <v>-391.37602606647488</v>
      </c>
      <c r="P77" s="489">
        <v>-366.8695708048636</v>
      </c>
      <c r="Q77" s="489">
        <v>-340.97167059720101</v>
      </c>
      <c r="R77" s="489">
        <v>-300.79219338103206</v>
      </c>
      <c r="S77" s="489">
        <v>-210.50334864218294</v>
      </c>
      <c r="T77" s="489">
        <v>-78.544148274384753</v>
      </c>
      <c r="U77" s="560">
        <v>0</v>
      </c>
      <c r="V77" s="489">
        <v>-9.91</v>
      </c>
      <c r="W77" s="489">
        <v>-9.9179441338960661</v>
      </c>
      <c r="X77" s="489">
        <v>-9.926209087340979</v>
      </c>
      <c r="Y77" s="489">
        <v>-9.9344809282470976</v>
      </c>
      <c r="Z77" s="489">
        <v>-9.9427596623539696</v>
      </c>
      <c r="AA77" s="489">
        <v>-9.9510452954059314</v>
      </c>
      <c r="AB77" s="489">
        <v>-9.9593378331521034</v>
      </c>
      <c r="AC77" s="489">
        <v>-9.9676372813463967</v>
      </c>
      <c r="AD77" s="489">
        <v>-9.9759436457475186</v>
      </c>
      <c r="AE77" s="489">
        <v>-9.9842569321189742</v>
      </c>
      <c r="AF77" s="489">
        <v>-9.992577146229074</v>
      </c>
      <c r="AG77" s="489">
        <v>-10.000904293850931</v>
      </c>
      <c r="AH77" s="489">
        <v>-10.009238380762474</v>
      </c>
      <c r="AI77" s="489">
        <v>-10.017579412746443</v>
      </c>
      <c r="AJ77" s="489">
        <v>-10.025927395590397</v>
      </c>
      <c r="AK77" s="489">
        <v>-10.034282335086724</v>
      </c>
      <c r="AL77" s="489">
        <v>-10.042644237032629</v>
      </c>
      <c r="AM77" s="489">
        <v>-10.051013107230158</v>
      </c>
      <c r="AN77" s="489">
        <v>-10.059388951486183</v>
      </c>
      <c r="AO77" s="489">
        <v>-10.067771775612421</v>
      </c>
      <c r="AP77" s="489">
        <v>-10.07616158542543</v>
      </c>
      <c r="AQ77" s="489">
        <v>-10.084558386746618</v>
      </c>
      <c r="AR77" s="489">
        <v>-10.092962185402241</v>
      </c>
      <c r="AT77" s="499" t="s">
        <v>312</v>
      </c>
      <c r="AU77" s="528">
        <v>191015</v>
      </c>
      <c r="AV77" s="358" t="s">
        <v>288</v>
      </c>
      <c r="AW77" s="358" t="s">
        <v>291</v>
      </c>
      <c r="AX77" s="381">
        <v>0</v>
      </c>
      <c r="AY77" s="500">
        <v>10.000904293850931</v>
      </c>
    </row>
    <row r="78" spans="1:51" ht="16.2">
      <c r="B78" s="481" t="s">
        <v>148</v>
      </c>
      <c r="C78" s="482">
        <v>-9.91</v>
      </c>
      <c r="E78" s="482">
        <v>0</v>
      </c>
      <c r="F78" s="482">
        <v>0</v>
      </c>
      <c r="G78" s="482">
        <v>-828.46</v>
      </c>
      <c r="H78" s="482">
        <v>0</v>
      </c>
      <c r="I78" s="482">
        <v>0</v>
      </c>
      <c r="J78" s="482">
        <v>0</v>
      </c>
      <c r="K78" s="482">
        <v>0</v>
      </c>
      <c r="L78" s="482">
        <v>0</v>
      </c>
      <c r="M78" s="482">
        <v>0</v>
      </c>
      <c r="N78" s="482">
        <v>0</v>
      </c>
      <c r="O78" s="482">
        <v>0</v>
      </c>
      <c r="P78" s="482">
        <v>0</v>
      </c>
      <c r="Q78" s="482">
        <v>0</v>
      </c>
      <c r="R78" s="482">
        <v>0</v>
      </c>
      <c r="S78" s="482">
        <v>0</v>
      </c>
      <c r="T78" s="482">
        <v>0</v>
      </c>
      <c r="U78" s="482">
        <v>-0.01</v>
      </c>
      <c r="V78" s="482">
        <v>-9.9</v>
      </c>
      <c r="W78" s="482">
        <v>0</v>
      </c>
      <c r="X78" s="482">
        <v>0</v>
      </c>
      <c r="Y78" s="482">
        <v>0</v>
      </c>
      <c r="Z78" s="482">
        <v>0</v>
      </c>
      <c r="AA78" s="482">
        <v>0</v>
      </c>
      <c r="AB78" s="482">
        <v>0</v>
      </c>
      <c r="AC78" s="482">
        <v>0</v>
      </c>
      <c r="AD78" s="482">
        <v>0</v>
      </c>
      <c r="AE78" s="482">
        <v>0</v>
      </c>
      <c r="AF78" s="482">
        <v>0</v>
      </c>
      <c r="AG78" s="482">
        <v>0</v>
      </c>
      <c r="AH78" s="482">
        <v>0</v>
      </c>
      <c r="AI78" s="482">
        <v>0</v>
      </c>
      <c r="AJ78" s="482">
        <v>0</v>
      </c>
      <c r="AK78" s="482">
        <v>0</v>
      </c>
      <c r="AL78" s="482">
        <v>0</v>
      </c>
      <c r="AM78" s="482">
        <v>0</v>
      </c>
      <c r="AN78" s="482">
        <v>0</v>
      </c>
      <c r="AO78" s="482">
        <v>0</v>
      </c>
      <c r="AP78" s="482">
        <v>0</v>
      </c>
      <c r="AQ78" s="482">
        <v>0</v>
      </c>
      <c r="AR78" s="482">
        <v>0</v>
      </c>
      <c r="AT78" s="499" t="s">
        <v>313</v>
      </c>
      <c r="AU78" s="528">
        <v>805111</v>
      </c>
      <c r="AV78" s="358" t="s">
        <v>288</v>
      </c>
      <c r="AW78" s="358" t="s">
        <v>291</v>
      </c>
      <c r="AX78" s="381">
        <v>0</v>
      </c>
      <c r="AY78" s="500">
        <v>0</v>
      </c>
    </row>
    <row r="79" spans="1:51" ht="16.8" thickBot="1">
      <c r="B79" s="481" t="s">
        <v>56</v>
      </c>
      <c r="C79" s="541"/>
      <c r="D79" s="541"/>
      <c r="E79" s="541">
        <v>-1565571.2464083331</v>
      </c>
      <c r="F79" s="541">
        <v>-1478312.2029470066</v>
      </c>
      <c r="G79" s="541">
        <v>-1339478.8829470065</v>
      </c>
      <c r="H79" s="541">
        <v>-1135997.4141529372</v>
      </c>
      <c r="I79" s="541">
        <v>-962576.36949297041</v>
      </c>
      <c r="J79" s="541">
        <v>-785906.7696454369</v>
      </c>
      <c r="K79" s="541">
        <v>-649045.24135766376</v>
      </c>
      <c r="L79" s="541">
        <v>-566647.43620429246</v>
      </c>
      <c r="M79" s="541">
        <v>-521605.49367179343</v>
      </c>
      <c r="N79" s="541">
        <v>-484026.68190290901</v>
      </c>
      <c r="O79" s="541">
        <v>-455668.54726897553</v>
      </c>
      <c r="P79" s="541">
        <v>-425186.68281978043</v>
      </c>
      <c r="Q79" s="541">
        <v>-393487.68887037766</v>
      </c>
      <c r="R79" s="541">
        <v>-328715.75802375871</v>
      </c>
      <c r="S79" s="541">
        <v>-176704.17265240088</v>
      </c>
      <c r="T79" s="541">
        <v>-11881.717940675277</v>
      </c>
      <c r="U79" s="541">
        <v>-11881.722960675279</v>
      </c>
      <c r="V79" s="541">
        <v>-11901.532960675278</v>
      </c>
      <c r="W79" s="541">
        <v>-11911.450904809175</v>
      </c>
      <c r="X79" s="541">
        <v>-11921.377113896517</v>
      </c>
      <c r="Y79" s="541">
        <v>-11931.311594824763</v>
      </c>
      <c r="Z79" s="541">
        <v>-11941.254354487117</v>
      </c>
      <c r="AA79" s="541">
        <v>-11951.205399782522</v>
      </c>
      <c r="AB79" s="541">
        <v>-11961.164737615674</v>
      </c>
      <c r="AC79" s="541">
        <v>-11971.132374897021</v>
      </c>
      <c r="AD79" s="541">
        <v>-11981.108318542769</v>
      </c>
      <c r="AE79" s="541">
        <v>-11991.092575474888</v>
      </c>
      <c r="AF79" s="541">
        <v>-12001.085152621117</v>
      </c>
      <c r="AG79" s="541">
        <v>-12011.086056914968</v>
      </c>
      <c r="AH79" s="541">
        <v>-12021.09529529573</v>
      </c>
      <c r="AI79" s="541">
        <v>-12031.112874708477</v>
      </c>
      <c r="AJ79" s="541">
        <v>-12041.138802104068</v>
      </c>
      <c r="AK79" s="541">
        <v>-12051.173084439155</v>
      </c>
      <c r="AL79" s="541">
        <v>-12061.215728676189</v>
      </c>
      <c r="AM79" s="541">
        <v>-12071.266741783418</v>
      </c>
      <c r="AN79" s="541">
        <v>-12081.326130734904</v>
      </c>
      <c r="AO79" s="541">
        <v>-12091.393902510516</v>
      </c>
      <c r="AP79" s="541">
        <v>-12101.470064095942</v>
      </c>
      <c r="AQ79" s="541">
        <v>-12111.554622482689</v>
      </c>
      <c r="AR79" s="541">
        <v>-12121.647584668091</v>
      </c>
      <c r="AT79" s="499" t="s">
        <v>329</v>
      </c>
      <c r="AU79" s="528">
        <v>191015</v>
      </c>
      <c r="AV79" s="358" t="s">
        <v>288</v>
      </c>
      <c r="AW79" s="358" t="s">
        <v>291</v>
      </c>
      <c r="AX79" s="381">
        <v>0</v>
      </c>
      <c r="AY79" s="500">
        <v>0</v>
      </c>
    </row>
    <row r="80" spans="1:51" ht="17.399999999999999" thickTop="1" thickBot="1">
      <c r="B80" s="481" t="s">
        <v>260</v>
      </c>
      <c r="E80" s="482">
        <v>-1565571.25</v>
      </c>
      <c r="F80" s="482">
        <v>-1478312.21</v>
      </c>
      <c r="G80" s="482">
        <v>-1339478.8899999999</v>
      </c>
      <c r="H80" s="482">
        <v>-1135997.42</v>
      </c>
      <c r="I80" s="482">
        <v>-962576.38</v>
      </c>
      <c r="J80" s="482">
        <v>-785906.78</v>
      </c>
      <c r="K80" s="482">
        <v>-649045.25</v>
      </c>
      <c r="L80" s="482">
        <v>-566647.43999999994</v>
      </c>
      <c r="M80" s="482">
        <v>-521605.5</v>
      </c>
      <c r="N80" s="482">
        <v>-484026.69</v>
      </c>
      <c r="O80" s="482">
        <v>-455668.56</v>
      </c>
      <c r="P80" s="482">
        <v>-425186.7</v>
      </c>
      <c r="Q80" s="482">
        <v>-393487.71</v>
      </c>
      <c r="R80" s="482">
        <v>-328715.78000000003</v>
      </c>
      <c r="S80" s="482">
        <v>-176704.19</v>
      </c>
      <c r="T80" s="482">
        <v>-11881.74</v>
      </c>
      <c r="U80" s="482">
        <v>-11881.74</v>
      </c>
      <c r="V80" s="482">
        <v>-11901.55</v>
      </c>
      <c r="W80" s="482">
        <v>-11911.47</v>
      </c>
      <c r="X80" s="482">
        <v>-11921.4</v>
      </c>
      <c r="Y80" s="482">
        <v>-11931.33</v>
      </c>
      <c r="Z80" s="482">
        <v>-11941.27</v>
      </c>
      <c r="AA80" s="482">
        <v>-11951.22</v>
      </c>
      <c r="AB80" s="482">
        <v>-11961.18</v>
      </c>
      <c r="AC80" s="482">
        <v>-11971.15</v>
      </c>
      <c r="AD80" s="482">
        <v>-11981.13</v>
      </c>
      <c r="AE80" s="482">
        <v>-11991.11</v>
      </c>
      <c r="AF80" s="482">
        <v>-12001.1</v>
      </c>
      <c r="AG80" s="482">
        <v>-12011.1</v>
      </c>
      <c r="AH80" s="482">
        <v>-12011.1</v>
      </c>
      <c r="AI80" s="482">
        <v>-12011.1</v>
      </c>
      <c r="AJ80" s="482">
        <v>0</v>
      </c>
      <c r="AK80" s="482">
        <v>0</v>
      </c>
      <c r="AL80" s="482">
        <v>0</v>
      </c>
      <c r="AM80" s="482">
        <v>0</v>
      </c>
      <c r="AN80" s="482">
        <v>0</v>
      </c>
      <c r="AO80" s="482">
        <v>0</v>
      </c>
      <c r="AP80" s="482">
        <v>0</v>
      </c>
      <c r="AQ80" s="482">
        <v>0</v>
      </c>
      <c r="AR80" s="482">
        <v>0</v>
      </c>
      <c r="AT80" s="501" t="s">
        <v>329</v>
      </c>
      <c r="AU80" s="529">
        <v>431600</v>
      </c>
      <c r="AV80" s="502" t="s">
        <v>288</v>
      </c>
      <c r="AW80" s="502" t="s">
        <v>291</v>
      </c>
      <c r="AX80" s="464">
        <v>0</v>
      </c>
      <c r="AY80" s="521">
        <v>0</v>
      </c>
    </row>
    <row r="81" spans="2:53" ht="16.2" thickBot="1">
      <c r="B81" s="481" t="s">
        <v>245</v>
      </c>
      <c r="E81" s="482">
        <v>3.5916669294238091E-3</v>
      </c>
      <c r="F81" s="482">
        <v>7.0529934018850327E-3</v>
      </c>
      <c r="G81" s="482">
        <v>7.0529934018850327E-3</v>
      </c>
      <c r="H81" s="482">
        <v>5.8470626827329397E-3</v>
      </c>
      <c r="I81" s="482">
        <v>1.0507029597647488E-2</v>
      </c>
      <c r="J81" s="482">
        <v>1.0354563128203154E-2</v>
      </c>
      <c r="K81" s="482">
        <v>8.642336237244308E-3</v>
      </c>
      <c r="L81" s="482">
        <v>3.7957074819132686E-3</v>
      </c>
      <c r="M81" s="482">
        <v>6.3282065675593913E-3</v>
      </c>
      <c r="N81" s="482">
        <v>8.0970909912139177E-3</v>
      </c>
      <c r="O81" s="482">
        <v>1.2731024471577257E-2</v>
      </c>
      <c r="P81" s="482">
        <v>1.7180219583678991E-2</v>
      </c>
      <c r="Q81" s="482">
        <v>2.1129622356966138E-2</v>
      </c>
      <c r="R81" s="482">
        <v>2.1976241318043321E-2</v>
      </c>
      <c r="S81" s="482">
        <v>1.734759911778383E-2</v>
      </c>
      <c r="T81" s="482">
        <v>2.2059324723159079E-2</v>
      </c>
      <c r="U81" s="482">
        <v>1.7039324720826698E-2</v>
      </c>
      <c r="V81" s="482">
        <v>1.7039324720826698E-2</v>
      </c>
      <c r="W81" s="482">
        <v>1.9095190824373276E-2</v>
      </c>
      <c r="X81" s="482">
        <v>2.2886103482960607E-2</v>
      </c>
      <c r="Y81" s="482">
        <v>1.8405175236694049E-2</v>
      </c>
      <c r="Z81" s="482">
        <v>1.5645512883565971E-2</v>
      </c>
      <c r="AA81" s="482">
        <v>1.4600217476981925E-2</v>
      </c>
      <c r="AB81" s="482">
        <v>1.5262384325978928E-2</v>
      </c>
      <c r="AC81" s="482">
        <v>1.7625102978854557E-2</v>
      </c>
      <c r="AD81" s="482">
        <v>2.1681457230442902E-2</v>
      </c>
      <c r="AE81" s="482">
        <v>1.7424525112801348E-2</v>
      </c>
      <c r="AF81" s="482">
        <v>1.4847378883132478E-2</v>
      </c>
      <c r="AG81" s="482">
        <v>1.3943085032224189E-2</v>
      </c>
      <c r="AH81" s="482">
        <v>-9.9952952957301022</v>
      </c>
      <c r="AI81" s="482">
        <v>-20.012874708476375</v>
      </c>
      <c r="AJ81" s="482">
        <v>-12041.138802104068</v>
      </c>
      <c r="AK81" s="482">
        <v>-12051.173084439155</v>
      </c>
      <c r="AL81" s="482">
        <v>-12061.215728676189</v>
      </c>
      <c r="AM81" s="482">
        <v>-12071.266741783418</v>
      </c>
      <c r="AN81" s="482">
        <v>-12081.326130734904</v>
      </c>
      <c r="AO81" s="482">
        <v>-12091.393902510516</v>
      </c>
      <c r="AP81" s="482">
        <v>-12101.470064095942</v>
      </c>
      <c r="AQ81" s="482">
        <v>-12111.554622482689</v>
      </c>
      <c r="AR81" s="482">
        <v>-12121.647584668091</v>
      </c>
      <c r="AT81" s="516"/>
      <c r="AU81" s="530"/>
      <c r="AV81" s="517"/>
      <c r="AW81" s="517"/>
      <c r="AX81" s="517" t="s">
        <v>159</v>
      </c>
      <c r="AY81" s="518">
        <v>0</v>
      </c>
    </row>
    <row r="84" spans="2:53"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616"/>
      <c r="AU84" s="617"/>
      <c r="AV84" s="617"/>
      <c r="AW84" s="617"/>
      <c r="AX84" s="617"/>
      <c r="AY84" s="617"/>
      <c r="AZ84" s="569"/>
      <c r="BA84" s="569"/>
    </row>
    <row r="85" spans="2:53"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617"/>
      <c r="AU85" s="617"/>
      <c r="AV85" s="617"/>
      <c r="AW85" s="617"/>
      <c r="AX85" s="617"/>
      <c r="AY85" s="617"/>
      <c r="AZ85" s="569"/>
      <c r="BA85" s="569"/>
    </row>
    <row r="86" spans="2:53"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617"/>
      <c r="AU86" s="617"/>
      <c r="AV86" s="617"/>
      <c r="AW86" s="617"/>
      <c r="AX86" s="617"/>
      <c r="AY86" s="617"/>
      <c r="AZ86" s="569"/>
      <c r="BA86" s="569"/>
    </row>
    <row r="87" spans="2:53"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617"/>
      <c r="AU87" s="617"/>
      <c r="AV87" s="617"/>
      <c r="AW87" s="617"/>
      <c r="AX87" s="617"/>
      <c r="AY87" s="617"/>
      <c r="AZ87" s="569"/>
      <c r="BA87" s="569"/>
    </row>
    <row r="88" spans="2:53"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617"/>
      <c r="AU88" s="617"/>
      <c r="AV88" s="617"/>
      <c r="AW88" s="617"/>
      <c r="AX88" s="617"/>
      <c r="AY88" s="617"/>
      <c r="AZ88" s="569"/>
      <c r="BA88" s="569"/>
    </row>
    <row r="89" spans="2:53"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617"/>
      <c r="AU89" s="617"/>
      <c r="AV89" s="617"/>
      <c r="AW89" s="617"/>
      <c r="AX89" s="617"/>
      <c r="AY89" s="617"/>
      <c r="AZ89" s="569"/>
      <c r="BA89" s="569"/>
    </row>
    <row r="90" spans="2:53" ht="16.2"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358"/>
      <c r="AU90" s="528"/>
      <c r="AV90" s="358"/>
      <c r="AW90" s="358"/>
      <c r="AX90" s="569"/>
      <c r="AY90" s="569"/>
      <c r="AZ90" s="569"/>
      <c r="BA90" s="569"/>
    </row>
    <row r="91" spans="2:53" ht="16.2">
      <c r="M91" s="482">
        <v>13246436.58</v>
      </c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7"/>
      <c r="AU91" s="209"/>
      <c r="AV91" s="7"/>
      <c r="AW91" s="7"/>
      <c r="AX91" s="569"/>
      <c r="AY91" s="569"/>
      <c r="AZ91" s="569"/>
      <c r="BA91" s="569"/>
    </row>
    <row r="92" spans="2:53" ht="16.2"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358"/>
      <c r="AU92" s="528"/>
      <c r="AV92" s="358"/>
      <c r="AW92" s="358"/>
      <c r="AX92" s="569"/>
      <c r="AY92" s="569"/>
      <c r="AZ92" s="569"/>
      <c r="BA92" s="569"/>
    </row>
    <row r="93" spans="2:53">
      <c r="X93" s="569"/>
      <c r="Y93" s="569"/>
      <c r="Z93" s="569"/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70"/>
      <c r="AV93" s="569"/>
      <c r="AW93" s="569"/>
      <c r="AX93" s="569"/>
      <c r="AY93" s="569"/>
      <c r="AZ93" s="569"/>
      <c r="BA93" s="569"/>
    </row>
  </sheetData>
  <mergeCells count="3">
    <mergeCell ref="AT31:AX36"/>
    <mergeCell ref="AT67:AY72"/>
    <mergeCell ref="AT84:AY89"/>
  </mergeCells>
  <conditionalFormatting sqref="E28">
    <cfRule type="cellIs" dxfId="198" priority="26" operator="notEqual">
      <formula>E27</formula>
    </cfRule>
  </conditionalFormatting>
  <conditionalFormatting sqref="F28">
    <cfRule type="cellIs" dxfId="197" priority="25" operator="notEqual">
      <formula>F27</formula>
    </cfRule>
  </conditionalFormatting>
  <conditionalFormatting sqref="G28">
    <cfRule type="cellIs" dxfId="196" priority="24" operator="notEqual">
      <formula>G27</formula>
    </cfRule>
  </conditionalFormatting>
  <conditionalFormatting sqref="H28">
    <cfRule type="cellIs" dxfId="195" priority="23" operator="notEqual">
      <formula>H27</formula>
    </cfRule>
  </conditionalFormatting>
  <conditionalFormatting sqref="C28">
    <cfRule type="cellIs" dxfId="194" priority="22" operator="notEqual">
      <formula>C27</formula>
    </cfRule>
  </conditionalFormatting>
  <conditionalFormatting sqref="F61">
    <cfRule type="cellIs" dxfId="193" priority="21" operator="notEqual">
      <formula>F60</formula>
    </cfRule>
  </conditionalFormatting>
  <conditionalFormatting sqref="G61">
    <cfRule type="cellIs" dxfId="192" priority="20" operator="notEqual">
      <formula>G60</formula>
    </cfRule>
  </conditionalFormatting>
  <conditionalFormatting sqref="H61">
    <cfRule type="cellIs" dxfId="191" priority="19" operator="notEqual">
      <formula>H60</formula>
    </cfRule>
  </conditionalFormatting>
  <conditionalFormatting sqref="C61">
    <cfRule type="cellIs" dxfId="190" priority="18" operator="notEqual">
      <formula>C60</formula>
    </cfRule>
  </conditionalFormatting>
  <conditionalFormatting sqref="I61">
    <cfRule type="cellIs" dxfId="189" priority="17" operator="notEqual">
      <formula>I60</formula>
    </cfRule>
  </conditionalFormatting>
  <conditionalFormatting sqref="AY81 AY48 AY11">
    <cfRule type="cellIs" dxfId="188" priority="16" operator="notEqual">
      <formula>0</formula>
    </cfRule>
  </conditionalFormatting>
  <conditionalFormatting sqref="I28">
    <cfRule type="cellIs" dxfId="187" priority="15" operator="notEqual">
      <formula>I27</formula>
    </cfRule>
  </conditionalFormatting>
  <conditionalFormatting sqref="J28">
    <cfRule type="cellIs" dxfId="186" priority="14" operator="notEqual">
      <formula>J27</formula>
    </cfRule>
  </conditionalFormatting>
  <conditionalFormatting sqref="J61">
    <cfRule type="cellIs" dxfId="185" priority="13" operator="notEqual">
      <formula>J60</formula>
    </cfRule>
  </conditionalFormatting>
  <conditionalFormatting sqref="K28">
    <cfRule type="cellIs" dxfId="184" priority="12" operator="notEqual">
      <formula>K27</formula>
    </cfRule>
  </conditionalFormatting>
  <conditionalFormatting sqref="K61">
    <cfRule type="cellIs" dxfId="183" priority="11" operator="notEqual">
      <formula>K60</formula>
    </cfRule>
  </conditionalFormatting>
  <conditionalFormatting sqref="L28:M28">
    <cfRule type="cellIs" dxfId="182" priority="10" operator="notEqual">
      <formula>L27</formula>
    </cfRule>
  </conditionalFormatting>
  <conditionalFormatting sqref="N28">
    <cfRule type="cellIs" dxfId="181" priority="9" operator="notEqual">
      <formula>N27</formula>
    </cfRule>
  </conditionalFormatting>
  <conditionalFormatting sqref="U61">
    <cfRule type="cellIs" dxfId="180" priority="8" operator="notEqual">
      <formula>U60</formula>
    </cfRule>
  </conditionalFormatting>
  <conditionalFormatting sqref="U28:V28">
    <cfRule type="cellIs" dxfId="179" priority="7" operator="notEqual">
      <formula>U27</formula>
    </cfRule>
  </conditionalFormatting>
  <conditionalFormatting sqref="V28">
    <cfRule type="cellIs" dxfId="178" priority="6" operator="notEqual">
      <formula>V27</formula>
    </cfRule>
  </conditionalFormatting>
  <conditionalFormatting sqref="V61">
    <cfRule type="cellIs" dxfId="177" priority="5" operator="notEqual">
      <formula>V60</formula>
    </cfRule>
  </conditionalFormatting>
  <conditionalFormatting sqref="W28">
    <cfRule type="cellIs" dxfId="176" priority="4" operator="notEqual">
      <formula>W27</formula>
    </cfRule>
  </conditionalFormatting>
  <conditionalFormatting sqref="W61">
    <cfRule type="cellIs" dxfId="175" priority="3" operator="notEqual">
      <formula>W60</formula>
    </cfRule>
  </conditionalFormatting>
  <conditionalFormatting sqref="X28:Y28">
    <cfRule type="cellIs" dxfId="174" priority="2" operator="notEqual">
      <formula>X27</formula>
    </cfRule>
  </conditionalFormatting>
  <conditionalFormatting sqref="Z28">
    <cfRule type="cellIs" dxfId="173" priority="1" operator="notEqual">
      <formula>Z27</formula>
    </cfRule>
  </conditionalFormatting>
  <pageMargins left="0" right="0" top="0.75" bottom="0.75" header="0.3" footer="0.3"/>
  <pageSetup scale="46" orientation="landscape" r:id="rId1"/>
  <customProperties>
    <customPr name="xxe4aPID" r:id="rId2"/>
  </customProperties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AH51"/>
  <sheetViews>
    <sheetView topLeftCell="A4" zoomScale="85" zoomScaleNormal="85" workbookViewId="0">
      <selection activeCell="P54" sqref="P54"/>
    </sheetView>
  </sheetViews>
  <sheetFormatPr defaultRowHeight="12.6"/>
  <cols>
    <col min="1" max="1" width="18.6640625" bestFit="1" customWidth="1"/>
    <col min="2" max="14" width="9.33203125" customWidth="1"/>
    <col min="16" max="16" width="2.44140625" customWidth="1"/>
    <col min="17" max="23" width="10.6640625" customWidth="1"/>
    <col min="24" max="24" width="5.6640625" customWidth="1"/>
  </cols>
  <sheetData>
    <row r="1" spans="1:34">
      <c r="C1" s="605" t="s">
        <v>193</v>
      </c>
      <c r="D1" s="605"/>
      <c r="E1" s="605"/>
      <c r="F1" s="605"/>
      <c r="G1" s="605"/>
      <c r="H1" s="605"/>
      <c r="I1" s="605"/>
      <c r="J1" s="605"/>
      <c r="K1" s="605"/>
      <c r="P1" s="607"/>
      <c r="Q1" s="607"/>
      <c r="R1" s="607"/>
      <c r="S1" s="607"/>
      <c r="T1" s="607"/>
      <c r="U1" s="607"/>
      <c r="V1" s="607"/>
      <c r="W1" s="607"/>
      <c r="X1" s="607"/>
    </row>
    <row r="2" spans="1:34" ht="19.8">
      <c r="C2" s="606" t="s">
        <v>336</v>
      </c>
      <c r="D2" s="606"/>
      <c r="E2" s="606"/>
      <c r="F2" s="606"/>
      <c r="G2" s="606"/>
      <c r="H2" s="606"/>
      <c r="I2" s="606"/>
      <c r="J2" s="606"/>
      <c r="K2" s="606"/>
      <c r="P2" s="605"/>
      <c r="Q2" s="605"/>
      <c r="R2" s="605"/>
      <c r="S2" s="605"/>
      <c r="T2" s="605"/>
      <c r="U2" s="605"/>
      <c r="V2" s="605"/>
      <c r="W2" s="605"/>
      <c r="X2" s="605"/>
      <c r="Z2" s="605"/>
      <c r="AA2" s="605"/>
      <c r="AB2" s="605"/>
      <c r="AC2" s="605"/>
      <c r="AD2" s="605"/>
      <c r="AE2" s="605"/>
      <c r="AF2" s="605"/>
      <c r="AG2" s="605"/>
      <c r="AH2" s="605"/>
    </row>
    <row r="3" spans="1:34" ht="19.8">
      <c r="C3" s="605" t="s">
        <v>195</v>
      </c>
      <c r="D3" s="605"/>
      <c r="E3" s="605"/>
      <c r="F3" s="605"/>
      <c r="G3" s="605"/>
      <c r="H3" s="605"/>
      <c r="I3" s="605"/>
      <c r="J3" s="605"/>
      <c r="K3" s="605"/>
      <c r="P3" s="606"/>
      <c r="Q3" s="606"/>
      <c r="R3" s="606"/>
      <c r="S3" s="606"/>
      <c r="T3" s="606"/>
      <c r="U3" s="606"/>
      <c r="V3" s="606"/>
      <c r="W3" s="606"/>
      <c r="X3" s="606"/>
      <c r="Z3" s="608"/>
      <c r="AA3" s="608"/>
      <c r="AB3" s="608"/>
      <c r="AC3" s="608"/>
      <c r="AD3" s="608"/>
      <c r="AE3" s="608"/>
      <c r="AF3" s="608"/>
      <c r="AG3" s="608"/>
      <c r="AH3" s="608"/>
    </row>
    <row r="4" spans="1:34">
      <c r="A4" t="s">
        <v>194</v>
      </c>
      <c r="B4" s="268">
        <v>41913</v>
      </c>
      <c r="C4" s="268">
        <f>EOMONTH(B4,1)</f>
        <v>41973</v>
      </c>
      <c r="D4" s="268">
        <f t="shared" ref="D4:N4" si="0">EOMONTH(C4,1)</f>
        <v>42004</v>
      </c>
      <c r="E4" s="268">
        <f t="shared" si="0"/>
        <v>42035</v>
      </c>
      <c r="F4" s="268">
        <f t="shared" si="0"/>
        <v>42063</v>
      </c>
      <c r="G4" s="268">
        <f t="shared" si="0"/>
        <v>42094</v>
      </c>
      <c r="H4" s="268">
        <f t="shared" si="0"/>
        <v>42124</v>
      </c>
      <c r="I4" s="268">
        <f t="shared" si="0"/>
        <v>42155</v>
      </c>
      <c r="J4" s="268">
        <f t="shared" si="0"/>
        <v>42185</v>
      </c>
      <c r="K4" s="268">
        <f t="shared" si="0"/>
        <v>42216</v>
      </c>
      <c r="L4" s="268">
        <f t="shared" si="0"/>
        <v>42247</v>
      </c>
      <c r="M4" s="268">
        <f t="shared" si="0"/>
        <v>42277</v>
      </c>
      <c r="N4" s="268">
        <f t="shared" si="0"/>
        <v>42308</v>
      </c>
      <c r="P4" s="605"/>
      <c r="Q4" s="605"/>
      <c r="R4" s="605"/>
      <c r="S4" s="605"/>
      <c r="T4" s="605"/>
      <c r="U4" s="605"/>
      <c r="V4" s="605"/>
      <c r="W4" s="605"/>
      <c r="X4" s="605"/>
      <c r="Z4" s="605"/>
      <c r="AA4" s="605"/>
      <c r="AB4" s="605"/>
      <c r="AC4" s="605"/>
      <c r="AD4" s="605"/>
      <c r="AE4" s="605"/>
      <c r="AF4" s="605"/>
      <c r="AG4" s="605"/>
    </row>
    <row r="6" spans="1:34">
      <c r="A6" s="269" t="s">
        <v>196</v>
      </c>
    </row>
    <row r="7" spans="1:34">
      <c r="A7" s="270"/>
      <c r="B7" s="271" t="str">
        <f>TEXT(B4,"mmmmm-YY")</f>
        <v>O-14</v>
      </c>
      <c r="C7" s="271" t="str">
        <f>TEXT(C4,"mmmmm-YY")</f>
        <v>N-14</v>
      </c>
      <c r="D7" s="271" t="str">
        <f>TEXT(D4,"mmmmm")</f>
        <v>D</v>
      </c>
      <c r="E7" s="271" t="str">
        <f>TEXT(E4,"mmmmm-YY")</f>
        <v>J-15</v>
      </c>
      <c r="F7" s="271" t="str">
        <f>TEXT(F4,"mmmmm-YY")</f>
        <v>F-15</v>
      </c>
      <c r="G7" s="271" t="str">
        <f t="shared" ref="G7:N7" si="1">TEXT(G4,"mmmmm")</f>
        <v>M</v>
      </c>
      <c r="H7" s="271" t="str">
        <f t="shared" si="1"/>
        <v>A</v>
      </c>
      <c r="I7" s="271" t="str">
        <f t="shared" si="1"/>
        <v>M</v>
      </c>
      <c r="J7" s="271" t="str">
        <f t="shared" si="1"/>
        <v>J</v>
      </c>
      <c r="K7" s="271" t="str">
        <f t="shared" si="1"/>
        <v>J</v>
      </c>
      <c r="L7" s="271" t="str">
        <f t="shared" si="1"/>
        <v>A</v>
      </c>
      <c r="M7" s="271" t="str">
        <f t="shared" si="1"/>
        <v>S</v>
      </c>
      <c r="N7" s="271" t="str">
        <f t="shared" si="1"/>
        <v>O</v>
      </c>
    </row>
    <row r="8" spans="1:34">
      <c r="A8" t="s">
        <v>2</v>
      </c>
      <c r="B8" s="272">
        <v>3.1087682634400022</v>
      </c>
      <c r="C8" s="272">
        <f>B8-(('WA - Def-Amtz (current)'!S6+'WA - Def-Amtz (current)'!S9)/1000000)</f>
        <v>3.6467914534399961</v>
      </c>
      <c r="D8" s="272">
        <f>C8-(('WA - Def-Amtz (current)'!T6+'WA - Def-Amtz (current)'!T9)/1000000)</f>
        <v>4.1805524017439897</v>
      </c>
      <c r="E8" s="272">
        <f>D8-(('WA - Def-Amtz (current)'!U6+'WA - Def-Amtz (current)'!U9)/1000000)</f>
        <v>3.5618082323399887</v>
      </c>
      <c r="F8" s="272"/>
      <c r="G8" s="272"/>
      <c r="H8" s="272"/>
      <c r="I8" s="272"/>
      <c r="J8" s="272"/>
      <c r="K8" s="272"/>
      <c r="L8" s="272"/>
      <c r="M8" s="272"/>
      <c r="N8" s="272"/>
      <c r="Q8" s="565"/>
    </row>
    <row r="9" spans="1:34">
      <c r="A9" t="s">
        <v>3</v>
      </c>
      <c r="B9" s="566">
        <v>-2.6515230902770028</v>
      </c>
      <c r="C9" s="272">
        <f>B9-(('WA - Def-Amtz (current)'!S7+'WA - Def-Amtz (current)'!S10)/1000000)</f>
        <v>-5.4499761425010025</v>
      </c>
      <c r="D9" s="566">
        <f>C9-(('WA - Def-Amtz (current)'!T7+'WA - Def-Amtz (current)'!T10)/1000000)</f>
        <v>-4.0360349296660027</v>
      </c>
      <c r="E9" s="566">
        <f>D9-(('WA - Def-Amtz (current)'!U7+'WA - Def-Amtz (current)'!U10)/1000000)</f>
        <v>-2.4297905731820029</v>
      </c>
      <c r="F9" s="566"/>
      <c r="G9" s="272"/>
      <c r="H9" s="272"/>
      <c r="I9" s="272"/>
      <c r="J9" s="272"/>
      <c r="K9" s="272"/>
      <c r="L9" s="272"/>
      <c r="M9" s="272"/>
      <c r="N9" s="272"/>
    </row>
    <row r="10" spans="1:34">
      <c r="A10" s="273" t="s">
        <v>21</v>
      </c>
      <c r="B10" s="274">
        <f>SUM(B8:B9)</f>
        <v>0.4572451731629994</v>
      </c>
      <c r="C10" s="274">
        <f>SUM(C8:C9)</f>
        <v>-1.8031846890610064</v>
      </c>
      <c r="D10" s="274">
        <f t="shared" ref="D10:F10" si="2">SUM(D8:D9)</f>
        <v>0.14451747207798693</v>
      </c>
      <c r="E10" s="274">
        <f t="shared" si="2"/>
        <v>1.1320176591579858</v>
      </c>
      <c r="F10" s="274">
        <f t="shared" si="2"/>
        <v>0</v>
      </c>
      <c r="G10" s="274">
        <f t="shared" ref="G10:N10" si="3">SUM(G8:G9)</f>
        <v>0</v>
      </c>
      <c r="H10" s="274">
        <f t="shared" si="3"/>
        <v>0</v>
      </c>
      <c r="I10" s="274">
        <f t="shared" si="3"/>
        <v>0</v>
      </c>
      <c r="J10" s="274">
        <f t="shared" si="3"/>
        <v>0</v>
      </c>
      <c r="K10" s="274">
        <f t="shared" si="3"/>
        <v>0</v>
      </c>
      <c r="L10" s="274">
        <f t="shared" si="3"/>
        <v>0</v>
      </c>
      <c r="M10" s="274">
        <f t="shared" si="3"/>
        <v>0</v>
      </c>
      <c r="N10" s="274">
        <f t="shared" si="3"/>
        <v>0</v>
      </c>
    </row>
    <row r="12" spans="1:34">
      <c r="A12" s="269" t="s">
        <v>250</v>
      </c>
    </row>
    <row r="13" spans="1:34">
      <c r="A13" s="270"/>
      <c r="B13" s="271" t="str">
        <f>TEXT(B4,"mmmmm-YY")</f>
        <v>O-14</v>
      </c>
      <c r="C13" s="271" t="str">
        <f>TEXT(C4,"mmmmm")</f>
        <v>N</v>
      </c>
      <c r="D13" s="271" t="str">
        <f>TEXT(D4,"mmmmm")</f>
        <v>D</v>
      </c>
      <c r="E13" s="271" t="str">
        <f t="shared" ref="E13:F13" si="4">TEXT(E4,"mmmmm-YY")</f>
        <v>J-15</v>
      </c>
      <c r="F13" s="271" t="str">
        <f t="shared" si="4"/>
        <v>F-15</v>
      </c>
      <c r="G13" s="271" t="str">
        <f t="shared" ref="G13:M13" si="5">TEXT(G4,"mmmmm")</f>
        <v>M</v>
      </c>
      <c r="H13" s="271" t="str">
        <f t="shared" si="5"/>
        <v>A</v>
      </c>
      <c r="I13" s="271" t="str">
        <f t="shared" si="5"/>
        <v>M</v>
      </c>
      <c r="J13" s="271" t="str">
        <f t="shared" si="5"/>
        <v>J</v>
      </c>
      <c r="K13" s="271" t="str">
        <f t="shared" si="5"/>
        <v>J</v>
      </c>
      <c r="L13" s="271" t="str">
        <f t="shared" si="5"/>
        <v>A</v>
      </c>
      <c r="M13" s="271" t="str">
        <f t="shared" si="5"/>
        <v>S</v>
      </c>
      <c r="N13" s="271" t="s">
        <v>247</v>
      </c>
    </row>
    <row r="14" spans="1:34">
      <c r="A14" t="s">
        <v>2</v>
      </c>
      <c r="B14" s="567">
        <v>2.5496013100000012</v>
      </c>
      <c r="C14" s="272">
        <f>B14-(('ID - Def-Amtz (current)'!S6+'ID - Def-Amtz (current)'!S9)/1000000)</f>
        <v>1.8014744099999986</v>
      </c>
      <c r="D14" s="568">
        <f>C14-(('ID - Def-Amtz (current)'!T6+'ID - Def-Amtz (current)'!T9)/1000000)</f>
        <v>2.0113082716959956</v>
      </c>
      <c r="E14" s="568">
        <f>D14-(('ID - Def-Amtz (current)'!U6+'ID - Def-Amtz (current)'!U9)/1000000)</f>
        <v>1.6793401132499965</v>
      </c>
      <c r="F14" s="568"/>
      <c r="G14" s="568"/>
      <c r="H14" s="568"/>
      <c r="I14" s="568"/>
      <c r="J14" s="568"/>
      <c r="K14" s="568"/>
      <c r="L14" s="568"/>
      <c r="M14" s="568"/>
      <c r="N14" s="568"/>
    </row>
    <row r="15" spans="1:34">
      <c r="A15" t="s">
        <v>3</v>
      </c>
      <c r="B15" s="568">
        <v>-0.69658912778300142</v>
      </c>
      <c r="C15" s="272">
        <f>B15-(('ID - Def-Amtz (current)'!S7+'ID - Def-Amtz (current)'!S10)/1000000)</f>
        <v>-2.1068052855590014</v>
      </c>
      <c r="D15" s="568">
        <f>C15-(('ID - Def-Amtz (current)'!T7+'ID - Def-Amtz (current)'!T10)/1000000)</f>
        <v>-1.5923268683940015</v>
      </c>
      <c r="E15" s="568">
        <f>D15-(('ID - Def-Amtz (current)'!U7+'ID - Def-Amtz (current)'!U10)/1000000)</f>
        <v>-0.95760129210800138</v>
      </c>
      <c r="F15" s="568"/>
      <c r="G15" s="568"/>
      <c r="H15" s="272"/>
      <c r="I15" s="272"/>
      <c r="J15" s="272"/>
      <c r="K15" s="272"/>
      <c r="L15" s="272"/>
      <c r="M15" s="272"/>
      <c r="N15" s="272"/>
    </row>
    <row r="16" spans="1:34">
      <c r="A16" s="273" t="s">
        <v>21</v>
      </c>
      <c r="B16" s="274">
        <f>SUM(B14:B15)</f>
        <v>1.8530121822169998</v>
      </c>
      <c r="C16" s="274">
        <f>SUM(C14:C15)</f>
        <v>-0.30533087555900273</v>
      </c>
      <c r="D16" s="274">
        <f t="shared" ref="D16:F16" si="6">SUM(D14:D15)</f>
        <v>0.41898140330199407</v>
      </c>
      <c r="E16" s="274">
        <f t="shared" si="6"/>
        <v>0.72173882114199517</v>
      </c>
      <c r="F16" s="274">
        <f t="shared" si="6"/>
        <v>0</v>
      </c>
      <c r="G16" s="274">
        <f t="shared" ref="G16:N16" si="7">SUM(G14:G15)</f>
        <v>0</v>
      </c>
      <c r="H16" s="274">
        <f t="shared" si="7"/>
        <v>0</v>
      </c>
      <c r="I16" s="274">
        <f t="shared" si="7"/>
        <v>0</v>
      </c>
      <c r="J16" s="274">
        <f t="shared" si="7"/>
        <v>0</v>
      </c>
      <c r="K16" s="274">
        <f t="shared" si="7"/>
        <v>0</v>
      </c>
      <c r="L16" s="274">
        <f t="shared" si="7"/>
        <v>0</v>
      </c>
      <c r="M16" s="274">
        <f t="shared" si="7"/>
        <v>0</v>
      </c>
      <c r="N16" s="274">
        <f t="shared" si="7"/>
        <v>0</v>
      </c>
    </row>
    <row r="51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09375" defaultRowHeight="15"/>
  <cols>
    <col min="1" max="1" width="13.109375" style="386" customWidth="1"/>
    <col min="2" max="2" width="9.33203125" style="386" customWidth="1"/>
    <col min="3" max="3" width="17.88671875" style="386" customWidth="1"/>
    <col min="4" max="4" width="18.44140625" style="386" customWidth="1"/>
    <col min="5" max="5" width="20.109375" style="322" bestFit="1" customWidth="1"/>
    <col min="6" max="6" width="16.109375" style="386" customWidth="1"/>
    <col min="7" max="7" width="34.5546875" style="386" bestFit="1" customWidth="1"/>
    <col min="8" max="8" width="16.88671875" style="386" customWidth="1"/>
    <col min="9" max="9" width="18.33203125" style="386" bestFit="1" customWidth="1"/>
    <col min="10" max="10" width="18.33203125" style="386" customWidth="1"/>
    <col min="11" max="11" width="3.44140625" style="386" customWidth="1"/>
    <col min="12" max="16384" width="9.109375" style="386"/>
  </cols>
  <sheetData>
    <row r="1" spans="1:10" ht="15.6">
      <c r="A1" s="51" t="s">
        <v>13</v>
      </c>
    </row>
    <row r="2" spans="1:10" ht="15.6">
      <c r="A2" s="51" t="s">
        <v>46</v>
      </c>
    </row>
    <row r="3" spans="1:10" ht="15.6">
      <c r="A3" s="51" t="s">
        <v>170</v>
      </c>
    </row>
    <row r="4" spans="1:10" ht="15.6">
      <c r="A4" s="51" t="s">
        <v>171</v>
      </c>
    </row>
    <row r="7" spans="1:10" s="387" customFormat="1" ht="16.2" thickBot="1">
      <c r="D7" s="142" t="s">
        <v>225</v>
      </c>
      <c r="E7" s="331">
        <f>'ID Holdback 191015'!C101</f>
        <v>-1565571.2499999998</v>
      </c>
    </row>
    <row r="8" spans="1:10" ht="16.2" thickTop="1" thickBot="1"/>
    <row r="9" spans="1:10" ht="15.6">
      <c r="A9" s="73" t="s">
        <v>142</v>
      </c>
      <c r="B9" s="74"/>
      <c r="C9" s="75"/>
      <c r="D9" s="76"/>
      <c r="E9" s="323"/>
      <c r="G9" s="16"/>
      <c r="H9" s="5"/>
      <c r="I9" s="56"/>
      <c r="J9" s="56"/>
    </row>
    <row r="10" spans="1:10" ht="15.6">
      <c r="A10" s="220">
        <v>41578</v>
      </c>
      <c r="B10" s="71"/>
      <c r="C10" s="16"/>
      <c r="D10" s="72" t="s">
        <v>23</v>
      </c>
      <c r="E10" s="324" t="s">
        <v>21</v>
      </c>
      <c r="G10" s="5"/>
      <c r="H10" s="5"/>
      <c r="I10" s="8"/>
      <c r="J10" s="10"/>
    </row>
    <row r="11" spans="1:10" ht="16.2" thickBot="1">
      <c r="A11" s="14"/>
      <c r="B11" s="18"/>
      <c r="C11" s="131" t="s">
        <v>21</v>
      </c>
      <c r="D11" s="131" t="s">
        <v>22</v>
      </c>
      <c r="E11" s="325" t="s">
        <v>23</v>
      </c>
      <c r="F11" s="387"/>
      <c r="G11" s="7"/>
      <c r="H11" s="7"/>
      <c r="I11" s="10"/>
      <c r="J11" s="10"/>
    </row>
    <row r="12" spans="1:10" ht="15.6">
      <c r="A12" s="2" t="s">
        <v>24</v>
      </c>
      <c r="B12" s="17">
        <v>101</v>
      </c>
      <c r="C12" s="254">
        <v>0</v>
      </c>
      <c r="D12" s="391" t="s">
        <v>188</v>
      </c>
      <c r="E12" s="326">
        <v>61399.94</v>
      </c>
      <c r="F12" s="387"/>
      <c r="G12" s="7"/>
      <c r="H12" s="7"/>
      <c r="I12" s="8"/>
      <c r="J12" s="7"/>
    </row>
    <row r="13" spans="1:10" ht="16.2" thickBot="1">
      <c r="A13" s="2" t="s">
        <v>24</v>
      </c>
      <c r="B13" s="17">
        <v>111</v>
      </c>
      <c r="C13" s="254">
        <v>0</v>
      </c>
      <c r="D13" s="391" t="s">
        <v>188</v>
      </c>
      <c r="E13" s="326">
        <v>26738.47</v>
      </c>
      <c r="F13" s="387"/>
      <c r="G13" s="146">
        <f>A10</f>
        <v>41578</v>
      </c>
      <c r="H13" s="147"/>
      <c r="I13" s="147"/>
      <c r="J13" s="147"/>
    </row>
    <row r="14" spans="1:10" ht="16.2" thickBot="1">
      <c r="A14" s="2" t="s">
        <v>24</v>
      </c>
      <c r="B14" s="17">
        <v>112</v>
      </c>
      <c r="C14" s="254"/>
      <c r="D14" s="391" t="s">
        <v>188</v>
      </c>
      <c r="E14" s="326">
        <v>367.45</v>
      </c>
      <c r="F14" s="387"/>
      <c r="G14" s="102" t="s">
        <v>25</v>
      </c>
      <c r="H14" s="148"/>
      <c r="I14" s="149" t="s">
        <v>18</v>
      </c>
      <c r="J14" s="150" t="s">
        <v>19</v>
      </c>
    </row>
    <row r="15" spans="1:10" ht="15.6">
      <c r="A15" s="2" t="s">
        <v>24</v>
      </c>
      <c r="B15" s="17">
        <v>121</v>
      </c>
      <c r="C15" s="254"/>
      <c r="D15" s="221"/>
      <c r="E15" s="326">
        <v>0</v>
      </c>
      <c r="F15" s="387"/>
      <c r="G15" s="151" t="s">
        <v>28</v>
      </c>
      <c r="H15" s="152" t="s">
        <v>77</v>
      </c>
      <c r="I15" s="108"/>
      <c r="J15" s="396">
        <f>IF(E24&gt;0,-E24,0)</f>
        <v>0</v>
      </c>
    </row>
    <row r="16" spans="1:10" ht="15.6">
      <c r="A16" s="2" t="s">
        <v>24</v>
      </c>
      <c r="B16" s="17">
        <v>122</v>
      </c>
      <c r="C16" s="255"/>
      <c r="D16" s="221"/>
      <c r="E16" s="326">
        <v>0</v>
      </c>
      <c r="F16" s="387"/>
      <c r="G16" s="153" t="s">
        <v>29</v>
      </c>
      <c r="H16" s="7" t="s">
        <v>78</v>
      </c>
      <c r="I16" s="397">
        <f>IF(E24&lt;0,-E24,0)</f>
        <v>1267.76</v>
      </c>
      <c r="J16" s="223"/>
    </row>
    <row r="17" spans="1:10" ht="15.6">
      <c r="A17" s="2" t="s">
        <v>24</v>
      </c>
      <c r="B17" s="17">
        <v>131</v>
      </c>
      <c r="C17" s="254">
        <v>0</v>
      </c>
      <c r="D17" s="391" t="s">
        <v>188</v>
      </c>
      <c r="E17" s="326">
        <v>0</v>
      </c>
      <c r="F17" s="387"/>
      <c r="G17" s="153" t="s">
        <v>99</v>
      </c>
      <c r="H17" s="7" t="s">
        <v>230</v>
      </c>
      <c r="I17" s="397">
        <f>IF((E7-E23)&gt;0,E7-E23,0)</f>
        <v>0</v>
      </c>
      <c r="J17" s="397">
        <f>IF((E7-E23)&lt;0,E7-E23,0)</f>
        <v>-88526.800000000047</v>
      </c>
    </row>
    <row r="18" spans="1:10" ht="15.6">
      <c r="A18" s="2" t="s">
        <v>24</v>
      </c>
      <c r="B18" s="17">
        <v>132</v>
      </c>
      <c r="C18" s="255"/>
      <c r="D18" s="391" t="s">
        <v>188</v>
      </c>
      <c r="E18" s="326">
        <v>20.94</v>
      </c>
      <c r="F18" s="387"/>
      <c r="G18" s="153" t="s">
        <v>10</v>
      </c>
      <c r="H18" s="7" t="s">
        <v>58</v>
      </c>
      <c r="I18" s="7"/>
      <c r="J18" s="462"/>
    </row>
    <row r="19" spans="1:10" ht="16.2" thickBot="1">
      <c r="A19" s="2" t="s">
        <v>24</v>
      </c>
      <c r="B19" s="17" t="s">
        <v>61</v>
      </c>
      <c r="C19" s="255"/>
      <c r="D19" s="121"/>
      <c r="E19" s="326">
        <v>0</v>
      </c>
      <c r="F19" s="387"/>
      <c r="G19" s="154" t="s">
        <v>100</v>
      </c>
      <c r="H19" s="147" t="s">
        <v>209</v>
      </c>
      <c r="I19" s="464">
        <f>IF((E25-E7)&gt;0,E25-E7,0)</f>
        <v>87259.040000000037</v>
      </c>
      <c r="J19" s="107">
        <f>IF((E25-E7)&lt;0,E25-E7,0)</f>
        <v>0</v>
      </c>
    </row>
    <row r="20" spans="1:10" ht="15.6">
      <c r="A20" s="2" t="s">
        <v>156</v>
      </c>
      <c r="B20" s="70"/>
      <c r="C20" s="253"/>
      <c r="D20" s="136"/>
      <c r="E20" s="329">
        <v>0</v>
      </c>
      <c r="F20" s="387"/>
      <c r="G20" s="7"/>
      <c r="H20" s="7"/>
      <c r="I20" s="8"/>
      <c r="J20" s="262">
        <f>ROUND(SUM(I15:J19),2)</f>
        <v>0</v>
      </c>
    </row>
    <row r="21" spans="1:10" ht="16.2" thickBot="1">
      <c r="B21" s="6"/>
      <c r="C21" s="256">
        <f>SUM(C12:C20)</f>
        <v>0</v>
      </c>
      <c r="D21" s="155"/>
      <c r="E21" s="328">
        <f>SUM(E12:E20)</f>
        <v>88526.8</v>
      </c>
      <c r="F21" s="387"/>
      <c r="G21" s="7"/>
      <c r="H21" s="7"/>
      <c r="I21" s="7"/>
      <c r="J21" s="7"/>
    </row>
    <row r="22" spans="1:10" ht="16.2" thickTop="1">
      <c r="B22" s="6"/>
      <c r="C22" s="257">
        <v>0</v>
      </c>
      <c r="D22" s="66" t="s">
        <v>161</v>
      </c>
      <c r="E22" s="329">
        <v>0</v>
      </c>
      <c r="F22" s="387"/>
      <c r="G22" s="65" t="s">
        <v>158</v>
      </c>
      <c r="H22" s="7"/>
      <c r="I22" s="12"/>
      <c r="J22" s="12"/>
    </row>
    <row r="23" spans="1:10" ht="15.6">
      <c r="C23" s="319">
        <f>C21-C22</f>
        <v>0</v>
      </c>
      <c r="D23" s="66" t="s">
        <v>87</v>
      </c>
      <c r="E23" s="328">
        <f>E21+E22+E7</f>
        <v>-1477044.4499999997</v>
      </c>
      <c r="F23" s="387"/>
      <c r="G23" s="8">
        <f>(E7*(D24/12))+((E21-E20)*(D24/24))</f>
        <v>-1267.7565416666666</v>
      </c>
      <c r="H23" s="7"/>
      <c r="I23" s="8"/>
      <c r="J23" s="10"/>
    </row>
    <row r="24" spans="1:10" ht="15.6">
      <c r="C24" s="50"/>
      <c r="D24" s="226">
        <v>0.01</v>
      </c>
      <c r="E24" s="330">
        <f>ROUND(((E7)+(E21-E20)/2)*(D24/12),2)</f>
        <v>-1267.76</v>
      </c>
      <c r="F24" s="387"/>
      <c r="G24" s="65"/>
      <c r="H24" s="7"/>
      <c r="I24" s="10"/>
      <c r="J24" s="10"/>
    </row>
    <row r="25" spans="1:10" ht="16.2" thickBot="1">
      <c r="A25" s="5"/>
      <c r="B25" s="5"/>
      <c r="C25" s="50" t="s">
        <v>1</v>
      </c>
      <c r="D25" s="143">
        <f>A10</f>
        <v>41578</v>
      </c>
      <c r="E25" s="331">
        <f>SUM(E23:E24)</f>
        <v>-1478312.2099999997</v>
      </c>
      <c r="F25" s="387"/>
      <c r="G25" s="7"/>
      <c r="H25" s="7"/>
      <c r="I25" s="8"/>
      <c r="J25" s="7"/>
    </row>
    <row r="26" spans="1:10" ht="16.2" thickTop="1" thickBot="1"/>
    <row r="27" spans="1:10" ht="15.6">
      <c r="A27" s="73" t="s">
        <v>142</v>
      </c>
      <c r="B27" s="74"/>
      <c r="C27" s="75"/>
      <c r="D27" s="76"/>
      <c r="E27" s="323"/>
      <c r="G27" s="16"/>
      <c r="H27" s="5"/>
      <c r="I27" s="56"/>
      <c r="J27" s="56"/>
    </row>
    <row r="28" spans="1:10" ht="15.6">
      <c r="A28" s="220">
        <v>41608</v>
      </c>
      <c r="B28" s="71"/>
      <c r="C28" s="16"/>
      <c r="D28" s="72" t="s">
        <v>23</v>
      </c>
      <c r="E28" s="324" t="s">
        <v>21</v>
      </c>
      <c r="G28" s="5"/>
      <c r="H28" s="5"/>
      <c r="I28" s="8"/>
      <c r="J28" s="10"/>
    </row>
    <row r="29" spans="1:10" ht="16.2" thickBot="1">
      <c r="A29" s="14"/>
      <c r="B29" s="18"/>
      <c r="C29" s="131" t="s">
        <v>21</v>
      </c>
      <c r="D29" s="131" t="s">
        <v>22</v>
      </c>
      <c r="E29" s="325" t="s">
        <v>23</v>
      </c>
      <c r="F29" s="387"/>
      <c r="G29" s="7"/>
      <c r="H29" s="7"/>
      <c r="I29" s="10"/>
      <c r="J29" s="10"/>
    </row>
    <row r="30" spans="1:10" ht="15.6">
      <c r="A30" s="2" t="s">
        <v>24</v>
      </c>
      <c r="B30" s="17">
        <v>101</v>
      </c>
      <c r="C30" s="254">
        <v>7085932</v>
      </c>
      <c r="D30" s="391" t="s">
        <v>188</v>
      </c>
      <c r="E30" s="326">
        <v>104530.84</v>
      </c>
      <c r="F30" s="387"/>
      <c r="G30" s="7"/>
      <c r="H30" s="7"/>
      <c r="I30" s="8"/>
      <c r="J30" s="7"/>
    </row>
    <row r="31" spans="1:10" ht="16.2" thickBot="1">
      <c r="A31" s="2" t="s">
        <v>24</v>
      </c>
      <c r="B31" s="17">
        <v>111</v>
      </c>
      <c r="C31" s="254">
        <v>2422167</v>
      </c>
      <c r="D31" s="391" t="s">
        <v>188</v>
      </c>
      <c r="E31" s="326">
        <v>35529.620000000003</v>
      </c>
      <c r="F31" s="387"/>
      <c r="G31" s="146">
        <f>A28</f>
        <v>41608</v>
      </c>
      <c r="H31" s="147"/>
      <c r="I31" s="147"/>
      <c r="J31" s="147"/>
    </row>
    <row r="32" spans="1:10" ht="16.2" thickBot="1">
      <c r="A32" s="2" t="s">
        <v>24</v>
      </c>
      <c r="B32" s="17">
        <v>112</v>
      </c>
      <c r="C32" s="254">
        <v>24496</v>
      </c>
      <c r="D32" s="391" t="s">
        <v>188</v>
      </c>
      <c r="E32" s="326">
        <v>363.03</v>
      </c>
      <c r="F32" s="387"/>
      <c r="G32" s="102" t="s">
        <v>25</v>
      </c>
      <c r="H32" s="148"/>
      <c r="I32" s="149" t="s">
        <v>18</v>
      </c>
      <c r="J32" s="150" t="s">
        <v>19</v>
      </c>
    </row>
    <row r="33" spans="1:10" ht="15.6">
      <c r="A33" s="2" t="s">
        <v>24</v>
      </c>
      <c r="B33" s="17">
        <v>121</v>
      </c>
      <c r="C33" s="254"/>
      <c r="D33" s="221"/>
      <c r="E33" s="326">
        <v>0</v>
      </c>
      <c r="F33" s="387"/>
      <c r="G33" s="151" t="s">
        <v>28</v>
      </c>
      <c r="H33" s="152" t="s">
        <v>77</v>
      </c>
      <c r="I33" s="108"/>
      <c r="J33" s="396">
        <f>IF(E42&gt;0,-E42,0)</f>
        <v>0</v>
      </c>
    </row>
    <row r="34" spans="1:10" ht="15.6">
      <c r="A34" s="2" t="s">
        <v>24</v>
      </c>
      <c r="B34" s="17">
        <v>122</v>
      </c>
      <c r="C34" s="254"/>
      <c r="D34" s="221"/>
      <c r="E34" s="326">
        <v>0</v>
      </c>
      <c r="F34" s="387"/>
      <c r="G34" s="153" t="s">
        <v>29</v>
      </c>
      <c r="H34" s="7" t="s">
        <v>78</v>
      </c>
      <c r="I34" s="397">
        <f>IF(E42&lt;0,-E42,0)</f>
        <v>1173.9403833333333</v>
      </c>
      <c r="J34" s="223"/>
    </row>
    <row r="35" spans="1:10" ht="15.6">
      <c r="A35" s="2" t="s">
        <v>24</v>
      </c>
      <c r="B35" s="17">
        <v>131</v>
      </c>
      <c r="C35" s="254">
        <v>0</v>
      </c>
      <c r="D35" s="391" t="s">
        <v>188</v>
      </c>
      <c r="E35" s="326">
        <v>0</v>
      </c>
      <c r="F35" s="387"/>
      <c r="G35" s="153" t="s">
        <v>99</v>
      </c>
      <c r="H35" s="7" t="s">
        <v>230</v>
      </c>
      <c r="I35" s="397">
        <f>IF((E25-E41)&gt;0,E25-E41,0)</f>
        <v>0</v>
      </c>
      <c r="J35" s="397">
        <f>IF((E25-E41)&lt;0,E25-E41,0)</f>
        <v>-140007.26</v>
      </c>
    </row>
    <row r="36" spans="1:10" ht="15.6">
      <c r="A36" s="2" t="s">
        <v>24</v>
      </c>
      <c r="B36" s="17">
        <v>132</v>
      </c>
      <c r="C36" s="254">
        <v>27816</v>
      </c>
      <c r="D36" s="391" t="s">
        <v>188</v>
      </c>
      <c r="E36" s="326">
        <v>412.23</v>
      </c>
      <c r="F36" s="387"/>
      <c r="G36" s="153" t="s">
        <v>10</v>
      </c>
      <c r="H36" s="7" t="s">
        <v>58</v>
      </c>
      <c r="I36" s="7"/>
      <c r="J36" s="462"/>
    </row>
    <row r="37" spans="1:10" ht="16.2" thickBot="1">
      <c r="A37" s="2" t="s">
        <v>24</v>
      </c>
      <c r="B37" s="17" t="s">
        <v>61</v>
      </c>
      <c r="C37" s="254"/>
      <c r="D37" s="121"/>
      <c r="E37" s="326">
        <v>0</v>
      </c>
      <c r="F37" s="387"/>
      <c r="G37" s="154" t="s">
        <v>100</v>
      </c>
      <c r="H37" s="147" t="s">
        <v>209</v>
      </c>
      <c r="I37" s="464">
        <f>IF((E43-E25)&gt;0,E43-E25,0)</f>
        <v>138833.31961666676</v>
      </c>
      <c r="J37" s="107">
        <f>IF((E43-E25)&lt;0,E43-E25,0)</f>
        <v>0</v>
      </c>
    </row>
    <row r="38" spans="1:10" ht="15.6">
      <c r="A38" s="2" t="s">
        <v>156</v>
      </c>
      <c r="B38" s="70"/>
      <c r="C38" s="253"/>
      <c r="D38" s="136"/>
      <c r="E38" s="329">
        <v>0</v>
      </c>
      <c r="F38" s="387"/>
      <c r="G38" s="7"/>
      <c r="H38" s="7"/>
      <c r="I38" s="8"/>
      <c r="J38" s="262">
        <f>ROUND(SUM(I33:J37),2)</f>
        <v>0</v>
      </c>
    </row>
    <row r="39" spans="1:10" ht="16.2" thickBot="1">
      <c r="B39" s="6"/>
      <c r="C39" s="256">
        <f>SUM(C30:C38)</f>
        <v>9560411</v>
      </c>
      <c r="D39" s="155"/>
      <c r="E39" s="328">
        <f>SUM(E30:E38)</f>
        <v>140835.72</v>
      </c>
      <c r="F39" s="387"/>
      <c r="G39" s="7"/>
      <c r="H39" s="7"/>
      <c r="I39" s="7"/>
      <c r="J39" s="7"/>
    </row>
    <row r="40" spans="1:10" ht="16.2" thickTop="1">
      <c r="B40" s="6"/>
      <c r="C40" s="257">
        <v>9560411</v>
      </c>
      <c r="D40" s="66" t="s">
        <v>161</v>
      </c>
      <c r="E40" s="329">
        <f>-828.46</f>
        <v>-828.46</v>
      </c>
      <c r="F40" s="387"/>
      <c r="G40" s="65" t="s">
        <v>158</v>
      </c>
      <c r="H40" s="7"/>
      <c r="I40" s="12"/>
      <c r="J40" s="12"/>
    </row>
    <row r="41" spans="1:10" ht="15.6">
      <c r="C41" s="319">
        <f>C39-C40</f>
        <v>0</v>
      </c>
      <c r="D41" s="66" t="s">
        <v>87</v>
      </c>
      <c r="E41" s="328">
        <f>E39+E40+E25</f>
        <v>-1338304.9499999997</v>
      </c>
      <c r="F41" s="387"/>
      <c r="G41" s="8">
        <f>(E25*(D42/12))+((E39-E38)*(D42/24))</f>
        <v>-1173.2452916666666</v>
      </c>
      <c r="H41" s="7"/>
      <c r="I41" s="8"/>
      <c r="J41" s="10"/>
    </row>
    <row r="42" spans="1:10" ht="15.6">
      <c r="C42" s="50"/>
      <c r="D42" s="226">
        <v>0.01</v>
      </c>
      <c r="E42" s="330">
        <f>ROUND(((E25)+(E39-E38)/2)*(D42/12),2)+(E40*0.01/12)</f>
        <v>-1173.9403833333333</v>
      </c>
      <c r="F42" s="387"/>
      <c r="G42" s="65">
        <f>E42-G41</f>
        <v>-0.69509166666671263</v>
      </c>
      <c r="H42" s="469" t="s">
        <v>231</v>
      </c>
      <c r="I42" s="10"/>
      <c r="J42" s="10"/>
    </row>
    <row r="43" spans="1:10" ht="16.2" thickBot="1">
      <c r="A43" s="5"/>
      <c r="B43" s="5"/>
      <c r="C43" s="50" t="s">
        <v>1</v>
      </c>
      <c r="D43" s="143">
        <f>A28</f>
        <v>41608</v>
      </c>
      <c r="E43" s="331">
        <f>SUM(E41:E42)</f>
        <v>-1339478.890383333</v>
      </c>
      <c r="F43" s="387"/>
      <c r="G43" s="7"/>
      <c r="H43" s="7"/>
      <c r="I43" s="8"/>
      <c r="J43" s="7"/>
    </row>
    <row r="44" spans="1:10" ht="16.2" thickTop="1" thickBot="1"/>
    <row r="45" spans="1:10" ht="15.6">
      <c r="A45" s="73" t="s">
        <v>142</v>
      </c>
      <c r="B45" s="74"/>
      <c r="C45" s="75"/>
      <c r="D45" s="76"/>
      <c r="E45" s="323"/>
      <c r="G45" s="16"/>
      <c r="H45" s="5"/>
      <c r="I45" s="56"/>
      <c r="J45" s="56"/>
    </row>
    <row r="46" spans="1:10" ht="15.6">
      <c r="A46" s="220">
        <f>EOMONTH(A28,1)</f>
        <v>41639</v>
      </c>
      <c r="B46" s="71"/>
      <c r="C46" s="16"/>
      <c r="D46" s="72" t="s">
        <v>23</v>
      </c>
      <c r="E46" s="324" t="s">
        <v>21</v>
      </c>
      <c r="G46" s="5"/>
      <c r="H46" s="5"/>
      <c r="I46" s="8"/>
      <c r="J46" s="10"/>
    </row>
    <row r="47" spans="1:10" ht="16.2" thickBot="1">
      <c r="A47" s="14"/>
      <c r="B47" s="18"/>
      <c r="C47" s="131" t="s">
        <v>21</v>
      </c>
      <c r="D47" s="131" t="s">
        <v>22</v>
      </c>
      <c r="E47" s="325" t="s">
        <v>23</v>
      </c>
      <c r="F47" s="387"/>
      <c r="G47" s="7"/>
      <c r="H47" s="7"/>
      <c r="I47" s="10"/>
      <c r="J47" s="10"/>
    </row>
    <row r="48" spans="1:10" ht="15.6">
      <c r="A48" s="2" t="s">
        <v>24</v>
      </c>
      <c r="B48" s="17">
        <v>101</v>
      </c>
      <c r="C48" s="254">
        <f>Jan!$K$36</f>
        <v>8841051</v>
      </c>
      <c r="D48" s="391">
        <v>1.482E-2</v>
      </c>
      <c r="E48" s="326">
        <f>C48*D48</f>
        <v>131024.37582</v>
      </c>
      <c r="F48" s="387"/>
      <c r="G48" s="7"/>
      <c r="H48" s="7"/>
      <c r="I48" s="8"/>
      <c r="J48" s="7"/>
    </row>
    <row r="49" spans="1:10" ht="16.2" thickBot="1">
      <c r="A49" s="2" t="s">
        <v>24</v>
      </c>
      <c r="B49" s="17">
        <v>111</v>
      </c>
      <c r="C49" s="254">
        <f>Jan!$K$37</f>
        <v>2843963</v>
      </c>
      <c r="D49" s="391">
        <v>1.482E-2</v>
      </c>
      <c r="E49" s="326">
        <f t="shared" ref="E49:E55" si="0">C49*D49</f>
        <v>42147.531660000001</v>
      </c>
      <c r="F49" s="387"/>
      <c r="G49" s="146">
        <f>A46</f>
        <v>41639</v>
      </c>
      <c r="H49" s="147"/>
      <c r="I49" s="147"/>
      <c r="J49" s="147"/>
    </row>
    <row r="50" spans="1:10" ht="16.2" thickBot="1">
      <c r="A50" s="2" t="s">
        <v>24</v>
      </c>
      <c r="B50" s="17">
        <v>112</v>
      </c>
      <c r="C50" s="254">
        <f>Jan!$K$38</f>
        <v>2754</v>
      </c>
      <c r="D50" s="391">
        <v>1.482E-2</v>
      </c>
      <c r="E50" s="326">
        <f t="shared" si="0"/>
        <v>40.814279999999997</v>
      </c>
      <c r="F50" s="387"/>
      <c r="G50" s="102" t="s">
        <v>25</v>
      </c>
      <c r="H50" s="148"/>
      <c r="I50" s="149" t="s">
        <v>18</v>
      </c>
      <c r="J50" s="150" t="s">
        <v>19</v>
      </c>
    </row>
    <row r="51" spans="1:10" ht="15.6">
      <c r="A51" s="2" t="s">
        <v>24</v>
      </c>
      <c r="B51" s="17">
        <v>121</v>
      </c>
      <c r="C51" s="254">
        <f>Jan!$K$39</f>
        <v>0</v>
      </c>
      <c r="D51" s="391">
        <v>1.482E-2</v>
      </c>
      <c r="E51" s="326">
        <f t="shared" si="0"/>
        <v>0</v>
      </c>
      <c r="F51" s="387"/>
      <c r="G51" s="151" t="s">
        <v>28</v>
      </c>
      <c r="H51" s="152" t="s">
        <v>77</v>
      </c>
      <c r="I51" s="108"/>
      <c r="J51" s="396">
        <f>IF(E60&gt;0,-E60,0)</f>
        <v>0</v>
      </c>
    </row>
    <row r="52" spans="1:10" ht="15.6">
      <c r="A52" s="2" t="s">
        <v>24</v>
      </c>
      <c r="B52" s="17">
        <v>122</v>
      </c>
      <c r="C52" s="254"/>
      <c r="D52" s="221"/>
      <c r="E52" s="326">
        <f t="shared" si="0"/>
        <v>0</v>
      </c>
      <c r="F52" s="387"/>
      <c r="G52" s="153" t="s">
        <v>29</v>
      </c>
      <c r="H52" s="7" t="s">
        <v>78</v>
      </c>
      <c r="I52" s="397">
        <f>IF(E60&lt;0,-E60,0)</f>
        <v>1044.06</v>
      </c>
      <c r="J52" s="223"/>
    </row>
    <row r="53" spans="1:10" ht="15.6">
      <c r="A53" s="2" t="s">
        <v>24</v>
      </c>
      <c r="B53" s="17">
        <v>131</v>
      </c>
      <c r="C53" s="254"/>
      <c r="D53" s="391"/>
      <c r="E53" s="326">
        <f t="shared" si="0"/>
        <v>0</v>
      </c>
      <c r="F53" s="387"/>
      <c r="G53" s="153" t="s">
        <v>99</v>
      </c>
      <c r="H53" s="7" t="s">
        <v>230</v>
      </c>
      <c r="I53" s="397">
        <f>IF((E43-E59)&gt;0,E43-E59,0)</f>
        <v>0</v>
      </c>
      <c r="J53" s="397">
        <f>IF((E43-E59)&lt;0,E43-E59,0)</f>
        <v>-173212.7217600001</v>
      </c>
    </row>
    <row r="54" spans="1:10" ht="15.6">
      <c r="A54" s="2" t="s">
        <v>24</v>
      </c>
      <c r="B54" s="17">
        <v>132</v>
      </c>
      <c r="C54" s="254">
        <f>Jan!$K$42</f>
        <v>0</v>
      </c>
      <c r="D54" s="391">
        <v>1.482E-2</v>
      </c>
      <c r="E54" s="326">
        <f t="shared" si="0"/>
        <v>0</v>
      </c>
      <c r="F54" s="387"/>
      <c r="G54" s="153" t="s">
        <v>10</v>
      </c>
      <c r="H54" s="7" t="s">
        <v>58</v>
      </c>
      <c r="I54" s="7"/>
      <c r="J54" s="462"/>
    </row>
    <row r="55" spans="1:10" ht="16.2" thickBot="1">
      <c r="A55" s="2" t="s">
        <v>24</v>
      </c>
      <c r="B55" s="17" t="s">
        <v>61</v>
      </c>
      <c r="C55" s="254"/>
      <c r="D55" s="121"/>
      <c r="E55" s="326">
        <f t="shared" si="0"/>
        <v>0</v>
      </c>
      <c r="F55" s="387"/>
      <c r="G55" s="154" t="s">
        <v>100</v>
      </c>
      <c r="H55" s="147" t="s">
        <v>209</v>
      </c>
      <c r="I55" s="464">
        <f>IF((E61-E43)&gt;0,E61-E43,0)</f>
        <v>172168.66176000005</v>
      </c>
      <c r="J55" s="107">
        <f>IF((E61-E43)&lt;0,E61-E43,0)</f>
        <v>0</v>
      </c>
    </row>
    <row r="56" spans="1:10" ht="15.6">
      <c r="A56" s="2" t="s">
        <v>156</v>
      </c>
      <c r="B56" s="70"/>
      <c r="C56" s="253"/>
      <c r="D56" s="136"/>
      <c r="E56" s="329">
        <v>0</v>
      </c>
      <c r="F56" s="387"/>
      <c r="G56" s="7"/>
      <c r="H56" s="7"/>
      <c r="I56" s="8"/>
      <c r="J56" s="262">
        <f>ROUND(SUM(I51:J55),2)</f>
        <v>0</v>
      </c>
    </row>
    <row r="57" spans="1:10" ht="16.2" thickBot="1">
      <c r="B57" s="6"/>
      <c r="C57" s="256">
        <f>SUM(C48:C56)</f>
        <v>11687768</v>
      </c>
      <c r="D57" s="155"/>
      <c r="E57" s="328">
        <f>SUM(E48:E56)</f>
        <v>173212.72175999999</v>
      </c>
      <c r="F57" s="387"/>
      <c r="G57" s="7"/>
      <c r="H57" s="7"/>
      <c r="I57" s="7"/>
      <c r="J57" s="7"/>
    </row>
    <row r="58" spans="1:10" ht="16.2" thickTop="1">
      <c r="B58" s="6"/>
      <c r="C58" s="257">
        <v>13799763</v>
      </c>
      <c r="D58" s="66" t="s">
        <v>161</v>
      </c>
      <c r="E58" s="329">
        <v>0</v>
      </c>
      <c r="F58" s="387"/>
      <c r="G58" s="65" t="s">
        <v>158</v>
      </c>
      <c r="H58" s="7"/>
      <c r="I58" s="12"/>
      <c r="J58" s="12"/>
    </row>
    <row r="59" spans="1:10" ht="15.6">
      <c r="C59" s="319">
        <f>C57-C58</f>
        <v>-2111995</v>
      </c>
      <c r="D59" s="66" t="s">
        <v>87</v>
      </c>
      <c r="E59" s="328">
        <f>E57+E58+E43</f>
        <v>-1166266.1686233329</v>
      </c>
      <c r="F59" s="387"/>
      <c r="G59" s="8">
        <f>(E43*(D60/12))+((E57-E56)*(D60/24))</f>
        <v>-1044.0604412527775</v>
      </c>
      <c r="H59" s="7"/>
      <c r="I59" s="8"/>
      <c r="J59" s="10"/>
    </row>
    <row r="60" spans="1:10" ht="15.6">
      <c r="C60" s="50"/>
      <c r="D60" s="226">
        <v>0.01</v>
      </c>
      <c r="E60" s="330">
        <f>ROUND(((E43)+(E57-E56)/2)*(D60/12),2)</f>
        <v>-1044.06</v>
      </c>
      <c r="F60" s="387"/>
      <c r="G60" s="65"/>
      <c r="H60" s="469"/>
      <c r="I60" s="10"/>
      <c r="J60" s="10"/>
    </row>
    <row r="61" spans="1:10" ht="16.2" thickBot="1">
      <c r="A61" s="5"/>
      <c r="B61" s="5"/>
      <c r="C61" s="50" t="s">
        <v>1</v>
      </c>
      <c r="D61" s="143">
        <f>A46</f>
        <v>41639</v>
      </c>
      <c r="E61" s="331">
        <f>SUM(E59:E60)</f>
        <v>-1167310.2286233329</v>
      </c>
      <c r="F61" s="387"/>
      <c r="G61" s="477" t="s">
        <v>246</v>
      </c>
      <c r="H61" s="478" t="e">
        <f>_xll.Get_Balance(I61,"YTD","USD","Total","A","","001","191015","GD","ID","DL")-E61</f>
        <v>#VALUE!</v>
      </c>
      <c r="I61" s="479">
        <v>201312</v>
      </c>
      <c r="J61" s="7"/>
    </row>
    <row r="62" spans="1:10" ht="15.6" thickTop="1"/>
    <row r="118" spans="16:16">
      <c r="P118" s="386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09375" defaultRowHeight="15"/>
  <cols>
    <col min="1" max="1" width="13.109375" style="1" customWidth="1"/>
    <col min="2" max="2" width="9.33203125" style="1" customWidth="1"/>
    <col min="3" max="3" width="17.88671875" style="1" customWidth="1"/>
    <col min="4" max="4" width="18.44140625" style="1" customWidth="1"/>
    <col min="5" max="5" width="20.109375" style="322" bestFit="1" customWidth="1"/>
    <col min="6" max="6" width="16.109375" style="1" customWidth="1"/>
    <col min="7" max="7" width="34.5546875" style="1" bestFit="1" customWidth="1"/>
    <col min="8" max="8" width="16.88671875" style="1" customWidth="1"/>
    <col min="9" max="9" width="18.33203125" style="1" bestFit="1" customWidth="1"/>
    <col min="10" max="10" width="18.33203125" style="1" customWidth="1"/>
    <col min="11" max="11" width="3.44140625" style="1" customWidth="1"/>
    <col min="12" max="16384" width="9.109375" style="1"/>
  </cols>
  <sheetData>
    <row r="1" spans="1:10" ht="15.6">
      <c r="A1" s="51" t="s">
        <v>13</v>
      </c>
    </row>
    <row r="2" spans="1:10" ht="15.6">
      <c r="A2" s="51" t="s">
        <v>46</v>
      </c>
    </row>
    <row r="3" spans="1:10" ht="15.6">
      <c r="A3" s="51" t="s">
        <v>170</v>
      </c>
    </row>
    <row r="4" spans="1:10" ht="15.6">
      <c r="A4" s="51" t="s">
        <v>171</v>
      </c>
    </row>
    <row r="7" spans="1:10" s="333" customFormat="1" ht="16.2" hidden="1" thickBot="1">
      <c r="A7" s="5"/>
      <c r="B7" s="5"/>
      <c r="C7" s="50" t="s">
        <v>1</v>
      </c>
      <c r="D7" s="143">
        <v>41182</v>
      </c>
      <c r="E7" s="331">
        <v>802311.62372397084</v>
      </c>
      <c r="F7" s="335"/>
      <c r="G7" s="7"/>
      <c r="H7" s="7"/>
      <c r="I7" s="8"/>
      <c r="J7" s="7"/>
    </row>
    <row r="8" spans="1:10" s="387" customFormat="1" ht="16.2" hidden="1" thickTop="1">
      <c r="D8" s="142" t="s">
        <v>210</v>
      </c>
      <c r="E8" s="328">
        <f>'ID Def 191010'!T17</f>
        <v>-2122091.5699999998</v>
      </c>
    </row>
    <row r="9" spans="1:10" s="387" customFormat="1" ht="16.2" hidden="1" thickBot="1">
      <c r="D9" s="142" t="s">
        <v>206</v>
      </c>
      <c r="E9" s="331">
        <f>E8+E7</f>
        <v>-1319779.9462760291</v>
      </c>
    </row>
    <row r="10" spans="1:10" s="333" customFormat="1" ht="16.2" hidden="1" thickTop="1" thickBot="1">
      <c r="E10" s="322"/>
    </row>
    <row r="11" spans="1:10" ht="15.6" hidden="1">
      <c r="A11" s="73" t="s">
        <v>142</v>
      </c>
      <c r="B11" s="74"/>
      <c r="C11" s="75"/>
      <c r="D11" s="76"/>
      <c r="E11" s="323"/>
      <c r="F11" s="333"/>
      <c r="G11" s="16"/>
      <c r="H11" s="5"/>
      <c r="I11" s="56"/>
      <c r="J11" s="56"/>
    </row>
    <row r="12" spans="1:10" ht="15.6" hidden="1">
      <c r="A12" s="220">
        <v>41213</v>
      </c>
      <c r="B12" s="71"/>
      <c r="C12" s="16"/>
      <c r="D12" s="72" t="s">
        <v>23</v>
      </c>
      <c r="E12" s="324" t="s">
        <v>21</v>
      </c>
      <c r="F12" s="333"/>
      <c r="G12" s="5"/>
      <c r="H12" s="5"/>
      <c r="I12" s="8"/>
      <c r="J12" s="10"/>
    </row>
    <row r="13" spans="1:10" ht="16.2" hidden="1" thickBot="1">
      <c r="A13" s="14"/>
      <c r="B13" s="18"/>
      <c r="C13" s="131" t="s">
        <v>21</v>
      </c>
      <c r="D13" s="131" t="s">
        <v>22</v>
      </c>
      <c r="E13" s="325" t="s">
        <v>23</v>
      </c>
      <c r="F13" s="335"/>
      <c r="G13" s="7"/>
      <c r="H13" s="7"/>
      <c r="I13" s="10"/>
      <c r="J13" s="10"/>
    </row>
    <row r="14" spans="1:10" ht="15.6" hidden="1">
      <c r="A14" s="2" t="s">
        <v>24</v>
      </c>
      <c r="B14" s="17">
        <v>101</v>
      </c>
      <c r="C14" s="254">
        <v>3765205</v>
      </c>
      <c r="D14" s="234">
        <v>1.7780000000000001E-2</v>
      </c>
      <c r="E14" s="326">
        <v>66929.279999999999</v>
      </c>
      <c r="F14" s="387" t="s">
        <v>188</v>
      </c>
      <c r="G14" s="7"/>
      <c r="H14" s="7"/>
      <c r="I14" s="8"/>
      <c r="J14" s="7"/>
    </row>
    <row r="15" spans="1:10" ht="16.2" hidden="1" thickBot="1">
      <c r="A15" s="2" t="s">
        <v>24</v>
      </c>
      <c r="B15" s="17">
        <v>111</v>
      </c>
      <c r="C15" s="254">
        <v>1887716</v>
      </c>
      <c r="D15" s="234">
        <v>1.7780000000000001E-2</v>
      </c>
      <c r="E15" s="326">
        <v>32198.03</v>
      </c>
      <c r="F15" s="387" t="s">
        <v>188</v>
      </c>
      <c r="G15" s="146">
        <f>A12</f>
        <v>41213</v>
      </c>
      <c r="H15" s="147"/>
      <c r="I15" s="147"/>
      <c r="J15" s="147"/>
    </row>
    <row r="16" spans="1:10" ht="16.2" hidden="1" thickBot="1">
      <c r="A16" s="2" t="s">
        <v>24</v>
      </c>
      <c r="B16" s="17">
        <v>112</v>
      </c>
      <c r="C16" s="254"/>
      <c r="D16" s="234"/>
      <c r="E16" s="326">
        <v>0</v>
      </c>
      <c r="F16" s="335"/>
      <c r="G16" s="102" t="s">
        <v>25</v>
      </c>
      <c r="H16" s="148"/>
      <c r="I16" s="149" t="s">
        <v>18</v>
      </c>
      <c r="J16" s="150" t="s">
        <v>19</v>
      </c>
    </row>
    <row r="17" spans="1:10" ht="15.6" hidden="1">
      <c r="A17" s="2" t="s">
        <v>24</v>
      </c>
      <c r="B17" s="17">
        <v>121</v>
      </c>
      <c r="C17" s="254"/>
      <c r="D17" s="221"/>
      <c r="E17" s="326">
        <v>0</v>
      </c>
      <c r="F17" s="335"/>
      <c r="G17" s="151" t="s">
        <v>28</v>
      </c>
      <c r="H17" s="152" t="s">
        <v>77</v>
      </c>
      <c r="I17" s="108"/>
      <c r="J17" s="396">
        <v>0</v>
      </c>
    </row>
    <row r="18" spans="1:10" ht="15.6" hidden="1">
      <c r="A18" s="2" t="s">
        <v>24</v>
      </c>
      <c r="B18" s="17">
        <v>122</v>
      </c>
      <c r="C18" s="255"/>
      <c r="D18" s="221"/>
      <c r="E18" s="326">
        <v>0</v>
      </c>
      <c r="F18" s="335"/>
      <c r="G18" s="153" t="s">
        <v>29</v>
      </c>
      <c r="H18" s="7" t="s">
        <v>78</v>
      </c>
      <c r="I18" s="397">
        <f>-E26</f>
        <v>1058.51</v>
      </c>
      <c r="J18" s="223"/>
    </row>
    <row r="19" spans="1:10" ht="15.6" hidden="1">
      <c r="A19" s="2" t="s">
        <v>24</v>
      </c>
      <c r="B19" s="17">
        <v>131</v>
      </c>
      <c r="C19" s="254">
        <v>0</v>
      </c>
      <c r="D19" s="234">
        <v>1.6570000000000001E-2</v>
      </c>
      <c r="E19" s="326">
        <v>0</v>
      </c>
      <c r="F19" s="335"/>
      <c r="G19" s="153" t="s">
        <v>99</v>
      </c>
      <c r="H19" s="7" t="s">
        <v>60</v>
      </c>
      <c r="I19" s="8"/>
      <c r="J19" s="98">
        <f>-E23-E24</f>
        <v>-147173</v>
      </c>
    </row>
    <row r="20" spans="1:10" ht="15.6" hidden="1">
      <c r="A20" s="2" t="s">
        <v>24</v>
      </c>
      <c r="B20" s="17">
        <v>132</v>
      </c>
      <c r="C20" s="255"/>
      <c r="D20" s="121"/>
      <c r="E20" s="326">
        <v>0</v>
      </c>
      <c r="F20" s="335"/>
      <c r="G20" s="153" t="s">
        <v>10</v>
      </c>
      <c r="H20" s="7" t="s">
        <v>58</v>
      </c>
      <c r="I20" s="7">
        <v>0</v>
      </c>
      <c r="J20" s="109"/>
    </row>
    <row r="21" spans="1:10" ht="16.2" hidden="1" thickBot="1">
      <c r="A21" s="2" t="s">
        <v>24</v>
      </c>
      <c r="B21" s="17" t="s">
        <v>61</v>
      </c>
      <c r="C21" s="255"/>
      <c r="D21" s="121"/>
      <c r="E21" s="326">
        <v>0</v>
      </c>
      <c r="F21" s="335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6" hidden="1">
      <c r="A22" s="2" t="s">
        <v>156</v>
      </c>
      <c r="B22" s="70"/>
      <c r="C22" s="253"/>
      <c r="D22" s="136"/>
      <c r="E22" s="327">
        <v>48045.69</v>
      </c>
      <c r="F22" s="335"/>
      <c r="G22" s="7"/>
      <c r="H22" s="7"/>
      <c r="I22" s="8"/>
      <c r="J22" s="262">
        <f>ROUND(SUM(I17:J21),2)</f>
        <v>0</v>
      </c>
    </row>
    <row r="23" spans="1:10" ht="16.2" hidden="1" thickBot="1">
      <c r="A23" s="333"/>
      <c r="B23" s="6"/>
      <c r="C23" s="256">
        <f>SUM(C14:C22)</f>
        <v>5652921</v>
      </c>
      <c r="D23" s="155"/>
      <c r="E23" s="328">
        <f>SUM(E14:E22)</f>
        <v>147173</v>
      </c>
      <c r="F23" s="335"/>
      <c r="G23" s="7"/>
      <c r="H23" s="7"/>
      <c r="I23" s="7"/>
      <c r="J23" s="7"/>
    </row>
    <row r="24" spans="1:10" ht="16.2" hidden="1" thickTop="1">
      <c r="A24" s="333"/>
      <c r="B24" s="6"/>
      <c r="C24" s="257">
        <v>5652921</v>
      </c>
      <c r="D24" s="66" t="s">
        <v>161</v>
      </c>
      <c r="E24" s="329">
        <v>0</v>
      </c>
      <c r="F24" s="335"/>
      <c r="G24" s="65" t="s">
        <v>158</v>
      </c>
      <c r="H24" s="7"/>
      <c r="I24" s="12"/>
      <c r="J24" s="12"/>
    </row>
    <row r="25" spans="1:10" ht="15.6" hidden="1">
      <c r="A25" s="333"/>
      <c r="B25" s="333"/>
      <c r="C25" s="319">
        <f>C23-C24</f>
        <v>0</v>
      </c>
      <c r="D25" s="66" t="s">
        <v>87</v>
      </c>
      <c r="E25" s="328">
        <f>E23+E24+E9</f>
        <v>-1172606.9462760291</v>
      </c>
      <c r="F25" s="335"/>
      <c r="G25" s="8">
        <f>(E9*(D26/12))+((E23-E22)*(D26/24))</f>
        <v>-1058.5135760633577</v>
      </c>
      <c r="H25" s="7"/>
      <c r="I25" s="8"/>
      <c r="J25" s="10"/>
    </row>
    <row r="26" spans="1:10" ht="15.6" hidden="1">
      <c r="A26" s="333"/>
      <c r="B26" s="333"/>
      <c r="C26" s="50"/>
      <c r="D26" s="226">
        <v>0.01</v>
      </c>
      <c r="E26" s="330">
        <f>ROUND(((E9)+(E23-E22)/2)*(D26/12),2)</f>
        <v>-1058.51</v>
      </c>
      <c r="F26" s="335"/>
      <c r="G26" s="65"/>
      <c r="H26" s="7"/>
      <c r="I26" s="10"/>
      <c r="J26" s="10"/>
    </row>
    <row r="27" spans="1:10" ht="16.2" hidden="1" thickBot="1">
      <c r="A27" s="5"/>
      <c r="B27" s="5"/>
      <c r="C27" s="50" t="s">
        <v>1</v>
      </c>
      <c r="D27" s="143">
        <f>A12</f>
        <v>41213</v>
      </c>
      <c r="E27" s="331">
        <f>SUM(E25:E26)</f>
        <v>-1173665.4562760291</v>
      </c>
      <c r="F27" s="335"/>
      <c r="G27" s="7"/>
      <c r="H27" s="7"/>
      <c r="I27" s="8"/>
      <c r="J27" s="7"/>
    </row>
    <row r="28" spans="1:10" ht="16.2" hidden="1" thickTop="1" thickBot="1"/>
    <row r="29" spans="1:10" ht="15.6" hidden="1">
      <c r="A29" s="73" t="s">
        <v>142</v>
      </c>
      <c r="B29" s="74"/>
      <c r="C29" s="75"/>
      <c r="D29" s="76"/>
      <c r="E29" s="323"/>
      <c r="F29" s="386"/>
      <c r="G29" s="16"/>
      <c r="H29" s="5"/>
      <c r="I29" s="56"/>
      <c r="J29" s="56"/>
    </row>
    <row r="30" spans="1:10" ht="15.6" hidden="1">
      <c r="A30" s="220">
        <v>41243</v>
      </c>
      <c r="B30" s="71"/>
      <c r="C30" s="16"/>
      <c r="D30" s="72" t="s">
        <v>23</v>
      </c>
      <c r="E30" s="324" t="s">
        <v>21</v>
      </c>
      <c r="F30" s="386"/>
      <c r="G30" s="5"/>
      <c r="H30" s="5"/>
      <c r="I30" s="8"/>
      <c r="J30" s="10"/>
    </row>
    <row r="31" spans="1:10" ht="16.2" hidden="1" thickBot="1">
      <c r="A31" s="14"/>
      <c r="B31" s="18"/>
      <c r="C31" s="131" t="s">
        <v>21</v>
      </c>
      <c r="D31" s="131" t="s">
        <v>22</v>
      </c>
      <c r="E31" s="325" t="s">
        <v>23</v>
      </c>
      <c r="F31" s="387"/>
      <c r="G31" s="7"/>
      <c r="H31" s="7"/>
      <c r="I31" s="10"/>
      <c r="J31" s="10"/>
    </row>
    <row r="32" spans="1:10" ht="15.6" hidden="1">
      <c r="A32" s="2" t="s">
        <v>24</v>
      </c>
      <c r="B32" s="17">
        <v>101</v>
      </c>
      <c r="C32" s="254">
        <v>6036412</v>
      </c>
      <c r="D32" s="391">
        <v>1.7780000000000001E-2</v>
      </c>
      <c r="E32" s="326">
        <v>74956.77</v>
      </c>
      <c r="F32" s="387" t="s">
        <v>188</v>
      </c>
      <c r="G32" s="7"/>
      <c r="H32" s="7"/>
      <c r="I32" s="8"/>
      <c r="J32" s="7"/>
    </row>
    <row r="33" spans="1:10" ht="16.2" hidden="1" thickBot="1">
      <c r="A33" s="2" t="s">
        <v>24</v>
      </c>
      <c r="B33" s="17">
        <v>111</v>
      </c>
      <c r="C33" s="254">
        <v>1867362</v>
      </c>
      <c r="D33" s="391">
        <v>1.7780000000000001E-2</v>
      </c>
      <c r="E33" s="326">
        <v>15979.81</v>
      </c>
      <c r="F33" s="387" t="s">
        <v>188</v>
      </c>
      <c r="G33" s="146">
        <v>41243</v>
      </c>
      <c r="H33" s="147"/>
      <c r="I33" s="147"/>
      <c r="J33" s="147"/>
    </row>
    <row r="34" spans="1:10" ht="16.2" hidden="1" thickBot="1">
      <c r="A34" s="2" t="s">
        <v>24</v>
      </c>
      <c r="B34" s="17">
        <v>112</v>
      </c>
      <c r="C34" s="254"/>
      <c r="D34" s="391"/>
      <c r="E34" s="326">
        <v>0</v>
      </c>
      <c r="F34" s="387"/>
      <c r="G34" s="102" t="s">
        <v>216</v>
      </c>
      <c r="H34" s="148"/>
      <c r="I34" s="149" t="s">
        <v>18</v>
      </c>
      <c r="J34" s="150" t="s">
        <v>19</v>
      </c>
    </row>
    <row r="35" spans="1:10" ht="15.6" hidden="1">
      <c r="A35" s="2" t="s">
        <v>24</v>
      </c>
      <c r="B35" s="17">
        <v>121</v>
      </c>
      <c r="C35" s="254"/>
      <c r="D35" s="221"/>
      <c r="E35" s="326">
        <v>0</v>
      </c>
      <c r="F35" s="387"/>
      <c r="G35" s="151" t="s">
        <v>28</v>
      </c>
      <c r="H35" s="152" t="s">
        <v>77</v>
      </c>
      <c r="I35" s="108"/>
      <c r="J35" s="396">
        <v>0</v>
      </c>
    </row>
    <row r="36" spans="1:10" ht="15.6" hidden="1">
      <c r="A36" s="2" t="s">
        <v>24</v>
      </c>
      <c r="B36" s="17">
        <v>122</v>
      </c>
      <c r="C36" s="255"/>
      <c r="D36" s="221"/>
      <c r="E36" s="326">
        <v>0</v>
      </c>
      <c r="F36" s="387"/>
      <c r="G36" s="153" t="s">
        <v>29</v>
      </c>
      <c r="H36" s="7" t="s">
        <v>78</v>
      </c>
      <c r="I36" s="397">
        <v>940.16</v>
      </c>
      <c r="J36" s="223"/>
    </row>
    <row r="37" spans="1:10" ht="15.6" hidden="1">
      <c r="A37" s="2" t="s">
        <v>24</v>
      </c>
      <c r="B37" s="17">
        <v>131</v>
      </c>
      <c r="C37" s="254">
        <v>0</v>
      </c>
      <c r="D37" s="391">
        <v>1.6570000000000001E-2</v>
      </c>
      <c r="E37" s="326">
        <v>0</v>
      </c>
      <c r="F37" s="387"/>
      <c r="G37" s="153" t="s">
        <v>99</v>
      </c>
      <c r="H37" s="7" t="s">
        <v>60</v>
      </c>
      <c r="I37" s="8"/>
      <c r="J37" s="98">
        <v>-90758.61</v>
      </c>
    </row>
    <row r="38" spans="1:10" ht="15.6" hidden="1">
      <c r="A38" s="2" t="s">
        <v>24</v>
      </c>
      <c r="B38" s="17">
        <v>132</v>
      </c>
      <c r="C38" s="255"/>
      <c r="D38" s="121"/>
      <c r="E38" s="326">
        <v>0</v>
      </c>
      <c r="F38" s="387"/>
      <c r="G38" s="153" t="s">
        <v>10</v>
      </c>
      <c r="H38" s="7" t="s">
        <v>58</v>
      </c>
      <c r="I38" s="7">
        <v>0</v>
      </c>
      <c r="J38" s="109"/>
    </row>
    <row r="39" spans="1:10" ht="16.2" hidden="1" thickBot="1">
      <c r="A39" s="2" t="s">
        <v>24</v>
      </c>
      <c r="B39" s="17" t="s">
        <v>61</v>
      </c>
      <c r="C39" s="255"/>
      <c r="D39" s="121"/>
      <c r="E39" s="326">
        <v>0</v>
      </c>
      <c r="F39" s="387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6" hidden="1">
      <c r="A40" s="2" t="s">
        <v>156</v>
      </c>
      <c r="B40" s="70"/>
      <c r="C40" s="253"/>
      <c r="D40" s="136"/>
      <c r="E40" s="327">
        <v>0</v>
      </c>
      <c r="F40" s="387"/>
      <c r="G40" s="7"/>
      <c r="H40" s="7"/>
      <c r="I40" s="8"/>
      <c r="J40" s="262">
        <v>0</v>
      </c>
    </row>
    <row r="41" spans="1:10" ht="16.2" hidden="1" thickBot="1">
      <c r="A41" s="386"/>
      <c r="B41" s="6"/>
      <c r="C41" s="256">
        <v>7903774</v>
      </c>
      <c r="D41" s="155"/>
      <c r="E41" s="328">
        <v>90936.58</v>
      </c>
      <c r="F41" s="387"/>
      <c r="G41" s="7"/>
      <c r="H41" s="7"/>
      <c r="I41" s="7"/>
      <c r="J41" s="7"/>
    </row>
    <row r="42" spans="1:10" ht="16.2" hidden="1" thickTop="1">
      <c r="A42" s="386"/>
      <c r="B42" s="6"/>
      <c r="C42" s="257">
        <v>7903774</v>
      </c>
      <c r="D42" s="66" t="s">
        <v>161</v>
      </c>
      <c r="E42" s="329">
        <v>-177.97000000000116</v>
      </c>
      <c r="F42" s="387"/>
      <c r="G42" s="65" t="s">
        <v>158</v>
      </c>
      <c r="H42" s="7"/>
      <c r="I42" s="12"/>
      <c r="J42" s="12"/>
    </row>
    <row r="43" spans="1:10" ht="15.6" hidden="1">
      <c r="A43" s="386"/>
      <c r="B43" s="386"/>
      <c r="C43" s="319">
        <v>0</v>
      </c>
      <c r="D43" s="66" t="s">
        <v>87</v>
      </c>
      <c r="E43" s="328">
        <v>-1082906.846276029</v>
      </c>
      <c r="F43" s="387"/>
      <c r="G43" s="8">
        <v>-940.16430523002441</v>
      </c>
      <c r="H43" s="7"/>
      <c r="I43" s="8"/>
      <c r="J43" s="10"/>
    </row>
    <row r="44" spans="1:10" ht="15.6" hidden="1">
      <c r="A44" s="386"/>
      <c r="B44" s="386"/>
      <c r="C44" s="50"/>
      <c r="D44" s="226">
        <v>0.01</v>
      </c>
      <c r="E44" s="330">
        <v>-940.16</v>
      </c>
      <c r="F44" s="387"/>
      <c r="G44" s="65"/>
      <c r="H44" s="7"/>
      <c r="I44" s="10"/>
      <c r="J44" s="10"/>
    </row>
    <row r="45" spans="1:10" ht="16.2" hidden="1" thickBot="1">
      <c r="A45" s="5"/>
      <c r="B45" s="5"/>
      <c r="C45" s="50" t="s">
        <v>1</v>
      </c>
      <c r="D45" s="143">
        <v>41243</v>
      </c>
      <c r="E45" s="331">
        <v>-1083847.0062760289</v>
      </c>
      <c r="F45" s="387"/>
      <c r="G45" s="7"/>
      <c r="H45" s="7"/>
      <c r="I45" s="8"/>
      <c r="J45" s="7"/>
    </row>
    <row r="46" spans="1:10" s="386" customFormat="1" ht="16.2" hidden="1" thickTop="1" thickBot="1">
      <c r="E46" s="322"/>
    </row>
    <row r="47" spans="1:10" s="386" customFormat="1" ht="15.6" hidden="1">
      <c r="A47" s="73" t="s">
        <v>142</v>
      </c>
      <c r="B47" s="74"/>
      <c r="C47" s="75"/>
      <c r="D47" s="76"/>
      <c r="E47" s="323"/>
      <c r="G47" s="16"/>
      <c r="H47" s="5"/>
      <c r="I47" s="56"/>
      <c r="J47" s="56"/>
    </row>
    <row r="48" spans="1:10" s="386" customFormat="1" ht="15.6" hidden="1">
      <c r="A48" s="220" t="s">
        <v>221</v>
      </c>
      <c r="B48" s="71"/>
      <c r="C48" s="16"/>
      <c r="D48" s="72" t="s">
        <v>23</v>
      </c>
      <c r="E48" s="324" t="s">
        <v>21</v>
      </c>
      <c r="G48" s="5"/>
      <c r="H48" s="5"/>
      <c r="I48" s="8"/>
      <c r="J48" s="10"/>
    </row>
    <row r="49" spans="1:10" s="386" customFormat="1" ht="16.2" hidden="1" thickBot="1">
      <c r="A49" s="14"/>
      <c r="B49" s="18"/>
      <c r="C49" s="131" t="s">
        <v>21</v>
      </c>
      <c r="D49" s="131" t="s">
        <v>22</v>
      </c>
      <c r="E49" s="325" t="s">
        <v>23</v>
      </c>
      <c r="F49" s="387"/>
      <c r="G49" s="7"/>
      <c r="H49" s="7"/>
      <c r="I49" s="10"/>
      <c r="J49" s="10"/>
    </row>
    <row r="50" spans="1:10" s="386" customFormat="1" ht="15.6" hidden="1">
      <c r="A50" s="2" t="s">
        <v>24</v>
      </c>
      <c r="B50" s="17">
        <v>101</v>
      </c>
      <c r="C50" s="254">
        <v>6036412</v>
      </c>
      <c r="D50" s="391">
        <v>1.7780000000000001E-2</v>
      </c>
      <c r="E50" s="326">
        <v>107587.32</v>
      </c>
      <c r="F50" s="387" t="s">
        <v>188</v>
      </c>
      <c r="G50" s="7"/>
      <c r="H50" s="7"/>
      <c r="I50" s="8"/>
      <c r="J50" s="7"/>
    </row>
    <row r="51" spans="1:10" s="386" customFormat="1" ht="16.2" hidden="1" thickBot="1">
      <c r="A51" s="2" t="s">
        <v>24</v>
      </c>
      <c r="B51" s="17">
        <v>111</v>
      </c>
      <c r="C51" s="254">
        <v>1867362</v>
      </c>
      <c r="D51" s="391">
        <v>1.7780000000000001E-2</v>
      </c>
      <c r="E51" s="326">
        <v>33861.39</v>
      </c>
      <c r="F51" s="387" t="s">
        <v>188</v>
      </c>
      <c r="G51" s="401" t="str">
        <f>A48</f>
        <v>11-30-2012 - Corrected</v>
      </c>
      <c r="H51" s="402"/>
      <c r="I51" s="402"/>
      <c r="J51" s="402"/>
    </row>
    <row r="52" spans="1:10" s="386" customFormat="1" ht="16.2" hidden="1" thickBot="1">
      <c r="A52" s="2" t="s">
        <v>24</v>
      </c>
      <c r="B52" s="17">
        <v>112</v>
      </c>
      <c r="C52" s="254"/>
      <c r="D52" s="391"/>
      <c r="E52" s="326">
        <f t="shared" ref="E52:E57" si="0">C52*D52</f>
        <v>0</v>
      </c>
      <c r="F52" s="387"/>
      <c r="G52" s="403" t="s">
        <v>217</v>
      </c>
      <c r="H52" s="404"/>
      <c r="I52" s="405" t="s">
        <v>18</v>
      </c>
      <c r="J52" s="406" t="s">
        <v>19</v>
      </c>
    </row>
    <row r="53" spans="1:10" s="386" customFormat="1" ht="15.6" hidden="1">
      <c r="A53" s="2" t="s">
        <v>24</v>
      </c>
      <c r="B53" s="17">
        <v>121</v>
      </c>
      <c r="C53" s="254"/>
      <c r="D53" s="221"/>
      <c r="E53" s="326">
        <f t="shared" si="0"/>
        <v>0</v>
      </c>
      <c r="F53" s="387"/>
      <c r="G53" s="407" t="s">
        <v>28</v>
      </c>
      <c r="H53" s="408" t="s">
        <v>77</v>
      </c>
      <c r="I53" s="409"/>
      <c r="J53" s="410">
        <v>0</v>
      </c>
    </row>
    <row r="54" spans="1:10" s="386" customFormat="1" ht="15.6" hidden="1">
      <c r="A54" s="2" t="s">
        <v>24</v>
      </c>
      <c r="B54" s="17">
        <v>122</v>
      </c>
      <c r="C54" s="255"/>
      <c r="D54" s="221"/>
      <c r="E54" s="326">
        <f t="shared" si="0"/>
        <v>0</v>
      </c>
      <c r="F54" s="387"/>
      <c r="G54" s="411" t="s">
        <v>29</v>
      </c>
      <c r="H54" s="412" t="s">
        <v>78</v>
      </c>
      <c r="I54" s="413">
        <v>0</v>
      </c>
      <c r="J54" s="414">
        <f>-E62+E44</f>
        <v>-95.889999999999986</v>
      </c>
    </row>
    <row r="55" spans="1:10" s="386" customFormat="1" ht="15.6" hidden="1">
      <c r="A55" s="2" t="s">
        <v>24</v>
      </c>
      <c r="B55" s="17">
        <v>131</v>
      </c>
      <c r="C55" s="254">
        <v>0</v>
      </c>
      <c r="D55" s="391">
        <v>1.6570000000000001E-2</v>
      </c>
      <c r="E55" s="326">
        <f t="shared" si="0"/>
        <v>0</v>
      </c>
      <c r="F55" s="387"/>
      <c r="G55" s="411" t="s">
        <v>99</v>
      </c>
      <c r="H55" s="412" t="s">
        <v>60</v>
      </c>
      <c r="I55" s="332">
        <v>0</v>
      </c>
      <c r="J55" s="415">
        <f>E41-E59</f>
        <v>-50512.130000000019</v>
      </c>
    </row>
    <row r="56" spans="1:10" s="386" customFormat="1" ht="15.6" hidden="1">
      <c r="A56" s="2" t="s">
        <v>24</v>
      </c>
      <c r="B56" s="17">
        <v>132</v>
      </c>
      <c r="C56" s="255"/>
      <c r="D56" s="121"/>
      <c r="E56" s="326">
        <f t="shared" si="0"/>
        <v>0</v>
      </c>
      <c r="F56" s="387"/>
      <c r="G56" s="411" t="s">
        <v>10</v>
      </c>
      <c r="H56" s="412" t="s">
        <v>58</v>
      </c>
      <c r="I56" s="412">
        <v>0</v>
      </c>
      <c r="J56" s="416"/>
    </row>
    <row r="57" spans="1:10" s="386" customFormat="1" ht="16.2" hidden="1" thickBot="1">
      <c r="A57" s="2" t="s">
        <v>24</v>
      </c>
      <c r="B57" s="17" t="s">
        <v>61</v>
      </c>
      <c r="C57" s="255"/>
      <c r="D57" s="121"/>
      <c r="E57" s="326">
        <f t="shared" si="0"/>
        <v>0</v>
      </c>
      <c r="F57" s="387"/>
      <c r="G57" s="417" t="s">
        <v>100</v>
      </c>
      <c r="H57" s="402" t="s">
        <v>62</v>
      </c>
      <c r="I57" s="418">
        <f>-J55-J54</f>
        <v>50608.020000000019</v>
      </c>
      <c r="J57" s="419">
        <v>0</v>
      </c>
    </row>
    <row r="58" spans="1:10" s="386" customFormat="1" ht="15.6" hidden="1">
      <c r="A58" s="2" t="s">
        <v>156</v>
      </c>
      <c r="B58" s="70"/>
      <c r="C58" s="253"/>
      <c r="D58" s="136"/>
      <c r="E58" s="327">
        <v>0</v>
      </c>
      <c r="F58" s="387"/>
      <c r="G58" s="412"/>
      <c r="H58" s="412"/>
      <c r="I58" s="332"/>
      <c r="J58" s="332">
        <f>ROUND(SUM(I53:J57),2)</f>
        <v>0</v>
      </c>
    </row>
    <row r="59" spans="1:10" s="386" customFormat="1" ht="16.2" hidden="1" thickBot="1">
      <c r="B59" s="6"/>
      <c r="C59" s="256">
        <f>SUM(C50:C58)</f>
        <v>7903774</v>
      </c>
      <c r="D59" s="155"/>
      <c r="E59" s="328">
        <f>SUM(E50:E58)</f>
        <v>141448.71000000002</v>
      </c>
      <c r="F59" s="387"/>
      <c r="G59" s="7"/>
      <c r="H59" s="7"/>
      <c r="I59" s="7"/>
      <c r="J59" s="7"/>
    </row>
    <row r="60" spans="1:10" s="386" customFormat="1" ht="16.2" hidden="1" thickTop="1">
      <c r="B60" s="6"/>
      <c r="C60" s="257">
        <v>7903774</v>
      </c>
      <c r="D60" s="66" t="s">
        <v>161</v>
      </c>
      <c r="E60" s="329">
        <f>47867.72-48045.69</f>
        <v>-177.97000000000116</v>
      </c>
      <c r="F60" s="387"/>
      <c r="G60" s="65" t="s">
        <v>158</v>
      </c>
      <c r="H60" s="7"/>
      <c r="I60" s="12"/>
      <c r="J60" s="12"/>
    </row>
    <row r="61" spans="1:10" s="386" customFormat="1" ht="15.6" hidden="1">
      <c r="C61" s="319">
        <f>C59-C60</f>
        <v>0</v>
      </c>
      <c r="D61" s="66" t="s">
        <v>87</v>
      </c>
      <c r="E61" s="328">
        <f>E59+E60+E27</f>
        <v>-1032394.7162760291</v>
      </c>
      <c r="F61" s="387"/>
      <c r="G61" s="8">
        <f>(E45*(D62/12))+(E59*(D62/24))</f>
        <v>-844.26887606335742</v>
      </c>
      <c r="H61" s="7"/>
      <c r="I61" s="8"/>
      <c r="J61" s="10"/>
    </row>
    <row r="62" spans="1:10" s="386" customFormat="1" ht="15.6" hidden="1">
      <c r="C62" s="50"/>
      <c r="D62" s="226">
        <v>0.01</v>
      </c>
      <c r="E62" s="330">
        <f>ROUND(((E45)+(E59)/2)*(D62/12),2)</f>
        <v>-844.27</v>
      </c>
      <c r="F62" s="387"/>
      <c r="G62" s="65"/>
      <c r="H62" s="7"/>
      <c r="I62" s="10"/>
      <c r="J62" s="10"/>
    </row>
    <row r="63" spans="1:10" s="386" customFormat="1" ht="16.2" hidden="1" thickBot="1">
      <c r="A63" s="5"/>
      <c r="B63" s="5"/>
      <c r="C63" s="50" t="s">
        <v>1</v>
      </c>
      <c r="D63" s="143" t="str">
        <f>A48</f>
        <v>11-30-2012 - Corrected</v>
      </c>
      <c r="E63" s="331">
        <f>SUM(E61:E62)</f>
        <v>-1033238.9862760291</v>
      </c>
      <c r="F63" s="387"/>
      <c r="G63" s="7"/>
      <c r="H63" s="7"/>
      <c r="I63" s="8"/>
      <c r="J63" s="7"/>
    </row>
    <row r="64" spans="1:10" s="386" customFormat="1" ht="16.2" hidden="1" thickTop="1" thickBot="1">
      <c r="E64" s="322"/>
    </row>
    <row r="65" spans="1:10" s="386" customFormat="1" ht="15.6" hidden="1">
      <c r="A65" s="73" t="s">
        <v>142</v>
      </c>
      <c r="B65" s="74"/>
      <c r="C65" s="75"/>
      <c r="D65" s="76"/>
      <c r="E65" s="323"/>
      <c r="G65" s="16"/>
      <c r="H65" s="5"/>
      <c r="I65" s="56"/>
      <c r="J65" s="56"/>
    </row>
    <row r="66" spans="1:10" s="386" customFormat="1" ht="15.6" hidden="1">
      <c r="A66" s="220">
        <v>41274</v>
      </c>
      <c r="B66" s="71"/>
      <c r="C66" s="16"/>
      <c r="D66" s="72" t="s">
        <v>23</v>
      </c>
      <c r="E66" s="324" t="s">
        <v>21</v>
      </c>
      <c r="G66" s="5"/>
      <c r="H66" s="5"/>
      <c r="I66" s="8"/>
      <c r="J66" s="10"/>
    </row>
    <row r="67" spans="1:10" s="386" customFormat="1" ht="16.2" hidden="1" thickBot="1">
      <c r="A67" s="14"/>
      <c r="B67" s="18"/>
      <c r="C67" s="131" t="s">
        <v>21</v>
      </c>
      <c r="D67" s="131" t="s">
        <v>22</v>
      </c>
      <c r="E67" s="325" t="s">
        <v>23</v>
      </c>
      <c r="F67" s="387"/>
      <c r="G67" s="7"/>
      <c r="H67" s="7"/>
      <c r="I67" s="10"/>
      <c r="J67" s="10"/>
    </row>
    <row r="68" spans="1:10" s="386" customFormat="1" ht="15.6" hidden="1">
      <c r="A68" s="2" t="s">
        <v>24</v>
      </c>
      <c r="B68" s="17">
        <v>101</v>
      </c>
      <c r="C68" s="254">
        <v>8220978</v>
      </c>
      <c r="D68" s="391">
        <v>1.7780000000000001E-2</v>
      </c>
      <c r="E68" s="326">
        <f>C68*D68</f>
        <v>146168.98884000001</v>
      </c>
      <c r="F68" s="387"/>
      <c r="G68" s="7"/>
      <c r="H68" s="7"/>
      <c r="I68" s="8"/>
      <c r="J68" s="7"/>
    </row>
    <row r="69" spans="1:10" s="386" customFormat="1" ht="16.2" hidden="1" thickBot="1">
      <c r="A69" s="2" t="s">
        <v>24</v>
      </c>
      <c r="B69" s="17">
        <v>111</v>
      </c>
      <c r="C69" s="254">
        <v>2679003</v>
      </c>
      <c r="D69" s="391">
        <v>1.7780000000000001E-2</v>
      </c>
      <c r="E69" s="326">
        <f t="shared" ref="E69:E76" si="1">C69*D69</f>
        <v>47632.673340000001</v>
      </c>
      <c r="F69" s="387"/>
      <c r="G69" s="146">
        <f>A66</f>
        <v>41274</v>
      </c>
      <c r="H69" s="147"/>
      <c r="I69" s="147"/>
      <c r="J69" s="147"/>
    </row>
    <row r="70" spans="1:10" s="386" customFormat="1" ht="16.2" hidden="1" thickBot="1">
      <c r="A70" s="2" t="s">
        <v>24</v>
      </c>
      <c r="B70" s="17">
        <v>112</v>
      </c>
      <c r="C70" s="254"/>
      <c r="D70" s="391"/>
      <c r="E70" s="326">
        <f t="shared" si="1"/>
        <v>0</v>
      </c>
      <c r="F70" s="387"/>
      <c r="G70" s="102" t="s">
        <v>25</v>
      </c>
      <c r="H70" s="148"/>
      <c r="I70" s="149" t="s">
        <v>18</v>
      </c>
      <c r="J70" s="150" t="s">
        <v>19</v>
      </c>
    </row>
    <row r="71" spans="1:10" s="386" customFormat="1" ht="15.6" hidden="1">
      <c r="A71" s="2" t="s">
        <v>24</v>
      </c>
      <c r="B71" s="17">
        <v>121</v>
      </c>
      <c r="C71" s="254"/>
      <c r="D71" s="221"/>
      <c r="E71" s="326">
        <f t="shared" si="1"/>
        <v>0</v>
      </c>
      <c r="F71" s="387"/>
      <c r="G71" s="151" t="s">
        <v>28</v>
      </c>
      <c r="H71" s="152" t="s">
        <v>77</v>
      </c>
      <c r="I71" s="108"/>
      <c r="J71" s="396">
        <v>0</v>
      </c>
    </row>
    <row r="72" spans="1:10" s="386" customFormat="1" ht="15.6" hidden="1">
      <c r="A72" s="2" t="s">
        <v>24</v>
      </c>
      <c r="B72" s="17">
        <v>122</v>
      </c>
      <c r="C72" s="255"/>
      <c r="D72" s="221"/>
      <c r="E72" s="326">
        <f t="shared" si="1"/>
        <v>0</v>
      </c>
      <c r="F72" s="387"/>
      <c r="G72" s="153" t="s">
        <v>29</v>
      </c>
      <c r="H72" s="7" t="s">
        <v>78</v>
      </c>
      <c r="I72" s="397">
        <f>-E80</f>
        <v>780.28</v>
      </c>
      <c r="J72" s="223"/>
    </row>
    <row r="73" spans="1:10" s="386" customFormat="1" ht="15.6" hidden="1">
      <c r="A73" s="2" t="s">
        <v>24</v>
      </c>
      <c r="B73" s="17">
        <v>131</v>
      </c>
      <c r="C73" s="254">
        <v>0</v>
      </c>
      <c r="D73" s="391">
        <v>1.6570000000000001E-2</v>
      </c>
      <c r="E73" s="326">
        <f t="shared" si="1"/>
        <v>0</v>
      </c>
      <c r="F73" s="387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6" customFormat="1" ht="15.6" hidden="1">
      <c r="A74" s="2" t="s">
        <v>24</v>
      </c>
      <c r="B74" s="17">
        <v>132</v>
      </c>
      <c r="C74" s="255"/>
      <c r="D74" s="121"/>
      <c r="E74" s="326">
        <f t="shared" si="1"/>
        <v>0</v>
      </c>
      <c r="F74" s="387"/>
      <c r="G74" s="153" t="s">
        <v>10</v>
      </c>
      <c r="H74" s="7" t="s">
        <v>58</v>
      </c>
      <c r="I74" s="7">
        <v>0</v>
      </c>
      <c r="J74" s="109"/>
    </row>
    <row r="75" spans="1:10" s="386" customFormat="1" ht="16.2" hidden="1" thickBot="1">
      <c r="A75" s="2" t="s">
        <v>24</v>
      </c>
      <c r="B75" s="17" t="s">
        <v>61</v>
      </c>
      <c r="C75" s="255"/>
      <c r="D75" s="121"/>
      <c r="E75" s="326">
        <f t="shared" si="1"/>
        <v>0</v>
      </c>
      <c r="F75" s="387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6" customFormat="1" ht="15.6" hidden="1">
      <c r="A76" s="2" t="s">
        <v>156</v>
      </c>
      <c r="B76" s="70"/>
      <c r="C76" s="253"/>
      <c r="D76" s="136"/>
      <c r="E76" s="327">
        <f t="shared" si="1"/>
        <v>0</v>
      </c>
      <c r="F76" s="387"/>
      <c r="G76" s="7"/>
      <c r="H76" s="7"/>
      <c r="I76" s="8"/>
      <c r="J76" s="262">
        <f>ROUND(SUM(I71:J75),2)</f>
        <v>0</v>
      </c>
    </row>
    <row r="77" spans="1:10" s="386" customFormat="1" ht="16.2" hidden="1" thickBot="1">
      <c r="B77" s="6"/>
      <c r="C77" s="256">
        <f>SUM(C68:C76)</f>
        <v>10899981</v>
      </c>
      <c r="D77" s="155"/>
      <c r="E77" s="328">
        <f>SUM(E68:E76)</f>
        <v>193801.66218000001</v>
      </c>
      <c r="F77" s="387"/>
      <c r="G77" s="7"/>
      <c r="H77" s="7"/>
      <c r="I77" s="7"/>
      <c r="J77" s="7"/>
    </row>
    <row r="78" spans="1:10" s="386" customFormat="1" ht="16.2" hidden="1" thickTop="1">
      <c r="B78" s="6"/>
      <c r="C78" s="257">
        <v>10899981</v>
      </c>
      <c r="D78" s="66" t="s">
        <v>161</v>
      </c>
      <c r="E78" s="329">
        <v>0</v>
      </c>
      <c r="F78" s="387"/>
      <c r="G78" s="65" t="s">
        <v>158</v>
      </c>
      <c r="H78" s="7"/>
      <c r="I78" s="12"/>
      <c r="J78" s="12"/>
    </row>
    <row r="79" spans="1:10" s="386" customFormat="1" ht="15.6" hidden="1">
      <c r="C79" s="319">
        <f>C77-C78</f>
        <v>0</v>
      </c>
      <c r="D79" s="66" t="s">
        <v>87</v>
      </c>
      <c r="E79" s="328">
        <f>E77+E78+E63</f>
        <v>-839437.32409602916</v>
      </c>
      <c r="F79" s="387"/>
      <c r="G79" s="8">
        <f>(E63*(D80/12))+(E77*(D80/24))</f>
        <v>-780.28179598835766</v>
      </c>
      <c r="H79" s="7"/>
      <c r="I79" s="8"/>
      <c r="J79" s="10"/>
    </row>
    <row r="80" spans="1:10" s="386" customFormat="1" ht="15.6" hidden="1">
      <c r="C80" s="50"/>
      <c r="D80" s="226">
        <v>0.01</v>
      </c>
      <c r="E80" s="330">
        <f>ROUND(((E63)+(E77)/2)*(D80/12),2)</f>
        <v>-780.28</v>
      </c>
      <c r="F80" s="387"/>
      <c r="G80" s="65"/>
      <c r="H80" s="7"/>
      <c r="I80" s="10"/>
      <c r="J80" s="10"/>
    </row>
    <row r="81" spans="1:10" s="386" customFormat="1" ht="16.2" hidden="1" thickBot="1">
      <c r="A81" s="5"/>
      <c r="B81" s="5"/>
      <c r="C81" s="50" t="s">
        <v>1</v>
      </c>
      <c r="D81" s="143">
        <f>A66</f>
        <v>41274</v>
      </c>
      <c r="E81" s="331">
        <f>SUM(E79:E80)</f>
        <v>-840217.60409602919</v>
      </c>
      <c r="F81" s="387"/>
      <c r="G81" s="7"/>
      <c r="H81" s="7"/>
      <c r="I81" s="8"/>
      <c r="J81" s="7"/>
    </row>
    <row r="82" spans="1:10" s="386" customFormat="1" ht="15.6" hidden="1" thickTop="1">
      <c r="E82" s="322"/>
    </row>
    <row r="83" spans="1:10" s="386" customFormat="1" ht="15.6" hidden="1">
      <c r="A83" s="73" t="s">
        <v>142</v>
      </c>
      <c r="B83" s="74"/>
      <c r="C83" s="75"/>
      <c r="D83" s="76"/>
      <c r="E83" s="323"/>
      <c r="G83" s="16"/>
      <c r="H83" s="5"/>
      <c r="I83" s="56"/>
      <c r="J83" s="56"/>
    </row>
    <row r="84" spans="1:10" s="386" customFormat="1" ht="15.6" hidden="1">
      <c r="A84" s="220">
        <v>41275</v>
      </c>
      <c r="B84" s="71"/>
      <c r="C84" s="16"/>
      <c r="D84" s="72" t="s">
        <v>23</v>
      </c>
      <c r="E84" s="324" t="s">
        <v>21</v>
      </c>
      <c r="G84" s="5"/>
      <c r="H84" s="5"/>
      <c r="I84" s="8"/>
      <c r="J84" s="10"/>
    </row>
    <row r="85" spans="1:10" s="386" customFormat="1" ht="16.2" hidden="1" thickBot="1">
      <c r="A85" s="14"/>
      <c r="B85" s="18"/>
      <c r="C85" s="131" t="s">
        <v>21</v>
      </c>
      <c r="D85" s="131" t="s">
        <v>22</v>
      </c>
      <c r="E85" s="325" t="s">
        <v>23</v>
      </c>
      <c r="F85" s="387"/>
      <c r="G85" s="7"/>
      <c r="H85" s="7"/>
      <c r="I85" s="10"/>
      <c r="J85" s="10"/>
    </row>
    <row r="86" spans="1:10" s="386" customFormat="1" ht="15.6" hidden="1">
      <c r="A86" s="2" t="s">
        <v>24</v>
      </c>
      <c r="B86" s="17">
        <v>101</v>
      </c>
      <c r="C86" s="254">
        <v>9764920</v>
      </c>
      <c r="D86" s="391">
        <v>1.7780000000000001E-2</v>
      </c>
      <c r="E86" s="326">
        <f>C86*D86</f>
        <v>173620.2776</v>
      </c>
      <c r="F86" s="387"/>
      <c r="G86" s="7"/>
      <c r="H86" s="7"/>
      <c r="I86" s="8"/>
      <c r="J86" s="7"/>
    </row>
    <row r="87" spans="1:10" s="386" customFormat="1" ht="16.2" hidden="1" thickBot="1">
      <c r="A87" s="2" t="s">
        <v>24</v>
      </c>
      <c r="B87" s="17">
        <v>111</v>
      </c>
      <c r="C87" s="254">
        <v>3069039</v>
      </c>
      <c r="D87" s="391">
        <v>1.7780000000000001E-2</v>
      </c>
      <c r="E87" s="326">
        <f>C87*D87</f>
        <v>54567.513420000003</v>
      </c>
      <c r="F87" s="387"/>
      <c r="G87" s="146">
        <f>A84</f>
        <v>41275</v>
      </c>
      <c r="H87" s="147"/>
      <c r="I87" s="147"/>
      <c r="J87" s="147"/>
    </row>
    <row r="88" spans="1:10" s="386" customFormat="1" ht="16.2" hidden="1" thickBot="1">
      <c r="A88" s="2" t="s">
        <v>24</v>
      </c>
      <c r="B88" s="17">
        <v>112</v>
      </c>
      <c r="C88" s="254"/>
      <c r="D88" s="391"/>
      <c r="E88" s="326">
        <f t="shared" ref="E88:E94" si="2">C88*D88</f>
        <v>0</v>
      </c>
      <c r="F88" s="387"/>
      <c r="G88" s="102" t="s">
        <v>25</v>
      </c>
      <c r="H88" s="148"/>
      <c r="I88" s="149" t="s">
        <v>18</v>
      </c>
      <c r="J88" s="150" t="s">
        <v>19</v>
      </c>
    </row>
    <row r="89" spans="1:10" s="386" customFormat="1" ht="15.6" hidden="1">
      <c r="A89" s="2" t="s">
        <v>24</v>
      </c>
      <c r="B89" s="17">
        <v>121</v>
      </c>
      <c r="C89" s="254"/>
      <c r="D89" s="221"/>
      <c r="E89" s="326">
        <f t="shared" si="2"/>
        <v>0</v>
      </c>
      <c r="F89" s="387"/>
      <c r="G89" s="151" t="s">
        <v>28</v>
      </c>
      <c r="H89" s="152" t="s">
        <v>77</v>
      </c>
      <c r="I89" s="108"/>
      <c r="J89" s="396">
        <v>0</v>
      </c>
    </row>
    <row r="90" spans="1:10" s="386" customFormat="1" ht="15.6" hidden="1">
      <c r="A90" s="2" t="s">
        <v>24</v>
      </c>
      <c r="B90" s="17">
        <v>122</v>
      </c>
      <c r="C90" s="255"/>
      <c r="D90" s="221"/>
      <c r="E90" s="326">
        <f t="shared" si="2"/>
        <v>0</v>
      </c>
      <c r="F90" s="387"/>
      <c r="G90" s="153" t="s">
        <v>29</v>
      </c>
      <c r="H90" s="7" t="s">
        <v>78</v>
      </c>
      <c r="I90" s="397">
        <f>-E98</f>
        <v>605.1</v>
      </c>
      <c r="J90" s="223"/>
    </row>
    <row r="91" spans="1:10" s="386" customFormat="1" ht="15.6" hidden="1">
      <c r="A91" s="2" t="s">
        <v>24</v>
      </c>
      <c r="B91" s="17">
        <v>131</v>
      </c>
      <c r="C91" s="254">
        <v>0</v>
      </c>
      <c r="D91" s="391">
        <v>1.6570000000000001E-2</v>
      </c>
      <c r="E91" s="326">
        <f>C91*D91</f>
        <v>0</v>
      </c>
      <c r="F91" s="387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6" customFormat="1" ht="15.6" hidden="1">
      <c r="A92" s="2" t="s">
        <v>24</v>
      </c>
      <c r="B92" s="17">
        <v>132</v>
      </c>
      <c r="C92" s="255"/>
      <c r="D92" s="121"/>
      <c r="E92" s="326">
        <f t="shared" si="2"/>
        <v>0</v>
      </c>
      <c r="F92" s="387"/>
      <c r="G92" s="153" t="s">
        <v>10</v>
      </c>
      <c r="H92" s="7" t="s">
        <v>58</v>
      </c>
      <c r="I92" s="7">
        <v>0</v>
      </c>
      <c r="J92" s="109"/>
    </row>
    <row r="93" spans="1:10" s="386" customFormat="1" ht="16.2" hidden="1" thickBot="1">
      <c r="A93" s="2" t="s">
        <v>24</v>
      </c>
      <c r="B93" s="17" t="s">
        <v>61</v>
      </c>
      <c r="C93" s="255"/>
      <c r="D93" s="121"/>
      <c r="E93" s="326">
        <f t="shared" si="2"/>
        <v>0</v>
      </c>
      <c r="F93" s="387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6" customFormat="1" ht="15.6" hidden="1">
      <c r="A94" s="2" t="s">
        <v>156</v>
      </c>
      <c r="B94" s="70"/>
      <c r="C94" s="253"/>
      <c r="D94" s="136"/>
      <c r="E94" s="327">
        <f t="shared" si="2"/>
        <v>0</v>
      </c>
      <c r="F94" s="387"/>
      <c r="G94" s="7"/>
      <c r="H94" s="7"/>
      <c r="I94" s="8"/>
      <c r="J94" s="262">
        <f>ROUND(SUM(I89:J93),2)</f>
        <v>0</v>
      </c>
    </row>
    <row r="95" spans="1:10" s="386" customFormat="1" ht="16.2" hidden="1" thickBot="1">
      <c r="B95" s="6"/>
      <c r="C95" s="256">
        <f>SUM(C86:C94)</f>
        <v>12833959</v>
      </c>
      <c r="D95" s="155"/>
      <c r="E95" s="328">
        <f>SUM(E86:E94)</f>
        <v>228187.79102</v>
      </c>
      <c r="F95" s="387"/>
      <c r="G95" s="7"/>
      <c r="H95" s="7"/>
      <c r="I95" s="7"/>
      <c r="J95" s="7"/>
    </row>
    <row r="96" spans="1:10" s="386" customFormat="1" ht="16.2" hidden="1" thickTop="1">
      <c r="B96" s="6"/>
      <c r="C96" s="257">
        <v>12833959</v>
      </c>
      <c r="D96" s="66" t="s">
        <v>161</v>
      </c>
      <c r="E96" s="329">
        <v>0</v>
      </c>
      <c r="F96" s="387"/>
      <c r="G96" s="65" t="s">
        <v>158</v>
      </c>
      <c r="H96" s="7"/>
      <c r="I96" s="12"/>
      <c r="J96" s="12"/>
    </row>
    <row r="97" spans="1:10" s="386" customFormat="1" ht="15.6" hidden="1">
      <c r="C97" s="319">
        <f>C95-C96</f>
        <v>0</v>
      </c>
      <c r="D97" s="66" t="s">
        <v>87</v>
      </c>
      <c r="E97" s="328">
        <f>E95+E96+E81</f>
        <v>-612029.81307602918</v>
      </c>
      <c r="F97" s="387"/>
      <c r="G97" s="8">
        <f>(E81*(D98/12))+(E95*(D98/24))</f>
        <v>-605.10309048835768</v>
      </c>
      <c r="H97" s="7"/>
      <c r="I97" s="8"/>
      <c r="J97" s="10"/>
    </row>
    <row r="98" spans="1:10" s="386" customFormat="1" ht="15.6" hidden="1">
      <c r="C98" s="50"/>
      <c r="D98" s="226">
        <v>0.01</v>
      </c>
      <c r="E98" s="330">
        <f>ROUND(((E81)+(E95)/2)*(D98/12),2)</f>
        <v>-605.1</v>
      </c>
      <c r="F98" s="387"/>
      <c r="G98" s="65"/>
      <c r="H98" s="7"/>
      <c r="I98" s="10"/>
      <c r="J98" s="10"/>
    </row>
    <row r="99" spans="1:10" s="386" customFormat="1" ht="16.2" hidden="1" thickBot="1">
      <c r="A99" s="5"/>
      <c r="B99" s="5"/>
      <c r="C99" s="50" t="s">
        <v>1</v>
      </c>
      <c r="D99" s="143">
        <f>A84</f>
        <v>41275</v>
      </c>
      <c r="E99" s="331">
        <f>SUM(E97:E98)</f>
        <v>-612634.91307602916</v>
      </c>
      <c r="F99" s="387"/>
      <c r="G99" s="7"/>
      <c r="H99" s="7"/>
      <c r="I99" s="8"/>
      <c r="J99" s="7"/>
    </row>
    <row r="100" spans="1:10" s="386" customFormat="1" ht="16.2" hidden="1" thickTop="1" thickBot="1">
      <c r="E100" s="322"/>
    </row>
    <row r="101" spans="1:10" s="386" customFormat="1" ht="15.6" hidden="1">
      <c r="A101" s="73" t="s">
        <v>142</v>
      </c>
      <c r="B101" s="74"/>
      <c r="C101" s="75"/>
      <c r="D101" s="76"/>
      <c r="E101" s="323"/>
      <c r="G101" s="16"/>
      <c r="H101" s="5"/>
      <c r="I101" s="56"/>
      <c r="J101" s="56"/>
    </row>
    <row r="102" spans="1:10" s="386" customFormat="1" ht="15.6" hidden="1">
      <c r="A102" s="220">
        <v>41333</v>
      </c>
      <c r="B102" s="71"/>
      <c r="C102" s="16"/>
      <c r="D102" s="72" t="s">
        <v>23</v>
      </c>
      <c r="E102" s="324" t="s">
        <v>21</v>
      </c>
      <c r="G102" s="5"/>
      <c r="H102" s="5"/>
      <c r="I102" s="8"/>
      <c r="J102" s="10"/>
    </row>
    <row r="103" spans="1:10" s="386" customFormat="1" ht="16.2" hidden="1" thickBot="1">
      <c r="A103" s="14"/>
      <c r="B103" s="18"/>
      <c r="C103" s="131" t="s">
        <v>21</v>
      </c>
      <c r="D103" s="131" t="s">
        <v>22</v>
      </c>
      <c r="E103" s="325" t="s">
        <v>23</v>
      </c>
      <c r="F103" s="387"/>
      <c r="G103" s="7"/>
      <c r="H103" s="7"/>
      <c r="I103" s="10"/>
      <c r="J103" s="10"/>
    </row>
    <row r="104" spans="1:10" s="386" customFormat="1" ht="15.6" hidden="1">
      <c r="A104" s="2" t="s">
        <v>24</v>
      </c>
      <c r="B104" s="17">
        <v>101</v>
      </c>
      <c r="C104" s="254">
        <v>6162035</v>
      </c>
      <c r="D104" s="391">
        <v>1.7780000000000001E-2</v>
      </c>
      <c r="E104" s="326">
        <f>C104*D104</f>
        <v>109560.9823</v>
      </c>
      <c r="F104" s="387"/>
      <c r="G104" s="7"/>
      <c r="H104" s="7"/>
      <c r="I104" s="8"/>
      <c r="J104" s="7"/>
    </row>
    <row r="105" spans="1:10" s="386" customFormat="1" ht="16.2" hidden="1" thickBot="1">
      <c r="A105" s="2" t="s">
        <v>24</v>
      </c>
      <c r="B105" s="17">
        <v>111</v>
      </c>
      <c r="C105" s="254">
        <v>2375460</v>
      </c>
      <c r="D105" s="391">
        <v>1.7780000000000001E-2</v>
      </c>
      <c r="E105" s="326">
        <f>C105*D105</f>
        <v>42235.678800000002</v>
      </c>
      <c r="F105" s="387"/>
      <c r="G105" s="146">
        <f>A102</f>
        <v>41333</v>
      </c>
      <c r="H105" s="147"/>
      <c r="I105" s="147"/>
      <c r="J105" s="147"/>
    </row>
    <row r="106" spans="1:10" s="386" customFormat="1" ht="16.2" hidden="1" thickBot="1">
      <c r="A106" s="2" t="s">
        <v>24</v>
      </c>
      <c r="B106" s="17">
        <v>112</v>
      </c>
      <c r="C106" s="254"/>
      <c r="D106" s="391"/>
      <c r="E106" s="326">
        <f t="shared" ref="E106:E108" si="3">C106*D106</f>
        <v>0</v>
      </c>
      <c r="F106" s="387"/>
      <c r="G106" s="102" t="s">
        <v>25</v>
      </c>
      <c r="H106" s="148"/>
      <c r="I106" s="149" t="s">
        <v>18</v>
      </c>
      <c r="J106" s="150" t="s">
        <v>19</v>
      </c>
    </row>
    <row r="107" spans="1:10" s="386" customFormat="1" ht="15.6" hidden="1">
      <c r="A107" s="2" t="s">
        <v>24</v>
      </c>
      <c r="B107" s="17">
        <v>121</v>
      </c>
      <c r="C107" s="254"/>
      <c r="D107" s="221"/>
      <c r="E107" s="326">
        <f t="shared" si="3"/>
        <v>0</v>
      </c>
      <c r="F107" s="387"/>
      <c r="G107" s="151" t="s">
        <v>28</v>
      </c>
      <c r="H107" s="152" t="s">
        <v>77</v>
      </c>
      <c r="I107" s="108"/>
      <c r="J107" s="396">
        <v>0</v>
      </c>
    </row>
    <row r="108" spans="1:10" s="386" customFormat="1" ht="15.6" hidden="1">
      <c r="A108" s="2" t="s">
        <v>24</v>
      </c>
      <c r="B108" s="17">
        <v>122</v>
      </c>
      <c r="C108" s="255"/>
      <c r="D108" s="221"/>
      <c r="E108" s="326">
        <f t="shared" si="3"/>
        <v>0</v>
      </c>
      <c r="F108" s="387"/>
      <c r="G108" s="153" t="s">
        <v>29</v>
      </c>
      <c r="H108" s="7" t="s">
        <v>78</v>
      </c>
      <c r="I108" s="397">
        <f>-E116</f>
        <v>447.28</v>
      </c>
      <c r="J108" s="223"/>
    </row>
    <row r="109" spans="1:10" s="386" customFormat="1" ht="15.6" hidden="1">
      <c r="A109" s="2" t="s">
        <v>24</v>
      </c>
      <c r="B109" s="17">
        <v>131</v>
      </c>
      <c r="C109" s="254">
        <v>0</v>
      </c>
      <c r="D109" s="391">
        <v>1.6570000000000001E-2</v>
      </c>
      <c r="E109" s="326">
        <f>C109*D109</f>
        <v>0</v>
      </c>
      <c r="F109" s="387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6" customFormat="1" ht="15.6" hidden="1">
      <c r="A110" s="2" t="s">
        <v>24</v>
      </c>
      <c r="B110" s="17">
        <v>132</v>
      </c>
      <c r="C110" s="255"/>
      <c r="D110" s="121"/>
      <c r="E110" s="326">
        <f t="shared" ref="E110:E112" si="4">C110*D110</f>
        <v>0</v>
      </c>
      <c r="F110" s="387"/>
      <c r="G110" s="153" t="s">
        <v>10</v>
      </c>
      <c r="H110" s="7" t="s">
        <v>58</v>
      </c>
      <c r="I110" s="7">
        <v>0</v>
      </c>
      <c r="J110" s="109"/>
    </row>
    <row r="111" spans="1:10" s="386" customFormat="1" ht="16.2" hidden="1" thickBot="1">
      <c r="A111" s="2" t="s">
        <v>24</v>
      </c>
      <c r="B111" s="17" t="s">
        <v>61</v>
      </c>
      <c r="C111" s="255"/>
      <c r="D111" s="121"/>
      <c r="E111" s="326">
        <f t="shared" si="4"/>
        <v>0</v>
      </c>
      <c r="F111" s="387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6" customFormat="1" ht="15.6" hidden="1">
      <c r="A112" s="2" t="s">
        <v>156</v>
      </c>
      <c r="B112" s="70"/>
      <c r="C112" s="253"/>
      <c r="D112" s="136"/>
      <c r="E112" s="327">
        <f t="shared" si="4"/>
        <v>0</v>
      </c>
      <c r="F112" s="387"/>
      <c r="G112" s="7"/>
      <c r="H112" s="7"/>
      <c r="I112" s="8"/>
      <c r="J112" s="262">
        <f>ROUND(SUM(I107:J111),2)</f>
        <v>0</v>
      </c>
    </row>
    <row r="113" spans="1:10" s="386" customFormat="1" ht="16.2" hidden="1" thickBot="1">
      <c r="B113" s="6"/>
      <c r="C113" s="256">
        <f>SUM(C104:C112)</f>
        <v>8537495</v>
      </c>
      <c r="D113" s="155"/>
      <c r="E113" s="328">
        <f>SUM(E104:E112)</f>
        <v>151796.6611</v>
      </c>
      <c r="F113" s="387"/>
      <c r="G113" s="7"/>
      <c r="H113" s="7"/>
      <c r="I113" s="7"/>
      <c r="J113" s="7"/>
    </row>
    <row r="114" spans="1:10" s="386" customFormat="1" ht="16.2" hidden="1" thickTop="1">
      <c r="B114" s="6"/>
      <c r="C114" s="257">
        <v>8537495</v>
      </c>
      <c r="D114" s="66" t="s">
        <v>161</v>
      </c>
      <c r="E114" s="329">
        <v>0</v>
      </c>
      <c r="F114" s="387"/>
      <c r="G114" s="65" t="s">
        <v>158</v>
      </c>
      <c r="H114" s="7"/>
      <c r="I114" s="12"/>
      <c r="J114" s="12"/>
    </row>
    <row r="115" spans="1:10" s="386" customFormat="1" ht="15.6" hidden="1">
      <c r="C115" s="319">
        <f>C113-C114</f>
        <v>0</v>
      </c>
      <c r="D115" s="66" t="s">
        <v>87</v>
      </c>
      <c r="E115" s="328">
        <f>E113+E114+E99</f>
        <v>-460838.25197602913</v>
      </c>
      <c r="F115" s="387"/>
      <c r="G115" s="8">
        <f>(E99*(D116/12))+(E113*(D116/24))</f>
        <v>-447.28048543835769</v>
      </c>
      <c r="H115" s="7"/>
      <c r="I115" s="8"/>
      <c r="J115" s="10"/>
    </row>
    <row r="116" spans="1:10" s="386" customFormat="1" ht="15.6" hidden="1">
      <c r="C116" s="50"/>
      <c r="D116" s="226">
        <v>0.01</v>
      </c>
      <c r="E116" s="330">
        <f>ROUND(((E99)+(E113)/2)*(D116/12),2)</f>
        <v>-447.28</v>
      </c>
      <c r="F116" s="387"/>
      <c r="G116" s="65"/>
      <c r="H116" s="7"/>
      <c r="I116" s="10"/>
      <c r="J116" s="10"/>
    </row>
    <row r="117" spans="1:10" s="386" customFormat="1" ht="16.2" hidden="1" thickBot="1">
      <c r="A117" s="5"/>
      <c r="B117" s="5"/>
      <c r="C117" s="50" t="s">
        <v>1</v>
      </c>
      <c r="D117" s="143">
        <f>A102</f>
        <v>41333</v>
      </c>
      <c r="E117" s="331">
        <f>SUM(E115:E116)</f>
        <v>-461285.53197602916</v>
      </c>
      <c r="F117" s="387"/>
      <c r="G117" s="7"/>
      <c r="H117" s="7"/>
      <c r="I117" s="8"/>
      <c r="J117" s="7"/>
    </row>
    <row r="118" spans="1:10" s="386" customFormat="1" ht="16.2" hidden="1" thickTop="1" thickBot="1">
      <c r="E118" s="322"/>
    </row>
    <row r="119" spans="1:10" s="386" customFormat="1" ht="15.6" hidden="1">
      <c r="A119" s="73" t="s">
        <v>142</v>
      </c>
      <c r="B119" s="74"/>
      <c r="C119" s="75"/>
      <c r="D119" s="76"/>
      <c r="E119" s="323"/>
      <c r="G119" s="16"/>
      <c r="H119" s="5"/>
      <c r="I119" s="56"/>
      <c r="J119" s="56"/>
    </row>
    <row r="120" spans="1:10" s="386" customFormat="1" ht="15.6" hidden="1">
      <c r="A120" s="220">
        <v>41364</v>
      </c>
      <c r="B120" s="71"/>
      <c r="C120" s="16"/>
      <c r="D120" s="72" t="s">
        <v>23</v>
      </c>
      <c r="E120" s="324" t="s">
        <v>21</v>
      </c>
      <c r="G120" s="5"/>
      <c r="H120" s="5"/>
      <c r="I120" s="8"/>
      <c r="J120" s="10"/>
    </row>
    <row r="121" spans="1:10" s="386" customFormat="1" ht="16.2" hidden="1" thickBot="1">
      <c r="A121" s="14"/>
      <c r="B121" s="18"/>
      <c r="C121" s="131" t="s">
        <v>21</v>
      </c>
      <c r="D121" s="131" t="s">
        <v>22</v>
      </c>
      <c r="E121" s="325" t="s">
        <v>23</v>
      </c>
      <c r="F121" s="387"/>
      <c r="G121" s="7"/>
      <c r="H121" s="7"/>
      <c r="I121" s="10"/>
      <c r="J121" s="10"/>
    </row>
    <row r="122" spans="1:10" s="386" customFormat="1" ht="15.6" hidden="1">
      <c r="A122" s="2" t="s">
        <v>24</v>
      </c>
      <c r="B122" s="17">
        <v>101</v>
      </c>
      <c r="C122" s="254">
        <v>6046642</v>
      </c>
      <c r="D122" s="391">
        <v>1.7780000000000001E-2</v>
      </c>
      <c r="E122" s="326">
        <v>107509.29476</v>
      </c>
      <c r="F122" s="387"/>
      <c r="G122" s="7"/>
      <c r="H122" s="7"/>
      <c r="I122" s="8"/>
      <c r="J122" s="7"/>
    </row>
    <row r="123" spans="1:10" s="386" customFormat="1" ht="16.2" hidden="1" thickBot="1">
      <c r="A123" s="2" t="s">
        <v>24</v>
      </c>
      <c r="B123" s="17">
        <v>111</v>
      </c>
      <c r="C123" s="254">
        <v>2214620</v>
      </c>
      <c r="D123" s="391">
        <v>1.7780000000000001E-2</v>
      </c>
      <c r="E123" s="326">
        <v>39375.943599999999</v>
      </c>
      <c r="F123" s="387"/>
      <c r="G123" s="146">
        <f>A120</f>
        <v>41364</v>
      </c>
      <c r="H123" s="147"/>
      <c r="I123" s="147"/>
      <c r="J123" s="147"/>
    </row>
    <row r="124" spans="1:10" s="386" customFormat="1" ht="16.2" hidden="1" thickBot="1">
      <c r="A124" s="2" t="s">
        <v>24</v>
      </c>
      <c r="B124" s="17">
        <v>112</v>
      </c>
      <c r="C124" s="254"/>
      <c r="D124" s="391"/>
      <c r="E124" s="326">
        <v>0</v>
      </c>
      <c r="F124" s="387"/>
      <c r="G124" s="102" t="s">
        <v>25</v>
      </c>
      <c r="H124" s="148"/>
      <c r="I124" s="149" t="s">
        <v>18</v>
      </c>
      <c r="J124" s="150" t="s">
        <v>19</v>
      </c>
    </row>
    <row r="125" spans="1:10" s="386" customFormat="1" ht="15.6" hidden="1">
      <c r="A125" s="2" t="s">
        <v>24</v>
      </c>
      <c r="B125" s="17">
        <v>121</v>
      </c>
      <c r="C125" s="254"/>
      <c r="D125" s="221"/>
      <c r="E125" s="326">
        <v>0</v>
      </c>
      <c r="F125" s="387"/>
      <c r="G125" s="151" t="s">
        <v>28</v>
      </c>
      <c r="H125" s="152" t="s">
        <v>77</v>
      </c>
      <c r="I125" s="108"/>
      <c r="J125" s="396">
        <v>0</v>
      </c>
    </row>
    <row r="126" spans="1:10" s="386" customFormat="1" ht="15.6" hidden="1">
      <c r="A126" s="2" t="s">
        <v>24</v>
      </c>
      <c r="B126" s="17">
        <v>122</v>
      </c>
      <c r="C126" s="255"/>
      <c r="D126" s="221"/>
      <c r="E126" s="326">
        <v>0</v>
      </c>
      <c r="F126" s="387"/>
      <c r="G126" s="153" t="s">
        <v>29</v>
      </c>
      <c r="H126" s="7" t="s">
        <v>78</v>
      </c>
      <c r="I126" s="397">
        <f>-E134</f>
        <v>323.2</v>
      </c>
      <c r="J126" s="223"/>
    </row>
    <row r="127" spans="1:10" s="386" customFormat="1" ht="15.6" hidden="1">
      <c r="A127" s="2" t="s">
        <v>24</v>
      </c>
      <c r="B127" s="17">
        <v>131</v>
      </c>
      <c r="C127" s="254">
        <v>0</v>
      </c>
      <c r="D127" s="391">
        <v>1.6570000000000001E-2</v>
      </c>
      <c r="E127" s="326">
        <v>0</v>
      </c>
      <c r="F127" s="387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6" customFormat="1" ht="15.6" hidden="1">
      <c r="A128" s="2" t="s">
        <v>24</v>
      </c>
      <c r="B128" s="17">
        <v>132</v>
      </c>
      <c r="C128" s="255"/>
      <c r="D128" s="121"/>
      <c r="E128" s="326">
        <v>0</v>
      </c>
      <c r="F128" s="387"/>
      <c r="G128" s="153" t="s">
        <v>10</v>
      </c>
      <c r="H128" s="7" t="s">
        <v>58</v>
      </c>
      <c r="I128" s="7">
        <v>0</v>
      </c>
      <c r="J128" s="109"/>
    </row>
    <row r="129" spans="1:10" s="386" customFormat="1" ht="16.2" hidden="1" thickBot="1">
      <c r="A129" s="2" t="s">
        <v>24</v>
      </c>
      <c r="B129" s="17" t="s">
        <v>61</v>
      </c>
      <c r="C129" s="255"/>
      <c r="D129" s="121"/>
      <c r="E129" s="326">
        <v>0</v>
      </c>
      <c r="F129" s="387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6" customFormat="1" ht="15.6" hidden="1">
      <c r="A130" s="2" t="s">
        <v>156</v>
      </c>
      <c r="B130" s="70"/>
      <c r="C130" s="253"/>
      <c r="D130" s="136"/>
      <c r="E130" s="327">
        <v>0</v>
      </c>
      <c r="F130" s="387"/>
      <c r="G130" s="7"/>
      <c r="H130" s="7"/>
      <c r="I130" s="8"/>
      <c r="J130" s="262">
        <f>ROUND(SUM(I125:J129),2)</f>
        <v>0</v>
      </c>
    </row>
    <row r="131" spans="1:10" s="386" customFormat="1" ht="16.2" hidden="1" thickBot="1">
      <c r="B131" s="6"/>
      <c r="C131" s="256">
        <f>SUM(C122:C130)</f>
        <v>8261262</v>
      </c>
      <c r="D131" s="155"/>
      <c r="E131" s="328">
        <f>SUM(E122:E130)</f>
        <v>146885.23836000002</v>
      </c>
      <c r="F131" s="387"/>
      <c r="G131" s="7"/>
      <c r="H131" s="7"/>
      <c r="I131" s="7"/>
      <c r="J131" s="7"/>
    </row>
    <row r="132" spans="1:10" s="386" customFormat="1" ht="16.2" hidden="1" thickTop="1">
      <c r="B132" s="6"/>
      <c r="C132" s="257">
        <v>8261262</v>
      </c>
      <c r="D132" s="66" t="s">
        <v>161</v>
      </c>
      <c r="E132" s="329">
        <v>0</v>
      </c>
      <c r="F132" s="387"/>
      <c r="G132" s="65" t="s">
        <v>158</v>
      </c>
      <c r="H132" s="7"/>
      <c r="I132" s="12"/>
      <c r="J132" s="12"/>
    </row>
    <row r="133" spans="1:10" s="386" customFormat="1" ht="15.6" hidden="1">
      <c r="C133" s="319">
        <f>C131-C132</f>
        <v>0</v>
      </c>
      <c r="D133" s="66" t="s">
        <v>87</v>
      </c>
      <c r="E133" s="328">
        <f>E131+E132+E117</f>
        <v>-314400.29361602914</v>
      </c>
      <c r="F133" s="387"/>
      <c r="G133" s="8">
        <f>(E117*(D134/12))+(E131*(D134/24))</f>
        <v>-323.20242733002431</v>
      </c>
      <c r="H133" s="7"/>
      <c r="I133" s="8"/>
      <c r="J133" s="10"/>
    </row>
    <row r="134" spans="1:10" s="386" customFormat="1" ht="15.6" hidden="1">
      <c r="C134" s="50"/>
      <c r="D134" s="226">
        <v>0.01</v>
      </c>
      <c r="E134" s="330">
        <f>ROUND(((E117)+(E131)/2)*(D134/12),2)</f>
        <v>-323.2</v>
      </c>
      <c r="F134" s="387"/>
      <c r="G134" s="65"/>
      <c r="H134" s="7"/>
      <c r="I134" s="10"/>
      <c r="J134" s="10"/>
    </row>
    <row r="135" spans="1:10" s="386" customFormat="1" ht="16.2" hidden="1" thickBot="1">
      <c r="A135" s="5"/>
      <c r="B135" s="5"/>
      <c r="C135" s="50" t="s">
        <v>1</v>
      </c>
      <c r="D135" s="143">
        <f>A120</f>
        <v>41364</v>
      </c>
      <c r="E135" s="331">
        <f>SUM(E133:E134)</f>
        <v>-314723.49361602915</v>
      </c>
      <c r="F135" s="387"/>
      <c r="G135" s="7"/>
      <c r="H135" s="7"/>
      <c r="I135" s="8"/>
      <c r="J135" s="7"/>
    </row>
    <row r="136" spans="1:10" ht="16.2" hidden="1" thickTop="1" thickBot="1">
      <c r="A136" s="386"/>
      <c r="B136" s="386"/>
      <c r="C136" s="386"/>
      <c r="D136" s="386"/>
      <c r="F136" s="386"/>
      <c r="G136" s="386"/>
      <c r="H136" s="386"/>
      <c r="I136" s="386"/>
      <c r="J136" s="386"/>
    </row>
    <row r="137" spans="1:10" ht="15.6" hidden="1">
      <c r="A137" s="73" t="s">
        <v>142</v>
      </c>
      <c r="B137" s="74"/>
      <c r="C137" s="75"/>
      <c r="D137" s="76"/>
      <c r="E137" s="323"/>
      <c r="F137" s="386"/>
      <c r="G137" s="16"/>
      <c r="H137" s="5"/>
      <c r="I137" s="56"/>
      <c r="J137" s="56"/>
    </row>
    <row r="138" spans="1:10" ht="15.6" hidden="1">
      <c r="A138" s="220">
        <v>41394</v>
      </c>
      <c r="B138" s="71"/>
      <c r="C138" s="16"/>
      <c r="D138" s="72" t="s">
        <v>23</v>
      </c>
      <c r="E138" s="324" t="s">
        <v>21</v>
      </c>
      <c r="F138" s="386"/>
      <c r="G138" s="5"/>
      <c r="H138" s="5"/>
      <c r="I138" s="8"/>
      <c r="J138" s="10"/>
    </row>
    <row r="139" spans="1:10" ht="16.2" hidden="1" thickBot="1">
      <c r="A139" s="14"/>
      <c r="B139" s="18"/>
      <c r="C139" s="131" t="s">
        <v>21</v>
      </c>
      <c r="D139" s="131" t="s">
        <v>22</v>
      </c>
      <c r="E139" s="325" t="s">
        <v>23</v>
      </c>
      <c r="F139" s="387"/>
      <c r="G139" s="7"/>
      <c r="H139" s="7"/>
      <c r="I139" s="10"/>
      <c r="J139" s="10"/>
    </row>
    <row r="140" spans="1:10" ht="15.6" hidden="1">
      <c r="A140" s="2" t="s">
        <v>24</v>
      </c>
      <c r="B140" s="17">
        <v>101</v>
      </c>
      <c r="C140" s="254">
        <v>4076497</v>
      </c>
      <c r="D140" s="391">
        <v>1.7780000000000001E-2</v>
      </c>
      <c r="E140" s="326">
        <v>72480.11666</v>
      </c>
      <c r="F140" s="387"/>
      <c r="G140" s="7"/>
      <c r="H140" s="7"/>
      <c r="I140" s="8"/>
      <c r="J140" s="7"/>
    </row>
    <row r="141" spans="1:10" ht="16.2" hidden="1" thickBot="1">
      <c r="A141" s="2" t="s">
        <v>24</v>
      </c>
      <c r="B141" s="17">
        <v>111</v>
      </c>
      <c r="C141" s="254">
        <v>1757142</v>
      </c>
      <c r="D141" s="391">
        <v>1.7780000000000001E-2</v>
      </c>
      <c r="E141" s="326">
        <v>31241.984759999999</v>
      </c>
      <c r="F141" s="387"/>
      <c r="G141" s="146">
        <f>A138</f>
        <v>41394</v>
      </c>
      <c r="H141" s="147"/>
      <c r="I141" s="147"/>
      <c r="J141" s="147"/>
    </row>
    <row r="142" spans="1:10" ht="16.2" hidden="1" thickBot="1">
      <c r="A142" s="2" t="s">
        <v>24</v>
      </c>
      <c r="B142" s="17">
        <v>112</v>
      </c>
      <c r="C142" s="254"/>
      <c r="D142" s="391"/>
      <c r="E142" s="326">
        <v>0</v>
      </c>
      <c r="F142" s="387"/>
      <c r="G142" s="102" t="s">
        <v>25</v>
      </c>
      <c r="H142" s="148"/>
      <c r="I142" s="149" t="s">
        <v>18</v>
      </c>
      <c r="J142" s="150" t="s">
        <v>19</v>
      </c>
    </row>
    <row r="143" spans="1:10" ht="15.6" hidden="1">
      <c r="A143" s="2" t="s">
        <v>24</v>
      </c>
      <c r="B143" s="17">
        <v>121</v>
      </c>
      <c r="C143" s="254"/>
      <c r="D143" s="221"/>
      <c r="E143" s="326">
        <v>0</v>
      </c>
      <c r="F143" s="387"/>
      <c r="G143" s="151" t="s">
        <v>28</v>
      </c>
      <c r="H143" s="152" t="s">
        <v>77</v>
      </c>
      <c r="I143" s="108"/>
      <c r="J143" s="396">
        <v>0</v>
      </c>
    </row>
    <row r="144" spans="1:10" ht="15.6" hidden="1">
      <c r="A144" s="2" t="s">
        <v>24</v>
      </c>
      <c r="B144" s="17">
        <v>122</v>
      </c>
      <c r="C144" s="255"/>
      <c r="D144" s="221"/>
      <c r="E144" s="326">
        <v>0</v>
      </c>
      <c r="F144" s="387"/>
      <c r="G144" s="153" t="s">
        <v>29</v>
      </c>
      <c r="H144" s="7" t="s">
        <v>78</v>
      </c>
      <c r="I144" s="397">
        <f>-E152</f>
        <v>219.05</v>
      </c>
      <c r="J144" s="223"/>
    </row>
    <row r="145" spans="1:10" ht="15.6" hidden="1">
      <c r="A145" s="2" t="s">
        <v>24</v>
      </c>
      <c r="B145" s="17">
        <v>131</v>
      </c>
      <c r="C145" s="254">
        <v>0</v>
      </c>
      <c r="D145" s="391">
        <v>1.6570000000000001E-2</v>
      </c>
      <c r="E145" s="326">
        <v>0</v>
      </c>
      <c r="F145" s="387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6" hidden="1">
      <c r="A146" s="2" t="s">
        <v>24</v>
      </c>
      <c r="B146" s="17">
        <v>132</v>
      </c>
      <c r="C146" s="255"/>
      <c r="D146" s="121"/>
      <c r="E146" s="326">
        <v>0</v>
      </c>
      <c r="F146" s="387"/>
      <c r="G146" s="153" t="s">
        <v>10</v>
      </c>
      <c r="H146" s="7" t="s">
        <v>58</v>
      </c>
      <c r="I146" s="7">
        <v>0</v>
      </c>
      <c r="J146" s="109"/>
    </row>
    <row r="147" spans="1:10" ht="16.2" hidden="1" thickBot="1">
      <c r="A147" s="2" t="s">
        <v>24</v>
      </c>
      <c r="B147" s="17" t="s">
        <v>61</v>
      </c>
      <c r="C147" s="255"/>
      <c r="D147" s="121"/>
      <c r="E147" s="326">
        <v>0</v>
      </c>
      <c r="F147" s="387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6" hidden="1">
      <c r="A148" s="2" t="s">
        <v>156</v>
      </c>
      <c r="B148" s="70"/>
      <c r="C148" s="253"/>
      <c r="D148" s="136"/>
      <c r="E148" s="327">
        <v>0</v>
      </c>
      <c r="F148" s="387"/>
      <c r="G148" s="7"/>
      <c r="H148" s="7"/>
      <c r="I148" s="8"/>
      <c r="J148" s="262">
        <f>ROUND(SUM(I143:J147),2)</f>
        <v>0</v>
      </c>
    </row>
    <row r="149" spans="1:10" ht="16.2" hidden="1" thickBot="1">
      <c r="A149" s="386"/>
      <c r="B149" s="6"/>
      <c r="C149" s="256">
        <f>SUM(C140:C148)</f>
        <v>5833639</v>
      </c>
      <c r="D149" s="155"/>
      <c r="E149" s="328">
        <f>SUM(E140:E148)</f>
        <v>103722.10141999999</v>
      </c>
      <c r="F149" s="387"/>
      <c r="G149" s="7"/>
      <c r="H149" s="7"/>
      <c r="I149" s="7"/>
      <c r="J149" s="7"/>
    </row>
    <row r="150" spans="1:10" ht="16.2" hidden="1" thickTop="1">
      <c r="A150" s="386"/>
      <c r="B150" s="6"/>
      <c r="C150" s="257">
        <v>5833639</v>
      </c>
      <c r="D150" s="66" t="s">
        <v>161</v>
      </c>
      <c r="E150" s="329">
        <v>0</v>
      </c>
      <c r="F150" s="387"/>
      <c r="G150" s="65" t="s">
        <v>158</v>
      </c>
      <c r="H150" s="7"/>
      <c r="I150" s="12"/>
      <c r="J150" s="12"/>
    </row>
    <row r="151" spans="1:10" ht="15.6" hidden="1">
      <c r="A151" s="386"/>
      <c r="B151" s="386"/>
      <c r="C151" s="319">
        <f>C149-C150</f>
        <v>0</v>
      </c>
      <c r="D151" s="66" t="s">
        <v>87</v>
      </c>
      <c r="E151" s="328">
        <f>E149+E150+E135</f>
        <v>-211001.39219602916</v>
      </c>
      <c r="F151" s="387"/>
      <c r="G151" s="8">
        <f>(E135*(D152/12))+(E149*(D152/24))</f>
        <v>-219.05203575502432</v>
      </c>
      <c r="H151" s="7"/>
      <c r="I151" s="8"/>
      <c r="J151" s="10"/>
    </row>
    <row r="152" spans="1:10" ht="15.6" hidden="1">
      <c r="A152" s="386"/>
      <c r="B152" s="386"/>
      <c r="C152" s="50"/>
      <c r="D152" s="226">
        <v>0.01</v>
      </c>
      <c r="E152" s="330">
        <f>ROUND(((E135)+(E149)/2)*(D152/12),2)</f>
        <v>-219.05</v>
      </c>
      <c r="F152" s="387"/>
      <c r="G152" s="65"/>
      <c r="H152" s="7"/>
      <c r="I152" s="10"/>
      <c r="J152" s="10"/>
    </row>
    <row r="153" spans="1:10" ht="16.2" hidden="1" thickBot="1">
      <c r="A153" s="5"/>
      <c r="B153" s="5"/>
      <c r="C153" s="50" t="s">
        <v>1</v>
      </c>
      <c r="D153" s="143">
        <f>A138</f>
        <v>41394</v>
      </c>
      <c r="E153" s="331">
        <f>SUM(E151:E152)</f>
        <v>-211220.44219602915</v>
      </c>
      <c r="F153" s="387"/>
      <c r="G153" s="7"/>
      <c r="H153" s="7"/>
      <c r="I153" s="8"/>
      <c r="J153" s="7"/>
    </row>
    <row r="154" spans="1:10" s="386" customFormat="1" ht="16.2" hidden="1" thickTop="1" thickBot="1">
      <c r="E154" s="322"/>
    </row>
    <row r="155" spans="1:10" s="386" customFormat="1" ht="15.6" hidden="1">
      <c r="A155" s="73" t="s">
        <v>142</v>
      </c>
      <c r="B155" s="74"/>
      <c r="C155" s="75"/>
      <c r="D155" s="76"/>
      <c r="E155" s="323"/>
      <c r="G155" s="16"/>
      <c r="H155" s="5"/>
      <c r="I155" s="56"/>
      <c r="J155" s="56"/>
    </row>
    <row r="156" spans="1:10" s="386" customFormat="1" ht="15.6" hidden="1">
      <c r="A156" s="220">
        <v>41425</v>
      </c>
      <c r="B156" s="71"/>
      <c r="C156" s="16"/>
      <c r="D156" s="72" t="s">
        <v>23</v>
      </c>
      <c r="E156" s="324" t="s">
        <v>21</v>
      </c>
      <c r="G156" s="5"/>
      <c r="H156" s="5"/>
      <c r="I156" s="8"/>
      <c r="J156" s="10"/>
    </row>
    <row r="157" spans="1:10" s="386" customFormat="1" ht="16.2" hidden="1" thickBot="1">
      <c r="A157" s="14"/>
      <c r="B157" s="18"/>
      <c r="C157" s="131" t="s">
        <v>21</v>
      </c>
      <c r="D157" s="131" t="s">
        <v>22</v>
      </c>
      <c r="E157" s="325" t="s">
        <v>23</v>
      </c>
      <c r="F157" s="387"/>
      <c r="G157" s="7"/>
      <c r="H157" s="7"/>
      <c r="I157" s="10"/>
      <c r="J157" s="10"/>
    </row>
    <row r="158" spans="1:10" s="386" customFormat="1" ht="15.6" hidden="1">
      <c r="A158" s="2" t="s">
        <v>24</v>
      </c>
      <c r="B158" s="17">
        <v>101</v>
      </c>
      <c r="C158" s="254">
        <v>1886293</v>
      </c>
      <c r="D158" s="391">
        <v>1.7780000000000001E-2</v>
      </c>
      <c r="E158" s="326">
        <v>33538.289539999998</v>
      </c>
      <c r="F158" s="387"/>
      <c r="G158" s="7"/>
      <c r="H158" s="7"/>
      <c r="I158" s="8"/>
      <c r="J158" s="7"/>
    </row>
    <row r="159" spans="1:10" s="386" customFormat="1" ht="16.2" hidden="1" thickBot="1">
      <c r="A159" s="2" t="s">
        <v>24</v>
      </c>
      <c r="B159" s="17">
        <v>111</v>
      </c>
      <c r="C159" s="254">
        <v>1075171</v>
      </c>
      <c r="D159" s="391">
        <v>1.7780000000000001E-2</v>
      </c>
      <c r="E159" s="326">
        <v>19116.540380000002</v>
      </c>
      <c r="F159" s="387"/>
      <c r="G159" s="146">
        <f>A156</f>
        <v>41425</v>
      </c>
      <c r="H159" s="147"/>
      <c r="I159" s="147"/>
      <c r="J159" s="147"/>
    </row>
    <row r="160" spans="1:10" s="386" customFormat="1" ht="16.2" hidden="1" thickBot="1">
      <c r="A160" s="2" t="s">
        <v>24</v>
      </c>
      <c r="B160" s="17">
        <v>112</v>
      </c>
      <c r="C160" s="254"/>
      <c r="D160" s="391"/>
      <c r="E160" s="326">
        <v>0</v>
      </c>
      <c r="F160" s="387"/>
      <c r="G160" s="102" t="s">
        <v>25</v>
      </c>
      <c r="H160" s="148"/>
      <c r="I160" s="149" t="s">
        <v>18</v>
      </c>
      <c r="J160" s="150" t="s">
        <v>19</v>
      </c>
    </row>
    <row r="161" spans="1:10" s="386" customFormat="1" ht="15.6" hidden="1">
      <c r="A161" s="2" t="s">
        <v>24</v>
      </c>
      <c r="B161" s="17">
        <v>121</v>
      </c>
      <c r="C161" s="254"/>
      <c r="D161" s="221"/>
      <c r="E161" s="326">
        <v>0</v>
      </c>
      <c r="F161" s="387"/>
      <c r="G161" s="151" t="s">
        <v>28</v>
      </c>
      <c r="H161" s="152" t="s">
        <v>77</v>
      </c>
      <c r="I161" s="108"/>
      <c r="J161" s="396">
        <v>0</v>
      </c>
    </row>
    <row r="162" spans="1:10" s="386" customFormat="1" ht="15.6" hidden="1">
      <c r="A162" s="2" t="s">
        <v>24</v>
      </c>
      <c r="B162" s="17">
        <v>122</v>
      </c>
      <c r="C162" s="255"/>
      <c r="D162" s="221"/>
      <c r="E162" s="326">
        <v>0</v>
      </c>
      <c r="F162" s="387"/>
      <c r="G162" s="153" t="s">
        <v>29</v>
      </c>
      <c r="H162" s="7" t="s">
        <v>78</v>
      </c>
      <c r="I162" s="397">
        <f>-E170</f>
        <v>154.08000000000001</v>
      </c>
      <c r="J162" s="223"/>
    </row>
    <row r="163" spans="1:10" s="386" customFormat="1" ht="15.6" hidden="1">
      <c r="A163" s="2" t="s">
        <v>24</v>
      </c>
      <c r="B163" s="17">
        <v>131</v>
      </c>
      <c r="C163" s="254">
        <v>0</v>
      </c>
      <c r="D163" s="391">
        <v>1.6570000000000001E-2</v>
      </c>
      <c r="E163" s="326">
        <v>0</v>
      </c>
      <c r="F163" s="387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6" customFormat="1" ht="15.6" hidden="1">
      <c r="A164" s="2" t="s">
        <v>24</v>
      </c>
      <c r="B164" s="17">
        <v>132</v>
      </c>
      <c r="C164" s="255"/>
      <c r="D164" s="121"/>
      <c r="E164" s="326">
        <v>0</v>
      </c>
      <c r="F164" s="387"/>
      <c r="G164" s="153" t="s">
        <v>10</v>
      </c>
      <c r="H164" s="7" t="s">
        <v>58</v>
      </c>
      <c r="I164" s="7">
        <v>0</v>
      </c>
      <c r="J164" s="109"/>
    </row>
    <row r="165" spans="1:10" s="386" customFormat="1" ht="16.2" hidden="1" thickBot="1">
      <c r="A165" s="2" t="s">
        <v>24</v>
      </c>
      <c r="B165" s="17" t="s">
        <v>61</v>
      </c>
      <c r="C165" s="255"/>
      <c r="D165" s="121"/>
      <c r="E165" s="326">
        <v>0</v>
      </c>
      <c r="F165" s="387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6" customFormat="1" ht="15.6" hidden="1">
      <c r="A166" s="2" t="s">
        <v>156</v>
      </c>
      <c r="B166" s="70"/>
      <c r="C166" s="253"/>
      <c r="D166" s="136"/>
      <c r="E166" s="327">
        <v>0</v>
      </c>
      <c r="F166" s="387"/>
      <c r="G166" s="7"/>
      <c r="H166" s="7"/>
      <c r="I166" s="8"/>
      <c r="J166" s="262">
        <f>ROUND(SUM(I161:J165),2)</f>
        <v>0</v>
      </c>
    </row>
    <row r="167" spans="1:10" s="386" customFormat="1" ht="16.2" hidden="1" thickBot="1">
      <c r="B167" s="6"/>
      <c r="C167" s="256">
        <f>SUM(C158:C166)</f>
        <v>2961464</v>
      </c>
      <c r="D167" s="155"/>
      <c r="E167" s="328">
        <f>SUM(E158:E166)</f>
        <v>52654.829920000004</v>
      </c>
      <c r="F167" s="387"/>
      <c r="G167" s="7"/>
      <c r="H167" s="7"/>
      <c r="I167" s="7"/>
      <c r="J167" s="7"/>
    </row>
    <row r="168" spans="1:10" s="386" customFormat="1" ht="16.2" hidden="1" thickTop="1">
      <c r="B168" s="6"/>
      <c r="C168" s="257">
        <v>2961464</v>
      </c>
      <c r="D168" s="66" t="s">
        <v>161</v>
      </c>
      <c r="E168" s="329">
        <v>0</v>
      </c>
      <c r="F168" s="387"/>
      <c r="G168" s="65" t="s">
        <v>158</v>
      </c>
      <c r="H168" s="7"/>
      <c r="I168" s="12"/>
      <c r="J168" s="12"/>
    </row>
    <row r="169" spans="1:10" s="386" customFormat="1" ht="15.6" hidden="1">
      <c r="C169" s="319">
        <f>C167-C168</f>
        <v>0</v>
      </c>
      <c r="D169" s="66" t="s">
        <v>87</v>
      </c>
      <c r="E169" s="328">
        <f>E167+E168+E153</f>
        <v>-158565.61227602913</v>
      </c>
      <c r="F169" s="387"/>
      <c r="G169" s="8">
        <f>(E153*(D170/12))+(E167*(D170/24))</f>
        <v>-154.07752269669095</v>
      </c>
      <c r="H169" s="7"/>
      <c r="I169" s="8"/>
      <c r="J169" s="10"/>
    </row>
    <row r="170" spans="1:10" s="386" customFormat="1" ht="15.6" hidden="1">
      <c r="C170" s="50"/>
      <c r="D170" s="226">
        <v>0.01</v>
      </c>
      <c r="E170" s="330">
        <f>ROUND(((E153)+(E167)/2)*(D170/12),2)</f>
        <v>-154.08000000000001</v>
      </c>
      <c r="F170" s="387"/>
      <c r="G170" s="65"/>
      <c r="H170" s="7"/>
      <c r="I170" s="10"/>
      <c r="J170" s="10"/>
    </row>
    <row r="171" spans="1:10" s="386" customFormat="1" ht="16.2" hidden="1" thickBot="1">
      <c r="A171" s="5"/>
      <c r="B171" s="5"/>
      <c r="C171" s="50" t="s">
        <v>1</v>
      </c>
      <c r="D171" s="143">
        <f>A156</f>
        <v>41425</v>
      </c>
      <c r="E171" s="331">
        <f>SUM(E169:E170)</f>
        <v>-158719.69227602912</v>
      </c>
      <c r="F171" s="387"/>
      <c r="G171" s="7"/>
      <c r="H171" s="7"/>
      <c r="I171" s="8"/>
      <c r="J171" s="7"/>
    </row>
    <row r="172" spans="1:10" s="386" customFormat="1" ht="16.2" hidden="1" thickTop="1" thickBot="1">
      <c r="E172" s="322"/>
    </row>
    <row r="173" spans="1:10" s="386" customFormat="1" ht="15.6" hidden="1">
      <c r="A173" s="73" t="s">
        <v>142</v>
      </c>
      <c r="B173" s="74"/>
      <c r="C173" s="75"/>
      <c r="D173" s="76"/>
      <c r="E173" s="323"/>
      <c r="G173" s="16"/>
      <c r="H173" s="5"/>
      <c r="I173" s="56"/>
      <c r="J173" s="56"/>
    </row>
    <row r="174" spans="1:10" s="386" customFormat="1" ht="15.6" hidden="1">
      <c r="A174" s="220">
        <v>41426</v>
      </c>
      <c r="B174" s="71"/>
      <c r="C174" s="16"/>
      <c r="D174" s="72" t="s">
        <v>23</v>
      </c>
      <c r="E174" s="324" t="s">
        <v>21</v>
      </c>
      <c r="G174" s="5"/>
      <c r="H174" s="5"/>
      <c r="I174" s="8"/>
      <c r="J174" s="10"/>
    </row>
    <row r="175" spans="1:10" s="386" customFormat="1" ht="16.2" hidden="1" thickBot="1">
      <c r="A175" s="14"/>
      <c r="B175" s="18"/>
      <c r="C175" s="131" t="s">
        <v>21</v>
      </c>
      <c r="D175" s="131" t="s">
        <v>22</v>
      </c>
      <c r="E175" s="325" t="s">
        <v>23</v>
      </c>
      <c r="F175" s="387"/>
      <c r="G175" s="7"/>
      <c r="H175" s="7"/>
      <c r="I175" s="10"/>
      <c r="J175" s="10"/>
    </row>
    <row r="176" spans="1:10" s="386" customFormat="1" ht="15.6" hidden="1">
      <c r="A176" s="2" t="s">
        <v>24</v>
      </c>
      <c r="B176" s="17">
        <v>101</v>
      </c>
      <c r="C176" s="254">
        <v>1322327</v>
      </c>
      <c r="D176" s="391">
        <v>1.7780000000000001E-2</v>
      </c>
      <c r="E176" s="326">
        <v>23510.97406</v>
      </c>
      <c r="F176" s="387"/>
      <c r="G176" s="7"/>
      <c r="H176" s="7"/>
      <c r="I176" s="8"/>
      <c r="J176" s="7"/>
    </row>
    <row r="177" spans="1:10" s="386" customFormat="1" ht="16.2" hidden="1" thickBot="1">
      <c r="A177" s="2" t="s">
        <v>24</v>
      </c>
      <c r="B177" s="17">
        <v>111</v>
      </c>
      <c r="C177" s="254">
        <v>1044472</v>
      </c>
      <c r="D177" s="391">
        <v>1.7780000000000001E-2</v>
      </c>
      <c r="E177" s="326">
        <v>18570.712159999999</v>
      </c>
      <c r="F177" s="387"/>
      <c r="G177" s="146">
        <f>A174</f>
        <v>41426</v>
      </c>
      <c r="H177" s="147"/>
      <c r="I177" s="147"/>
      <c r="J177" s="147"/>
    </row>
    <row r="178" spans="1:10" s="386" customFormat="1" ht="16.2" hidden="1" thickBot="1">
      <c r="A178" s="2" t="s">
        <v>24</v>
      </c>
      <c r="B178" s="17">
        <v>112</v>
      </c>
      <c r="C178" s="254"/>
      <c r="D178" s="391"/>
      <c r="E178" s="326">
        <v>0</v>
      </c>
      <c r="F178" s="387"/>
      <c r="G178" s="102" t="s">
        <v>25</v>
      </c>
      <c r="H178" s="148"/>
      <c r="I178" s="149" t="s">
        <v>18</v>
      </c>
      <c r="J178" s="150" t="s">
        <v>19</v>
      </c>
    </row>
    <row r="179" spans="1:10" s="386" customFormat="1" ht="15.6" hidden="1">
      <c r="A179" s="2" t="s">
        <v>24</v>
      </c>
      <c r="B179" s="17">
        <v>121</v>
      </c>
      <c r="C179" s="254"/>
      <c r="D179" s="221"/>
      <c r="E179" s="326">
        <v>0</v>
      </c>
      <c r="F179" s="387"/>
      <c r="G179" s="151" t="s">
        <v>28</v>
      </c>
      <c r="H179" s="152" t="s">
        <v>77</v>
      </c>
      <c r="I179" s="108"/>
      <c r="J179" s="396">
        <v>0</v>
      </c>
    </row>
    <row r="180" spans="1:10" s="386" customFormat="1" ht="15.6" hidden="1">
      <c r="A180" s="2" t="s">
        <v>24</v>
      </c>
      <c r="B180" s="17">
        <v>122</v>
      </c>
      <c r="C180" s="255"/>
      <c r="D180" s="221"/>
      <c r="E180" s="326">
        <v>0</v>
      </c>
      <c r="F180" s="387"/>
      <c r="G180" s="153" t="s">
        <v>29</v>
      </c>
      <c r="H180" s="7" t="s">
        <v>78</v>
      </c>
      <c r="I180" s="397">
        <f>-E188</f>
        <v>114.73</v>
      </c>
      <c r="J180" s="223"/>
    </row>
    <row r="181" spans="1:10" s="386" customFormat="1" ht="15.6" hidden="1">
      <c r="A181" s="2" t="s">
        <v>24</v>
      </c>
      <c r="B181" s="17">
        <v>131</v>
      </c>
      <c r="C181" s="254">
        <v>0</v>
      </c>
      <c r="D181" s="391">
        <v>1.6570000000000001E-2</v>
      </c>
      <c r="E181" s="326">
        <v>0</v>
      </c>
      <c r="F181" s="387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6" customFormat="1" ht="15.6" hidden="1">
      <c r="A182" s="2" t="s">
        <v>24</v>
      </c>
      <c r="B182" s="17">
        <v>132</v>
      </c>
      <c r="C182" s="255"/>
      <c r="D182" s="121"/>
      <c r="E182" s="326">
        <v>0</v>
      </c>
      <c r="F182" s="387"/>
      <c r="G182" s="153" t="s">
        <v>10</v>
      </c>
      <c r="H182" s="7" t="s">
        <v>58</v>
      </c>
      <c r="I182" s="7">
        <v>0</v>
      </c>
      <c r="J182" s="109"/>
    </row>
    <row r="183" spans="1:10" s="386" customFormat="1" ht="16.2" hidden="1" thickBot="1">
      <c r="A183" s="2" t="s">
        <v>24</v>
      </c>
      <c r="B183" s="17" t="s">
        <v>61</v>
      </c>
      <c r="C183" s="255"/>
      <c r="D183" s="121"/>
      <c r="E183" s="326">
        <v>0</v>
      </c>
      <c r="F183" s="387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6" customFormat="1" ht="15.6" hidden="1">
      <c r="A184" s="2" t="s">
        <v>156</v>
      </c>
      <c r="B184" s="70"/>
      <c r="C184" s="253"/>
      <c r="D184" s="136"/>
      <c r="E184" s="327">
        <v>0</v>
      </c>
      <c r="F184" s="387"/>
      <c r="G184" s="7"/>
      <c r="H184" s="7"/>
      <c r="I184" s="8"/>
      <c r="J184" s="262">
        <f>ROUND(SUM(I179:J183),2)</f>
        <v>0</v>
      </c>
    </row>
    <row r="185" spans="1:10" s="386" customFormat="1" ht="16.2" hidden="1" thickBot="1">
      <c r="B185" s="6"/>
      <c r="C185" s="256">
        <f>SUM(C176:C184)</f>
        <v>2366799</v>
      </c>
      <c r="D185" s="155"/>
      <c r="E185" s="328">
        <f>SUM(E176:E184)</f>
        <v>42081.686220000003</v>
      </c>
      <c r="F185" s="387"/>
      <c r="G185" s="7"/>
      <c r="H185" s="7"/>
      <c r="I185" s="7"/>
      <c r="J185" s="7"/>
    </row>
    <row r="186" spans="1:10" s="386" customFormat="1" ht="16.2" hidden="1" thickTop="1">
      <c r="B186" s="6"/>
      <c r="C186" s="257">
        <v>2366799</v>
      </c>
      <c r="D186" s="66" t="s">
        <v>161</v>
      </c>
      <c r="E186" s="329">
        <v>0</v>
      </c>
      <c r="F186" s="387"/>
      <c r="G186" s="65" t="s">
        <v>158</v>
      </c>
      <c r="H186" s="7"/>
      <c r="I186" s="12"/>
      <c r="J186" s="12"/>
    </row>
    <row r="187" spans="1:10" s="386" customFormat="1" ht="15.6" hidden="1">
      <c r="C187" s="319">
        <f>C185-C186</f>
        <v>0</v>
      </c>
      <c r="D187" s="66" t="s">
        <v>87</v>
      </c>
      <c r="E187" s="328">
        <f>E185+E186+E171</f>
        <v>-116638.00605602912</v>
      </c>
      <c r="F187" s="387"/>
      <c r="G187" s="8">
        <f>(E171*(D188/12))+(E185*(D188/24))</f>
        <v>-114.73237430502427</v>
      </c>
      <c r="H187" s="7"/>
      <c r="I187" s="8"/>
      <c r="J187" s="10"/>
    </row>
    <row r="188" spans="1:10" s="386" customFormat="1" ht="15.6" hidden="1">
      <c r="C188" s="50"/>
      <c r="D188" s="226">
        <v>0.01</v>
      </c>
      <c r="E188" s="330">
        <f>ROUND(((E171)+(E185)/2)*(D188/12),2)</f>
        <v>-114.73</v>
      </c>
      <c r="F188" s="387"/>
      <c r="G188" s="65"/>
      <c r="H188" s="7"/>
      <c r="I188" s="10"/>
      <c r="J188" s="10"/>
    </row>
    <row r="189" spans="1:10" s="386" customFormat="1" ht="16.2" thickBot="1">
      <c r="A189" s="5"/>
      <c r="B189" s="5"/>
      <c r="C189" s="50" t="s">
        <v>1</v>
      </c>
      <c r="D189" s="143">
        <f>A174</f>
        <v>41426</v>
      </c>
      <c r="E189" s="331">
        <f>SUM(E187:E188)</f>
        <v>-116752.73605602911</v>
      </c>
      <c r="F189" s="387"/>
      <c r="G189" s="7"/>
      <c r="H189" s="7"/>
      <c r="I189" s="8"/>
      <c r="J189" s="7"/>
    </row>
    <row r="190" spans="1:10" s="386" customFormat="1" ht="16.2" thickTop="1" thickBot="1">
      <c r="E190" s="322"/>
    </row>
    <row r="191" spans="1:10" s="386" customFormat="1" ht="15.6">
      <c r="A191" s="73" t="s">
        <v>142</v>
      </c>
      <c r="B191" s="74"/>
      <c r="C191" s="75"/>
      <c r="D191" s="76"/>
      <c r="E191" s="323"/>
      <c r="G191" s="16"/>
      <c r="H191" s="5"/>
      <c r="I191" s="56"/>
      <c r="J191" s="56"/>
    </row>
    <row r="192" spans="1:10" s="386" customFormat="1" ht="15.6">
      <c r="A192" s="220">
        <v>41456</v>
      </c>
      <c r="B192" s="71"/>
      <c r="C192" s="16"/>
      <c r="D192" s="72" t="s">
        <v>23</v>
      </c>
      <c r="E192" s="324" t="s">
        <v>21</v>
      </c>
      <c r="G192" s="5"/>
      <c r="H192" s="5"/>
      <c r="I192" s="8"/>
      <c r="J192" s="10"/>
    </row>
    <row r="193" spans="1:10" s="386" customFormat="1" ht="16.2" thickBot="1">
      <c r="A193" s="14"/>
      <c r="B193" s="18"/>
      <c r="C193" s="131" t="s">
        <v>21</v>
      </c>
      <c r="D193" s="131" t="s">
        <v>22</v>
      </c>
      <c r="E193" s="325" t="s">
        <v>23</v>
      </c>
      <c r="F193" s="387"/>
      <c r="G193" s="7"/>
      <c r="H193" s="7"/>
      <c r="I193" s="10"/>
      <c r="J193" s="10"/>
    </row>
    <row r="194" spans="1:10" s="386" customFormat="1" ht="15.6">
      <c r="A194" s="2" t="s">
        <v>24</v>
      </c>
      <c r="B194" s="17">
        <v>101</v>
      </c>
      <c r="C194" s="254">
        <v>970543</v>
      </c>
      <c r="D194" s="391">
        <v>1.7780000000000001E-2</v>
      </c>
      <c r="E194" s="326">
        <v>17256.254540000002</v>
      </c>
      <c r="F194" s="387"/>
      <c r="G194" s="7"/>
      <c r="H194" s="7"/>
      <c r="I194" s="8"/>
      <c r="J194" s="7"/>
    </row>
    <row r="195" spans="1:10" s="386" customFormat="1" ht="16.2" thickBot="1">
      <c r="A195" s="2" t="s">
        <v>24</v>
      </c>
      <c r="B195" s="17">
        <v>111</v>
      </c>
      <c r="C195" s="254">
        <v>805059</v>
      </c>
      <c r="D195" s="391">
        <v>1.7780000000000001E-2</v>
      </c>
      <c r="E195" s="326">
        <v>14313.94902</v>
      </c>
      <c r="F195" s="387"/>
      <c r="G195" s="146">
        <f>A192</f>
        <v>41456</v>
      </c>
      <c r="H195" s="147"/>
      <c r="I195" s="147"/>
      <c r="J195" s="147"/>
    </row>
    <row r="196" spans="1:10" s="386" customFormat="1" ht="16.2" thickBot="1">
      <c r="A196" s="2" t="s">
        <v>24</v>
      </c>
      <c r="B196" s="17">
        <v>112</v>
      </c>
      <c r="C196" s="254"/>
      <c r="D196" s="391"/>
      <c r="E196" s="326">
        <v>0</v>
      </c>
      <c r="F196" s="387"/>
      <c r="G196" s="102" t="s">
        <v>25</v>
      </c>
      <c r="H196" s="148"/>
      <c r="I196" s="149" t="s">
        <v>18</v>
      </c>
      <c r="J196" s="150" t="s">
        <v>19</v>
      </c>
    </row>
    <row r="197" spans="1:10" s="386" customFormat="1" ht="15.6">
      <c r="A197" s="2" t="s">
        <v>24</v>
      </c>
      <c r="B197" s="17">
        <v>121</v>
      </c>
      <c r="C197" s="254"/>
      <c r="D197" s="221"/>
      <c r="E197" s="326">
        <v>0</v>
      </c>
      <c r="F197" s="387"/>
      <c r="G197" s="151" t="s">
        <v>28</v>
      </c>
      <c r="H197" s="152" t="s">
        <v>77</v>
      </c>
      <c r="I197" s="108"/>
      <c r="J197" s="396">
        <v>0</v>
      </c>
    </row>
    <row r="198" spans="1:10" s="386" customFormat="1" ht="15.6">
      <c r="A198" s="2" t="s">
        <v>24</v>
      </c>
      <c r="B198" s="17">
        <v>122</v>
      </c>
      <c r="C198" s="255"/>
      <c r="D198" s="221"/>
      <c r="E198" s="326">
        <v>0</v>
      </c>
      <c r="F198" s="387"/>
      <c r="G198" s="153" t="s">
        <v>29</v>
      </c>
      <c r="H198" s="7" t="s">
        <v>78</v>
      </c>
      <c r="I198" s="397">
        <f>-E206</f>
        <v>84.14</v>
      </c>
      <c r="J198" s="223"/>
    </row>
    <row r="199" spans="1:10" s="386" customFormat="1" ht="15.6">
      <c r="A199" s="2" t="s">
        <v>24</v>
      </c>
      <c r="B199" s="17">
        <v>131</v>
      </c>
      <c r="C199" s="254">
        <v>0</v>
      </c>
      <c r="D199" s="391">
        <v>1.6570000000000001E-2</v>
      </c>
      <c r="E199" s="326">
        <v>0</v>
      </c>
      <c r="F199" s="387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6" customFormat="1" ht="15.6">
      <c r="A200" s="2" t="s">
        <v>24</v>
      </c>
      <c r="B200" s="17">
        <v>132</v>
      </c>
      <c r="C200" s="255"/>
      <c r="D200" s="121"/>
      <c r="E200" s="326">
        <v>0</v>
      </c>
      <c r="F200" s="387"/>
      <c r="G200" s="153" t="s">
        <v>10</v>
      </c>
      <c r="H200" s="7" t="s">
        <v>58</v>
      </c>
      <c r="I200" s="7">
        <v>0</v>
      </c>
      <c r="J200" s="109"/>
    </row>
    <row r="201" spans="1:10" s="386" customFormat="1" ht="16.2" thickBot="1">
      <c r="A201" s="2" t="s">
        <v>24</v>
      </c>
      <c r="B201" s="17" t="s">
        <v>61</v>
      </c>
      <c r="C201" s="255"/>
      <c r="D201" s="121"/>
      <c r="E201" s="326">
        <v>0</v>
      </c>
      <c r="F201" s="387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6" customFormat="1" ht="15.6">
      <c r="A202" s="2" t="s">
        <v>156</v>
      </c>
      <c r="B202" s="70"/>
      <c r="C202" s="253"/>
      <c r="D202" s="136"/>
      <c r="E202" s="327">
        <v>0</v>
      </c>
      <c r="F202" s="387"/>
      <c r="G202" s="7"/>
      <c r="H202" s="7"/>
      <c r="I202" s="8"/>
      <c r="J202" s="262">
        <f>ROUND(SUM(I197:J201),2)</f>
        <v>0</v>
      </c>
    </row>
    <row r="203" spans="1:10" s="386" customFormat="1" ht="16.2" thickBot="1">
      <c r="B203" s="6"/>
      <c r="C203" s="256">
        <f>SUM(C194:C202)</f>
        <v>1775602</v>
      </c>
      <c r="D203" s="155"/>
      <c r="E203" s="328">
        <f>SUM(E194:E202)</f>
        <v>31570.203560000002</v>
      </c>
      <c r="F203" s="387"/>
      <c r="G203" s="7"/>
      <c r="H203" s="7"/>
      <c r="I203" s="7"/>
      <c r="J203" s="7"/>
    </row>
    <row r="204" spans="1:10" s="386" customFormat="1" ht="16.2" thickTop="1">
      <c r="B204" s="6"/>
      <c r="C204" s="257">
        <v>1775602</v>
      </c>
      <c r="D204" s="66" t="s">
        <v>161</v>
      </c>
      <c r="E204" s="329">
        <v>0</v>
      </c>
      <c r="F204" s="387"/>
      <c r="G204" s="65" t="s">
        <v>158</v>
      </c>
      <c r="H204" s="7"/>
      <c r="I204" s="12"/>
      <c r="J204" s="12"/>
    </row>
    <row r="205" spans="1:10" s="386" customFormat="1" ht="15.6">
      <c r="C205" s="319">
        <f>C203-C204</f>
        <v>0</v>
      </c>
      <c r="D205" s="66" t="s">
        <v>87</v>
      </c>
      <c r="E205" s="328">
        <f>E203+E204+E189</f>
        <v>-85182.532496029104</v>
      </c>
      <c r="F205" s="387"/>
      <c r="G205" s="8">
        <f>(E189*(D206/12))+(E203*(D206/24))</f>
        <v>-84.139695230024259</v>
      </c>
      <c r="H205" s="7"/>
      <c r="I205" s="8"/>
      <c r="J205" s="10"/>
    </row>
    <row r="206" spans="1:10" s="386" customFormat="1" ht="15.6">
      <c r="C206" s="50"/>
      <c r="D206" s="226">
        <v>0.01</v>
      </c>
      <c r="E206" s="330">
        <f>ROUND(((E189)+(E203)/2)*(D206/12),2)</f>
        <v>-84.14</v>
      </c>
      <c r="F206" s="387"/>
      <c r="G206" s="65"/>
      <c r="H206" s="7"/>
      <c r="I206" s="10"/>
      <c r="J206" s="10"/>
    </row>
    <row r="207" spans="1:10" s="386" customFormat="1" ht="16.2" thickBot="1">
      <c r="A207" s="5"/>
      <c r="B207" s="5"/>
      <c r="C207" s="50" t="s">
        <v>1</v>
      </c>
      <c r="D207" s="143">
        <f>A192</f>
        <v>41456</v>
      </c>
      <c r="E207" s="331">
        <f>SUM(E205:E206)</f>
        <v>-85266.672496029103</v>
      </c>
      <c r="F207" s="387"/>
      <c r="G207" s="7"/>
      <c r="H207" s="7"/>
      <c r="I207" s="8"/>
      <c r="J207" s="7"/>
    </row>
    <row r="208" spans="1:10" ht="16.2" thickTop="1" thickBot="1"/>
    <row r="209" spans="1:10" s="386" customFormat="1" ht="15.6">
      <c r="A209" s="73" t="s">
        <v>142</v>
      </c>
      <c r="B209" s="74"/>
      <c r="C209" s="75"/>
      <c r="D209" s="76"/>
      <c r="E209" s="323"/>
      <c r="G209" s="16"/>
      <c r="H209" s="5"/>
      <c r="I209" s="56"/>
      <c r="J209" s="56"/>
    </row>
    <row r="210" spans="1:10" s="386" customFormat="1" ht="15.6">
      <c r="A210" s="220">
        <v>41487</v>
      </c>
      <c r="B210" s="71"/>
      <c r="C210" s="16"/>
      <c r="D210" s="72" t="s">
        <v>23</v>
      </c>
      <c r="E210" s="324" t="s">
        <v>21</v>
      </c>
      <c r="G210" s="5"/>
      <c r="H210" s="5"/>
      <c r="I210" s="8"/>
      <c r="J210" s="10"/>
    </row>
    <row r="211" spans="1:10" s="386" customFormat="1" ht="16.2" thickBot="1">
      <c r="A211" s="14"/>
      <c r="B211" s="18"/>
      <c r="C211" s="131" t="s">
        <v>21</v>
      </c>
      <c r="D211" s="131" t="s">
        <v>22</v>
      </c>
      <c r="E211" s="325" t="s">
        <v>23</v>
      </c>
      <c r="F211" s="387"/>
      <c r="G211" s="7"/>
      <c r="H211" s="7"/>
      <c r="I211" s="10"/>
      <c r="J211" s="10"/>
    </row>
    <row r="212" spans="1:10" s="386" customFormat="1" ht="15.6">
      <c r="A212" s="2" t="s">
        <v>24</v>
      </c>
      <c r="B212" s="17">
        <v>101</v>
      </c>
      <c r="C212" s="254">
        <v>985214</v>
      </c>
      <c r="D212" s="391">
        <v>1.7780000000000001E-2</v>
      </c>
      <c r="E212" s="326">
        <v>17517.104920000002</v>
      </c>
      <c r="F212" s="387"/>
      <c r="G212" s="7"/>
      <c r="H212" s="7"/>
      <c r="I212" s="8"/>
      <c r="J212" s="7"/>
    </row>
    <row r="213" spans="1:10" s="386" customFormat="1" ht="16.2" thickBot="1">
      <c r="A213" s="2" t="s">
        <v>24</v>
      </c>
      <c r="B213" s="17">
        <v>111</v>
      </c>
      <c r="C213" s="254">
        <v>994287</v>
      </c>
      <c r="D213" s="391">
        <v>1.7780000000000001E-2</v>
      </c>
      <c r="E213" s="326">
        <v>17678.422860000002</v>
      </c>
      <c r="F213" s="387"/>
      <c r="G213" s="146">
        <f>A210</f>
        <v>41487</v>
      </c>
      <c r="H213" s="147"/>
      <c r="I213" s="147"/>
      <c r="J213" s="147"/>
    </row>
    <row r="214" spans="1:10" s="386" customFormat="1" ht="16.2" thickBot="1">
      <c r="A214" s="2" t="s">
        <v>24</v>
      </c>
      <c r="B214" s="17">
        <v>112</v>
      </c>
      <c r="C214" s="254"/>
      <c r="D214" s="391"/>
      <c r="E214" s="326">
        <v>0</v>
      </c>
      <c r="F214" s="387"/>
      <c r="G214" s="102" t="s">
        <v>25</v>
      </c>
      <c r="H214" s="148"/>
      <c r="I214" s="149" t="s">
        <v>18</v>
      </c>
      <c r="J214" s="150" t="s">
        <v>19</v>
      </c>
    </row>
    <row r="215" spans="1:10" s="386" customFormat="1" ht="15.6">
      <c r="A215" s="2" t="s">
        <v>24</v>
      </c>
      <c r="B215" s="17">
        <v>121</v>
      </c>
      <c r="C215" s="254"/>
      <c r="D215" s="221"/>
      <c r="E215" s="326">
        <v>0</v>
      </c>
      <c r="F215" s="387"/>
      <c r="G215" s="151" t="s">
        <v>28</v>
      </c>
      <c r="H215" s="152" t="s">
        <v>77</v>
      </c>
      <c r="I215" s="108"/>
      <c r="J215" s="396">
        <v>0</v>
      </c>
    </row>
    <row r="216" spans="1:10" s="386" customFormat="1" ht="15.6">
      <c r="A216" s="2" t="s">
        <v>24</v>
      </c>
      <c r="B216" s="17">
        <v>122</v>
      </c>
      <c r="C216" s="255"/>
      <c r="D216" s="221"/>
      <c r="E216" s="326">
        <v>0</v>
      </c>
      <c r="F216" s="387"/>
      <c r="G216" s="153" t="s">
        <v>29</v>
      </c>
      <c r="H216" s="7" t="s">
        <v>78</v>
      </c>
      <c r="I216" s="397">
        <f>-E224</f>
        <v>56.39</v>
      </c>
      <c r="J216" s="223"/>
    </row>
    <row r="217" spans="1:10" s="386" customFormat="1" ht="15.6">
      <c r="A217" s="2" t="s">
        <v>24</v>
      </c>
      <c r="B217" s="17">
        <v>131</v>
      </c>
      <c r="C217" s="254">
        <v>0</v>
      </c>
      <c r="D217" s="391">
        <v>1.6570000000000001E-2</v>
      </c>
      <c r="E217" s="326">
        <v>0</v>
      </c>
      <c r="F217" s="387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6" customFormat="1" ht="15.6">
      <c r="A218" s="2" t="s">
        <v>24</v>
      </c>
      <c r="B218" s="17">
        <v>132</v>
      </c>
      <c r="C218" s="255"/>
      <c r="D218" s="121"/>
      <c r="E218" s="326">
        <v>0</v>
      </c>
      <c r="F218" s="387"/>
      <c r="G218" s="153" t="s">
        <v>10</v>
      </c>
      <c r="H218" s="7" t="s">
        <v>58</v>
      </c>
      <c r="I218" s="7">
        <v>0</v>
      </c>
      <c r="J218" s="109"/>
    </row>
    <row r="219" spans="1:10" s="386" customFormat="1" ht="16.2" thickBot="1">
      <c r="A219" s="2" t="s">
        <v>24</v>
      </c>
      <c r="B219" s="17" t="s">
        <v>61</v>
      </c>
      <c r="C219" s="255"/>
      <c r="D219" s="121"/>
      <c r="E219" s="326">
        <v>0</v>
      </c>
      <c r="F219" s="387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6" customFormat="1" ht="15.6">
      <c r="A220" s="2" t="s">
        <v>156</v>
      </c>
      <c r="B220" s="70"/>
      <c r="C220" s="253"/>
      <c r="D220" s="136"/>
      <c r="E220" s="327">
        <v>0</v>
      </c>
      <c r="F220" s="387"/>
      <c r="G220" s="7"/>
      <c r="H220" s="7"/>
      <c r="I220" s="8"/>
      <c r="J220" s="262">
        <f>ROUND(SUM(I215:J219),2)</f>
        <v>0</v>
      </c>
    </row>
    <row r="221" spans="1:10" s="386" customFormat="1" ht="16.2" thickBot="1">
      <c r="B221" s="6"/>
      <c r="C221" s="256">
        <f>SUM(C212:C220)</f>
        <v>1979501</v>
      </c>
      <c r="D221" s="155"/>
      <c r="E221" s="328">
        <f>SUM(E212:E220)</f>
        <v>35195.527780000004</v>
      </c>
      <c r="F221" s="387"/>
      <c r="G221" s="7"/>
      <c r="H221" s="7"/>
      <c r="I221" s="7"/>
      <c r="J221" s="7"/>
    </row>
    <row r="222" spans="1:10" s="386" customFormat="1" ht="16.2" thickTop="1">
      <c r="B222" s="6"/>
      <c r="C222" s="257">
        <v>1979501</v>
      </c>
      <c r="D222" s="66" t="s">
        <v>161</v>
      </c>
      <c r="E222" s="329">
        <v>0</v>
      </c>
      <c r="F222" s="387"/>
      <c r="G222" s="65" t="s">
        <v>158</v>
      </c>
      <c r="H222" s="7"/>
      <c r="I222" s="12"/>
      <c r="J222" s="12"/>
    </row>
    <row r="223" spans="1:10" s="386" customFormat="1" ht="15.6">
      <c r="C223" s="319">
        <f>C221-C222</f>
        <v>0</v>
      </c>
      <c r="D223" s="66" t="s">
        <v>87</v>
      </c>
      <c r="E223" s="328">
        <f>E221+E222+E207</f>
        <v>-50071.144716029099</v>
      </c>
      <c r="F223" s="387"/>
      <c r="G223" s="8">
        <f>(E207*(D224/12))+(E221*(D224/24))</f>
        <v>-56.390757171690929</v>
      </c>
      <c r="H223" s="7"/>
      <c r="I223" s="8"/>
      <c r="J223" s="10"/>
    </row>
    <row r="224" spans="1:10" s="386" customFormat="1" ht="15.6">
      <c r="C224" s="50"/>
      <c r="D224" s="226">
        <v>0.01</v>
      </c>
      <c r="E224" s="330">
        <f>ROUND(((E207)+(E221)/2)*(D224/12),2)</f>
        <v>-56.39</v>
      </c>
      <c r="F224" s="387"/>
      <c r="G224" s="65"/>
      <c r="H224" s="7"/>
      <c r="I224" s="10"/>
      <c r="J224" s="10"/>
    </row>
    <row r="225" spans="1:10" s="386" customFormat="1" ht="16.2" thickBot="1">
      <c r="A225" s="5"/>
      <c r="B225" s="5"/>
      <c r="C225" s="50" t="s">
        <v>1</v>
      </c>
      <c r="D225" s="143">
        <f>A210</f>
        <v>41487</v>
      </c>
      <c r="E225" s="331">
        <f>SUM(E223:E224)</f>
        <v>-50127.534716029098</v>
      </c>
      <c r="F225" s="387"/>
      <c r="G225" s="7"/>
      <c r="H225" s="7"/>
      <c r="I225" s="8"/>
      <c r="J225" s="7"/>
    </row>
    <row r="226" spans="1:10" ht="16.2" thickTop="1" thickBot="1"/>
    <row r="227" spans="1:10" s="386" customFormat="1" ht="15.6">
      <c r="A227" s="73" t="s">
        <v>142</v>
      </c>
      <c r="B227" s="74"/>
      <c r="C227" s="75"/>
      <c r="D227" s="76"/>
      <c r="E227" s="323"/>
      <c r="G227" s="16"/>
      <c r="H227" s="5"/>
      <c r="I227" s="56"/>
      <c r="J227" s="56"/>
    </row>
    <row r="228" spans="1:10" s="386" customFormat="1" ht="15.6">
      <c r="A228" s="220">
        <v>41518</v>
      </c>
      <c r="B228" s="71"/>
      <c r="C228" s="16"/>
      <c r="D228" s="72" t="s">
        <v>23</v>
      </c>
      <c r="E228" s="324" t="s">
        <v>21</v>
      </c>
      <c r="G228" s="5"/>
      <c r="H228" s="5"/>
      <c r="I228" s="8"/>
      <c r="J228" s="10"/>
    </row>
    <row r="229" spans="1:10" s="386" customFormat="1" ht="16.2" thickBot="1">
      <c r="A229" s="14"/>
      <c r="B229" s="18"/>
      <c r="C229" s="131" t="s">
        <v>21</v>
      </c>
      <c r="D229" s="131" t="s">
        <v>22</v>
      </c>
      <c r="E229" s="325" t="s">
        <v>23</v>
      </c>
      <c r="F229" s="387"/>
      <c r="G229" s="7"/>
      <c r="H229" s="7"/>
      <c r="I229" s="10"/>
      <c r="J229" s="10"/>
    </row>
    <row r="230" spans="1:10" s="386" customFormat="1" ht="15.6">
      <c r="A230" s="2" t="s">
        <v>24</v>
      </c>
      <c r="B230" s="17">
        <v>101</v>
      </c>
      <c r="C230" s="254">
        <v>1338764</v>
      </c>
      <c r="D230" s="391">
        <v>1.7780000000000001E-2</v>
      </c>
      <c r="E230" s="326">
        <v>23803.22392</v>
      </c>
      <c r="F230" s="387"/>
      <c r="G230" s="7"/>
      <c r="H230" s="7"/>
      <c r="I230" s="8"/>
      <c r="J230" s="7"/>
    </row>
    <row r="231" spans="1:10" s="386" customFormat="1" ht="16.2" thickBot="1">
      <c r="A231" s="2" t="s">
        <v>24</v>
      </c>
      <c r="B231" s="17">
        <v>111</v>
      </c>
      <c r="C231" s="254">
        <v>1168974</v>
      </c>
      <c r="D231" s="391">
        <v>1.7780000000000001E-2</v>
      </c>
      <c r="E231" s="326">
        <v>20784.35772</v>
      </c>
      <c r="F231" s="387"/>
      <c r="G231" s="146">
        <f>A228</f>
        <v>41518</v>
      </c>
      <c r="H231" s="147"/>
      <c r="I231" s="147"/>
      <c r="J231" s="147"/>
    </row>
    <row r="232" spans="1:10" s="386" customFormat="1" ht="16.2" thickBot="1">
      <c r="A232" s="2" t="s">
        <v>24</v>
      </c>
      <c r="B232" s="17">
        <v>112</v>
      </c>
      <c r="C232" s="254"/>
      <c r="D232" s="391"/>
      <c r="E232" s="326">
        <v>0</v>
      </c>
      <c r="F232" s="387"/>
      <c r="G232" s="102" t="s">
        <v>25</v>
      </c>
      <c r="H232" s="148"/>
      <c r="I232" s="149" t="s">
        <v>18</v>
      </c>
      <c r="J232" s="150" t="s">
        <v>19</v>
      </c>
    </row>
    <row r="233" spans="1:10" s="386" customFormat="1" ht="15.6">
      <c r="A233" s="2" t="s">
        <v>24</v>
      </c>
      <c r="B233" s="17">
        <v>121</v>
      </c>
      <c r="C233" s="254"/>
      <c r="D233" s="221"/>
      <c r="E233" s="326">
        <v>0</v>
      </c>
      <c r="F233" s="387"/>
      <c r="G233" s="151" t="s">
        <v>28</v>
      </c>
      <c r="H233" s="152" t="s">
        <v>77</v>
      </c>
      <c r="I233" s="108"/>
      <c r="J233" s="396">
        <v>0</v>
      </c>
    </row>
    <row r="234" spans="1:10" s="386" customFormat="1" ht="15.6">
      <c r="A234" s="2" t="s">
        <v>24</v>
      </c>
      <c r="B234" s="17">
        <v>122</v>
      </c>
      <c r="C234" s="255"/>
      <c r="D234" s="221"/>
      <c r="E234" s="326">
        <v>0</v>
      </c>
      <c r="F234" s="387"/>
      <c r="G234" s="153" t="s">
        <v>29</v>
      </c>
      <c r="H234" s="7" t="s">
        <v>78</v>
      </c>
      <c r="I234" s="397">
        <f>-E242</f>
        <v>23.19</v>
      </c>
      <c r="J234" s="223"/>
    </row>
    <row r="235" spans="1:10" s="386" customFormat="1" ht="15.6">
      <c r="A235" s="2" t="s">
        <v>24</v>
      </c>
      <c r="B235" s="17">
        <v>131</v>
      </c>
      <c r="C235" s="254">
        <v>0</v>
      </c>
      <c r="D235" s="391">
        <v>1.6570000000000001E-2</v>
      </c>
      <c r="E235" s="326">
        <v>0</v>
      </c>
      <c r="F235" s="387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6" customFormat="1" ht="15.6">
      <c r="A236" s="2" t="s">
        <v>24</v>
      </c>
      <c r="B236" s="17">
        <v>132</v>
      </c>
      <c r="C236" s="255"/>
      <c r="D236" s="121"/>
      <c r="E236" s="326">
        <v>0</v>
      </c>
      <c r="F236" s="387"/>
      <c r="G236" s="153" t="s">
        <v>10</v>
      </c>
      <c r="H236" s="7" t="s">
        <v>58</v>
      </c>
      <c r="I236" s="7">
        <v>0</v>
      </c>
      <c r="J236" s="109"/>
    </row>
    <row r="237" spans="1:10" s="386" customFormat="1" ht="16.2" thickBot="1">
      <c r="A237" s="2" t="s">
        <v>24</v>
      </c>
      <c r="B237" s="17" t="s">
        <v>61</v>
      </c>
      <c r="C237" s="255"/>
      <c r="D237" s="121"/>
      <c r="E237" s="326">
        <v>0</v>
      </c>
      <c r="F237" s="387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6" customFormat="1" ht="15.6">
      <c r="A238" s="2" t="s">
        <v>156</v>
      </c>
      <c r="B238" s="70"/>
      <c r="C238" s="253"/>
      <c r="D238" s="136"/>
      <c r="E238" s="327">
        <v>0</v>
      </c>
      <c r="F238" s="387"/>
      <c r="G238" s="7"/>
      <c r="H238" s="7"/>
      <c r="I238" s="8"/>
      <c r="J238" s="262">
        <f>ROUND(SUM(I233:J237),2)</f>
        <v>0</v>
      </c>
    </row>
    <row r="239" spans="1:10" s="386" customFormat="1" ht="16.2" thickBot="1">
      <c r="B239" s="6"/>
      <c r="C239" s="256">
        <f>SUM(C230:C238)</f>
        <v>2507738</v>
      </c>
      <c r="D239" s="155"/>
      <c r="E239" s="328">
        <f>SUM(E230:E238)</f>
        <v>44587.581640000004</v>
      </c>
      <c r="F239" s="387"/>
      <c r="G239" s="7"/>
      <c r="H239" s="7"/>
      <c r="I239" s="7"/>
      <c r="J239" s="7"/>
    </row>
    <row r="240" spans="1:10" s="386" customFormat="1" ht="16.2" thickTop="1">
      <c r="B240" s="6"/>
      <c r="C240" s="257">
        <v>2507738</v>
      </c>
      <c r="D240" s="66" t="s">
        <v>161</v>
      </c>
      <c r="E240" s="329">
        <v>0</v>
      </c>
      <c r="F240" s="387"/>
      <c r="G240" s="65" t="s">
        <v>158</v>
      </c>
      <c r="H240" s="7"/>
      <c r="I240" s="12"/>
      <c r="J240" s="12"/>
    </row>
    <row r="241" spans="1:10" s="386" customFormat="1" ht="15.6">
      <c r="C241" s="319">
        <f>C239-C240</f>
        <v>0</v>
      </c>
      <c r="D241" s="66" t="s">
        <v>87</v>
      </c>
      <c r="E241" s="328">
        <f>E239+E240+E225</f>
        <v>-5539.9530760290945</v>
      </c>
      <c r="F241" s="387"/>
      <c r="G241" s="8">
        <f>(E225*(D242/12))+(E239*(D242/24))</f>
        <v>-23.194786580024246</v>
      </c>
      <c r="H241" s="7"/>
      <c r="I241" s="8"/>
      <c r="J241" s="10"/>
    </row>
    <row r="242" spans="1:10" s="386" customFormat="1" ht="15.6">
      <c r="C242" s="50"/>
      <c r="D242" s="226">
        <v>0.01</v>
      </c>
      <c r="E242" s="330">
        <f>ROUND(((E225)+(E239)/2)*(D242/12),2)</f>
        <v>-23.19</v>
      </c>
      <c r="F242" s="387"/>
      <c r="G242" s="65"/>
      <c r="H242" s="7"/>
      <c r="I242" s="10"/>
      <c r="J242" s="10"/>
    </row>
    <row r="243" spans="1:10" s="386" customFormat="1" ht="15.6">
      <c r="A243" s="5"/>
      <c r="B243" s="5"/>
      <c r="C243" s="50" t="s">
        <v>1</v>
      </c>
      <c r="D243" s="143">
        <f>A228</f>
        <v>41518</v>
      </c>
      <c r="E243" s="330">
        <f>SUM(E241:E242)</f>
        <v>-5563.1430760290941</v>
      </c>
      <c r="F243" s="387"/>
      <c r="G243" s="7"/>
      <c r="H243" s="7"/>
      <c r="I243" s="8"/>
      <c r="J243" s="7"/>
    </row>
    <row r="244" spans="1:10" s="386" customFormat="1" ht="15.6">
      <c r="A244" s="5"/>
      <c r="B244" s="5"/>
      <c r="C244" s="50"/>
      <c r="D244" s="463" t="s">
        <v>227</v>
      </c>
      <c r="E244" s="465">
        <f>'ID Def 191010'!C131*-1</f>
        <v>108659.43754694135</v>
      </c>
      <c r="F244" s="387"/>
      <c r="G244" s="7"/>
      <c r="H244" s="7"/>
      <c r="I244" s="8"/>
      <c r="J244" s="7"/>
    </row>
    <row r="245" spans="1:10" s="386" customFormat="1" ht="16.2" thickBot="1">
      <c r="A245" s="5"/>
      <c r="B245" s="5"/>
      <c r="C245" s="50"/>
      <c r="D245" s="463" t="s">
        <v>228</v>
      </c>
      <c r="E245" s="466">
        <f>SUM(E243:E244)</f>
        <v>103096.29447091225</v>
      </c>
      <c r="F245" s="387"/>
      <c r="G245" s="7"/>
      <c r="H245" s="7"/>
      <c r="I245" s="8"/>
      <c r="J245" s="7"/>
    </row>
    <row r="246" spans="1:10" ht="16.2" thickTop="1" thickBot="1"/>
    <row r="247" spans="1:10" s="386" customFormat="1" ht="15.6">
      <c r="A247" s="73" t="s">
        <v>142</v>
      </c>
      <c r="B247" s="74"/>
      <c r="C247" s="75"/>
      <c r="D247" s="76"/>
      <c r="E247" s="323"/>
      <c r="G247" s="16"/>
      <c r="H247" s="5"/>
      <c r="I247" s="56"/>
      <c r="J247" s="56"/>
    </row>
    <row r="248" spans="1:10" s="386" customFormat="1" ht="15.6">
      <c r="A248" s="220">
        <v>41578</v>
      </c>
      <c r="B248" s="71"/>
      <c r="C248" s="16"/>
      <c r="D248" s="72" t="s">
        <v>23</v>
      </c>
      <c r="E248" s="324" t="s">
        <v>21</v>
      </c>
      <c r="G248" s="5"/>
      <c r="H248" s="5"/>
      <c r="I248" s="8"/>
      <c r="J248" s="10"/>
    </row>
    <row r="249" spans="1:10" s="386" customFormat="1" ht="16.2" thickBot="1">
      <c r="A249" s="14"/>
      <c r="B249" s="18"/>
      <c r="C249" s="131" t="s">
        <v>21</v>
      </c>
      <c r="D249" s="131" t="s">
        <v>22</v>
      </c>
      <c r="E249" s="325" t="s">
        <v>23</v>
      </c>
      <c r="F249" s="387"/>
      <c r="G249" s="7"/>
      <c r="H249" s="7"/>
      <c r="I249" s="10"/>
      <c r="J249" s="10"/>
    </row>
    <row r="250" spans="1:10" s="386" customFormat="1" ht="15.6">
      <c r="A250" s="2" t="s">
        <v>24</v>
      </c>
      <c r="B250" s="17">
        <v>101</v>
      </c>
      <c r="C250" s="254">
        <v>4291264</v>
      </c>
      <c r="D250" s="391" t="s">
        <v>188</v>
      </c>
      <c r="E250" s="326">
        <v>2709.04</v>
      </c>
      <c r="F250" s="387"/>
      <c r="G250" s="7"/>
      <c r="H250" s="7"/>
      <c r="I250" s="8"/>
      <c r="J250" s="7"/>
    </row>
    <row r="251" spans="1:10" s="386" customFormat="1" ht="16.2" thickBot="1">
      <c r="A251" s="2" t="s">
        <v>24</v>
      </c>
      <c r="B251" s="17">
        <v>111</v>
      </c>
      <c r="C251" s="254">
        <v>1602282</v>
      </c>
      <c r="D251" s="391" t="s">
        <v>188</v>
      </c>
      <c r="E251" s="326">
        <v>-3558.27</v>
      </c>
      <c r="F251" s="387"/>
      <c r="G251" s="146">
        <f>A248</f>
        <v>41578</v>
      </c>
      <c r="H251" s="147"/>
      <c r="I251" s="147"/>
      <c r="J251" s="147"/>
    </row>
    <row r="252" spans="1:10" s="386" customFormat="1" ht="16.2" thickBot="1">
      <c r="A252" s="2" t="s">
        <v>24</v>
      </c>
      <c r="B252" s="17">
        <v>112</v>
      </c>
      <c r="C252" s="254"/>
      <c r="D252" s="391"/>
      <c r="E252" s="326">
        <v>0</v>
      </c>
      <c r="F252" s="387"/>
      <c r="G252" s="102" t="s">
        <v>25</v>
      </c>
      <c r="H252" s="148"/>
      <c r="I252" s="149" t="s">
        <v>18</v>
      </c>
      <c r="J252" s="150" t="s">
        <v>19</v>
      </c>
    </row>
    <row r="253" spans="1:10" s="386" customFormat="1" ht="15.6">
      <c r="A253" s="2" t="s">
        <v>24</v>
      </c>
      <c r="B253" s="17">
        <v>121</v>
      </c>
      <c r="C253" s="254"/>
      <c r="D253" s="221"/>
      <c r="E253" s="326">
        <v>0</v>
      </c>
      <c r="F253" s="387"/>
      <c r="G253" s="151" t="s">
        <v>28</v>
      </c>
      <c r="H253" s="152" t="s">
        <v>77</v>
      </c>
      <c r="I253" s="108"/>
      <c r="J253" s="396">
        <f>IF(E262&gt;0,-E262,0)</f>
        <v>-93.84</v>
      </c>
    </row>
    <row r="254" spans="1:10" s="386" customFormat="1" ht="15.6">
      <c r="A254" s="2" t="s">
        <v>24</v>
      </c>
      <c r="B254" s="17">
        <v>122</v>
      </c>
      <c r="C254" s="255"/>
      <c r="D254" s="221"/>
      <c r="E254" s="326">
        <v>0</v>
      </c>
      <c r="F254" s="387"/>
      <c r="G254" s="153" t="s">
        <v>29</v>
      </c>
      <c r="H254" s="7" t="s">
        <v>78</v>
      </c>
      <c r="I254" s="397">
        <f>IF(E262&lt;0,-E262,0)</f>
        <v>0</v>
      </c>
      <c r="J254" s="223"/>
    </row>
    <row r="255" spans="1:10" s="386" customFormat="1" ht="15.6">
      <c r="A255" s="2" t="s">
        <v>24</v>
      </c>
      <c r="B255" s="17">
        <v>131</v>
      </c>
      <c r="C255" s="254">
        <v>0</v>
      </c>
      <c r="D255" s="391" t="s">
        <v>188</v>
      </c>
      <c r="E255" s="326">
        <v>0</v>
      </c>
      <c r="F255" s="387"/>
      <c r="G255" s="153" t="s">
        <v>99</v>
      </c>
      <c r="H255" s="7" t="s">
        <v>60</v>
      </c>
      <c r="I255" s="397">
        <f>IF((E245-E261)&gt;0,E245-E261,0)</f>
        <v>0</v>
      </c>
      <c r="J255" s="397">
        <f>IF((E245-E261)&lt;0,E245-E261,0)</f>
        <v>-19013.619999999995</v>
      </c>
    </row>
    <row r="256" spans="1:10" s="386" customFormat="1" ht="15.6">
      <c r="A256" s="2" t="s">
        <v>24</v>
      </c>
      <c r="B256" s="17">
        <v>132</v>
      </c>
      <c r="C256" s="255"/>
      <c r="D256" s="121"/>
      <c r="E256" s="326">
        <v>0</v>
      </c>
      <c r="F256" s="387"/>
      <c r="G256" s="153" t="s">
        <v>10</v>
      </c>
      <c r="H256" s="7" t="s">
        <v>58</v>
      </c>
      <c r="I256" s="7"/>
      <c r="J256" s="462"/>
    </row>
    <row r="257" spans="1:10" s="386" customFormat="1" ht="16.2" thickBot="1">
      <c r="A257" s="2" t="s">
        <v>24</v>
      </c>
      <c r="B257" s="17" t="s">
        <v>61</v>
      </c>
      <c r="C257" s="255"/>
      <c r="D257" s="121"/>
      <c r="E257" s="326">
        <v>0</v>
      </c>
      <c r="F257" s="387"/>
      <c r="G257" s="154" t="s">
        <v>100</v>
      </c>
      <c r="H257" s="147" t="s">
        <v>62</v>
      </c>
      <c r="I257" s="464">
        <f>IF((E263-E245)&gt;0,E263-E245,0)</f>
        <v>19107.459999999992</v>
      </c>
      <c r="J257" s="107">
        <f>IF((E263-E245)&lt;0,E263-E245,0)</f>
        <v>0</v>
      </c>
    </row>
    <row r="258" spans="1:10" s="386" customFormat="1" ht="15.6">
      <c r="A258" s="2" t="s">
        <v>156</v>
      </c>
      <c r="B258" s="70"/>
      <c r="C258" s="253"/>
      <c r="D258" s="136"/>
      <c r="E258" s="327">
        <v>19862.850000000002</v>
      </c>
      <c r="F258" s="387"/>
      <c r="G258" s="7"/>
      <c r="H258" s="7"/>
      <c r="I258" s="8"/>
      <c r="J258" s="262">
        <f>ROUND(SUM(I253:J257),2)</f>
        <v>0</v>
      </c>
    </row>
    <row r="259" spans="1:10" s="386" customFormat="1" ht="16.2" thickBot="1">
      <c r="B259" s="6"/>
      <c r="C259" s="256">
        <f>SUM(C250:C258)</f>
        <v>5893546</v>
      </c>
      <c r="D259" s="155"/>
      <c r="E259" s="328">
        <f>SUM(E250:E258)</f>
        <v>19013.620000000003</v>
      </c>
      <c r="F259" s="387"/>
      <c r="G259" s="7"/>
      <c r="H259" s="7"/>
      <c r="I259" s="7"/>
      <c r="J259" s="7"/>
    </row>
    <row r="260" spans="1:10" s="386" customFormat="1" ht="16.2" thickTop="1">
      <c r="B260" s="6"/>
      <c r="C260" s="257"/>
      <c r="D260" s="66" t="s">
        <v>161</v>
      </c>
      <c r="E260" s="329">
        <v>0</v>
      </c>
      <c r="F260" s="387">
        <f>E251+E250</f>
        <v>-849.23</v>
      </c>
      <c r="G260" s="65" t="s">
        <v>158</v>
      </c>
      <c r="H260" s="7"/>
      <c r="I260" s="12"/>
      <c r="J260" s="12"/>
    </row>
    <row r="261" spans="1:10" s="386" customFormat="1" ht="15.6">
      <c r="C261" s="319">
        <f>C259-C260</f>
        <v>5893546</v>
      </c>
      <c r="D261" s="66" t="s">
        <v>87</v>
      </c>
      <c r="E261" s="328">
        <f>E259+E260+E245</f>
        <v>122109.91447091225</v>
      </c>
      <c r="F261" s="387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6" customFormat="1" ht="15.6">
      <c r="C262" s="50"/>
      <c r="D262" s="226">
        <v>0.01</v>
      </c>
      <c r="E262" s="330">
        <f>ROUND(((E245)+(E259)/2)*(D262/12),2)</f>
        <v>93.84</v>
      </c>
      <c r="F262" s="387"/>
      <c r="G262" s="65"/>
      <c r="H262" s="7"/>
      <c r="I262" s="10"/>
      <c r="J262" s="10"/>
    </row>
    <row r="263" spans="1:10" s="386" customFormat="1" ht="16.2" thickBot="1">
      <c r="A263" s="5"/>
      <c r="B263" s="5"/>
      <c r="C263" s="50" t="s">
        <v>1</v>
      </c>
      <c r="D263" s="143">
        <f>A248</f>
        <v>41578</v>
      </c>
      <c r="E263" s="331">
        <f>SUM(E261:E262)</f>
        <v>122203.75447091224</v>
      </c>
      <c r="F263" s="387"/>
      <c r="G263" s="7"/>
      <c r="H263" s="7"/>
      <c r="I263" s="8"/>
      <c r="J263" s="7"/>
    </row>
    <row r="264" spans="1:10" s="386" customFormat="1" ht="16.2" thickTop="1" thickBot="1">
      <c r="E264" s="322"/>
    </row>
    <row r="265" spans="1:10" s="386" customFormat="1" ht="15.6">
      <c r="A265" s="73" t="s">
        <v>142</v>
      </c>
      <c r="B265" s="74"/>
      <c r="C265" s="75"/>
      <c r="D265" s="76"/>
      <c r="E265" s="323"/>
      <c r="G265" s="16"/>
      <c r="H265" s="5"/>
      <c r="I265" s="56"/>
      <c r="J265" s="56"/>
    </row>
    <row r="266" spans="1:10" s="386" customFormat="1" ht="15.6">
      <c r="A266" s="220">
        <f>EOMONTH(A248,1)</f>
        <v>41608</v>
      </c>
      <c r="B266" s="71"/>
      <c r="C266" s="16"/>
      <c r="D266" s="72" t="s">
        <v>23</v>
      </c>
      <c r="E266" s="324" t="s">
        <v>21</v>
      </c>
      <c r="G266" s="5"/>
      <c r="H266" s="5"/>
      <c r="I266" s="8"/>
      <c r="J266" s="10"/>
    </row>
    <row r="267" spans="1:10" s="386" customFormat="1" ht="16.2" thickBot="1">
      <c r="A267" s="14"/>
      <c r="B267" s="18"/>
      <c r="C267" s="131" t="s">
        <v>21</v>
      </c>
      <c r="D267" s="131" t="s">
        <v>22</v>
      </c>
      <c r="E267" s="325" t="s">
        <v>23</v>
      </c>
      <c r="F267" s="387"/>
      <c r="G267" s="7"/>
      <c r="H267" s="7"/>
      <c r="I267" s="10"/>
      <c r="J267" s="10"/>
    </row>
    <row r="268" spans="1:10" s="386" customFormat="1" ht="15.6">
      <c r="A268" s="2" t="s">
        <v>24</v>
      </c>
      <c r="B268" s="17">
        <v>101</v>
      </c>
      <c r="C268" s="254">
        <v>7085932</v>
      </c>
      <c r="D268" s="391" t="s">
        <v>188</v>
      </c>
      <c r="E268" s="326">
        <v>-478.93</v>
      </c>
      <c r="F268" s="387"/>
      <c r="G268" s="7"/>
      <c r="H268" s="7"/>
      <c r="I268" s="8"/>
      <c r="J268" s="7"/>
    </row>
    <row r="269" spans="1:10" s="386" customFormat="1" ht="16.2" thickBot="1">
      <c r="A269" s="2" t="s">
        <v>24</v>
      </c>
      <c r="B269" s="17">
        <v>111</v>
      </c>
      <c r="C269" s="254">
        <v>2422167</v>
      </c>
      <c r="D269" s="391" t="s">
        <v>188</v>
      </c>
      <c r="E269" s="326">
        <v>80.569999999999993</v>
      </c>
      <c r="F269" s="387"/>
      <c r="G269" s="146">
        <f>A266</f>
        <v>41608</v>
      </c>
      <c r="H269" s="147"/>
      <c r="I269" s="147"/>
      <c r="J269" s="147"/>
    </row>
    <row r="270" spans="1:10" s="386" customFormat="1" ht="16.2" thickBot="1">
      <c r="A270" s="2" t="s">
        <v>24</v>
      </c>
      <c r="B270" s="17">
        <v>112</v>
      </c>
      <c r="C270" s="254"/>
      <c r="D270" s="391"/>
      <c r="E270" s="326">
        <v>0</v>
      </c>
      <c r="F270" s="387"/>
      <c r="G270" s="102" t="s">
        <v>25</v>
      </c>
      <c r="H270" s="148"/>
      <c r="I270" s="149" t="s">
        <v>18</v>
      </c>
      <c r="J270" s="150" t="s">
        <v>19</v>
      </c>
    </row>
    <row r="271" spans="1:10" s="386" customFormat="1" ht="15.6">
      <c r="A271" s="2" t="s">
        <v>24</v>
      </c>
      <c r="B271" s="17">
        <v>121</v>
      </c>
      <c r="C271" s="254"/>
      <c r="D271" s="221"/>
      <c r="E271" s="326">
        <v>0</v>
      </c>
      <c r="F271" s="387"/>
      <c r="G271" s="151" t="s">
        <v>28</v>
      </c>
      <c r="H271" s="152" t="s">
        <v>77</v>
      </c>
      <c r="I271" s="108"/>
      <c r="J271" s="396">
        <f>IF(E280&gt;0,-E280,0)</f>
        <v>-101.67</v>
      </c>
    </row>
    <row r="272" spans="1:10" s="386" customFormat="1" ht="15.6">
      <c r="A272" s="2" t="s">
        <v>24</v>
      </c>
      <c r="B272" s="17">
        <v>122</v>
      </c>
      <c r="C272" s="255"/>
      <c r="D272" s="221"/>
      <c r="E272" s="326">
        <v>0</v>
      </c>
      <c r="F272" s="387"/>
      <c r="G272" s="153" t="s">
        <v>29</v>
      </c>
      <c r="H272" s="7" t="s">
        <v>78</v>
      </c>
      <c r="I272" s="397">
        <f>IF(E280&lt;0,-E280,0)</f>
        <v>0</v>
      </c>
      <c r="J272" s="223"/>
    </row>
    <row r="273" spans="1:10" s="386" customFormat="1" ht="15.6">
      <c r="A273" s="2" t="s">
        <v>24</v>
      </c>
      <c r="B273" s="17">
        <v>131</v>
      </c>
      <c r="C273" s="254">
        <v>0</v>
      </c>
      <c r="D273" s="391" t="s">
        <v>188</v>
      </c>
      <c r="E273" s="326">
        <v>0</v>
      </c>
      <c r="F273" s="387"/>
      <c r="G273" s="153" t="s">
        <v>99</v>
      </c>
      <c r="H273" s="7" t="s">
        <v>60</v>
      </c>
      <c r="I273" s="397">
        <f>IF((E263-E279)&gt;0,E263-E279,0)</f>
        <v>398.36000000000058</v>
      </c>
      <c r="J273" s="397">
        <f>IF((E263-E279)&lt;0,E263-E279,0)</f>
        <v>0</v>
      </c>
    </row>
    <row r="274" spans="1:10" s="386" customFormat="1" ht="15.6">
      <c r="A274" s="2" t="s">
        <v>24</v>
      </c>
      <c r="B274" s="17">
        <v>132</v>
      </c>
      <c r="C274" s="255"/>
      <c r="D274" s="121"/>
      <c r="E274" s="326">
        <v>0</v>
      </c>
      <c r="F274" s="387"/>
      <c r="G274" s="153" t="s">
        <v>10</v>
      </c>
      <c r="H274" s="7" t="s">
        <v>58</v>
      </c>
      <c r="I274" s="7"/>
      <c r="J274" s="462"/>
    </row>
    <row r="275" spans="1:10" s="386" customFormat="1" ht="16.2" thickBot="1">
      <c r="A275" s="2" t="s">
        <v>24</v>
      </c>
      <c r="B275" s="17" t="s">
        <v>61</v>
      </c>
      <c r="C275" s="255"/>
      <c r="D275" s="121"/>
      <c r="E275" s="326">
        <v>0</v>
      </c>
      <c r="F275" s="387"/>
      <c r="G275" s="154" t="s">
        <v>100</v>
      </c>
      <c r="H275" s="147" t="s">
        <v>62</v>
      </c>
      <c r="I275" s="464">
        <f>IF((E281-E263)&gt;0,E281-E263,0)</f>
        <v>0</v>
      </c>
      <c r="J275" s="107">
        <f>IF((E281-E263)&lt;0,E281-E263,0)</f>
        <v>-296.69000000000233</v>
      </c>
    </row>
    <row r="276" spans="1:10" s="386" customFormat="1" ht="15.6">
      <c r="A276" s="2" t="s">
        <v>156</v>
      </c>
      <c r="B276" s="70"/>
      <c r="C276" s="253"/>
      <c r="D276" s="136"/>
      <c r="E276" s="327">
        <v>0</v>
      </c>
      <c r="F276" s="387"/>
      <c r="G276" s="7"/>
      <c r="H276" s="7"/>
      <c r="I276" s="8"/>
      <c r="J276" s="262">
        <f>ROUND(SUM(I271:J275),2)</f>
        <v>0</v>
      </c>
    </row>
    <row r="277" spans="1:10" s="386" customFormat="1" ht="16.2" thickBot="1">
      <c r="B277" s="6"/>
      <c r="C277" s="256">
        <f>SUM(C268:C276)</f>
        <v>9508099</v>
      </c>
      <c r="D277" s="155"/>
      <c r="E277" s="328">
        <f>SUM(E268:E276)</f>
        <v>-398.36</v>
      </c>
      <c r="F277" s="387"/>
      <c r="G277" s="7"/>
      <c r="H277" s="7"/>
      <c r="I277" s="7"/>
      <c r="J277" s="7"/>
    </row>
    <row r="278" spans="1:10" s="386" customFormat="1" ht="16.2" thickTop="1">
      <c r="B278" s="6"/>
      <c r="C278" s="257">
        <v>9508099</v>
      </c>
      <c r="D278" s="66" t="s">
        <v>161</v>
      </c>
      <c r="E278" s="329">
        <v>0</v>
      </c>
      <c r="F278" s="387"/>
      <c r="G278" s="65" t="s">
        <v>158</v>
      </c>
      <c r="H278" s="7"/>
      <c r="I278" s="12"/>
      <c r="J278" s="12"/>
    </row>
    <row r="279" spans="1:10" s="386" customFormat="1" ht="15.6">
      <c r="C279" s="319">
        <f>C277-C278</f>
        <v>0</v>
      </c>
      <c r="D279" s="66" t="s">
        <v>87</v>
      </c>
      <c r="E279" s="328">
        <f>E277+E278+E263</f>
        <v>121805.39447091224</v>
      </c>
      <c r="F279" s="387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6" customFormat="1" ht="15.6">
      <c r="C280" s="50"/>
      <c r="D280" s="226">
        <v>0.01</v>
      </c>
      <c r="E280" s="330">
        <f>ROUND(((E263)+(E277)/2)*(D280/12),2)</f>
        <v>101.67</v>
      </c>
      <c r="F280" s="387"/>
      <c r="G280" s="65"/>
      <c r="H280" s="7"/>
      <c r="I280" s="10"/>
      <c r="J280" s="10"/>
    </row>
    <row r="281" spans="1:10" s="386" customFormat="1" ht="16.2" thickBot="1">
      <c r="A281" s="5"/>
      <c r="B281" s="5"/>
      <c r="C281" s="50" t="s">
        <v>1</v>
      </c>
      <c r="D281" s="143">
        <f>A266</f>
        <v>41608</v>
      </c>
      <c r="E281" s="331">
        <f>SUM(E279:E280)</f>
        <v>121907.06447091224</v>
      </c>
      <c r="F281" s="387"/>
      <c r="G281" s="7"/>
      <c r="H281" s="7"/>
      <c r="I281" s="8"/>
      <c r="J281" s="7"/>
    </row>
    <row r="282" spans="1:10" s="386" customFormat="1" ht="16.2" thickTop="1" thickBot="1">
      <c r="E282" s="322"/>
    </row>
    <row r="283" spans="1:10" s="386" customFormat="1" ht="15.6">
      <c r="A283" s="73" t="s">
        <v>142</v>
      </c>
      <c r="B283" s="74"/>
      <c r="C283" s="75"/>
      <c r="D283" s="76"/>
      <c r="E283" s="323"/>
      <c r="G283" s="16"/>
      <c r="H283" s="5"/>
      <c r="I283" s="56"/>
      <c r="J283" s="56"/>
    </row>
    <row r="284" spans="1:10" s="386" customFormat="1" ht="15.6">
      <c r="A284" s="220">
        <f>EOMONTH(A266,1)</f>
        <v>41639</v>
      </c>
      <c r="B284" s="71"/>
      <c r="C284" s="16"/>
      <c r="D284" s="72" t="s">
        <v>23</v>
      </c>
      <c r="E284" s="324" t="s">
        <v>21</v>
      </c>
      <c r="G284" s="5"/>
      <c r="H284" s="5"/>
      <c r="I284" s="8"/>
      <c r="J284" s="10"/>
    </row>
    <row r="285" spans="1:10" s="386" customFormat="1" ht="16.2" thickBot="1">
      <c r="A285" s="14"/>
      <c r="B285" s="18"/>
      <c r="C285" s="131" t="s">
        <v>21</v>
      </c>
      <c r="D285" s="131" t="s">
        <v>22</v>
      </c>
      <c r="E285" s="325" t="s">
        <v>23</v>
      </c>
      <c r="F285" s="387"/>
      <c r="G285" s="7"/>
      <c r="H285" s="7"/>
      <c r="I285" s="10"/>
      <c r="J285" s="10"/>
    </row>
    <row r="286" spans="1:10" s="386" customFormat="1" ht="15.6">
      <c r="A286" s="2" t="s">
        <v>24</v>
      </c>
      <c r="B286" s="17">
        <v>101</v>
      </c>
      <c r="C286" s="254">
        <f>Jan!$K$23</f>
        <v>8841051</v>
      </c>
      <c r="D286" s="391">
        <v>-1.4999999999999999E-4</v>
      </c>
      <c r="E286" s="326">
        <f>C286*D286</f>
        <v>-1326.1576499999999</v>
      </c>
      <c r="F286" s="387"/>
      <c r="G286" s="7"/>
      <c r="H286" s="7"/>
      <c r="I286" s="8"/>
      <c r="J286" s="7"/>
    </row>
    <row r="287" spans="1:10" s="386" customFormat="1" ht="16.2" thickBot="1">
      <c r="A287" s="2" t="s">
        <v>24</v>
      </c>
      <c r="B287" s="17">
        <v>111</v>
      </c>
      <c r="C287" s="254">
        <f>Jan!$K$24</f>
        <v>2843963</v>
      </c>
      <c r="D287" s="391">
        <v>-1.4999999999999999E-4</v>
      </c>
      <c r="E287" s="326">
        <f t="shared" ref="E287:E293" si="5">C287*D287</f>
        <v>-426.59444999999994</v>
      </c>
      <c r="F287" s="387"/>
      <c r="G287" s="146">
        <f>A284</f>
        <v>41639</v>
      </c>
      <c r="H287" s="147"/>
      <c r="I287" s="147"/>
      <c r="J287" s="147"/>
    </row>
    <row r="288" spans="1:10" s="386" customFormat="1" ht="16.2" thickBot="1">
      <c r="A288" s="2" t="s">
        <v>24</v>
      </c>
      <c r="B288" s="17">
        <v>112</v>
      </c>
      <c r="C288" s="254"/>
      <c r="D288" s="391"/>
      <c r="E288" s="326">
        <f t="shared" si="5"/>
        <v>0</v>
      </c>
      <c r="F288" s="387"/>
      <c r="G288" s="102" t="s">
        <v>25</v>
      </c>
      <c r="H288" s="148"/>
      <c r="I288" s="149" t="s">
        <v>18</v>
      </c>
      <c r="J288" s="150" t="s">
        <v>19</v>
      </c>
    </row>
    <row r="289" spans="1:10" s="386" customFormat="1" ht="15.6">
      <c r="A289" s="2" t="s">
        <v>24</v>
      </c>
      <c r="B289" s="17">
        <v>121</v>
      </c>
      <c r="C289" s="254"/>
      <c r="D289" s="221"/>
      <c r="E289" s="326">
        <f t="shared" si="5"/>
        <v>0</v>
      </c>
      <c r="F289" s="387"/>
      <c r="G289" s="151" t="s">
        <v>28</v>
      </c>
      <c r="H289" s="152" t="s">
        <v>77</v>
      </c>
      <c r="I289" s="108"/>
      <c r="J289" s="396">
        <f>IF(E298&gt;0,-E298,0)</f>
        <v>-100.86</v>
      </c>
    </row>
    <row r="290" spans="1:10" s="386" customFormat="1" ht="15.6">
      <c r="A290" s="2" t="s">
        <v>24</v>
      </c>
      <c r="B290" s="17">
        <v>122</v>
      </c>
      <c r="C290" s="255"/>
      <c r="D290" s="221"/>
      <c r="E290" s="326">
        <f t="shared" si="5"/>
        <v>0</v>
      </c>
      <c r="F290" s="387"/>
      <c r="G290" s="153" t="s">
        <v>29</v>
      </c>
      <c r="H290" s="7" t="s">
        <v>78</v>
      </c>
      <c r="I290" s="397">
        <f>IF(E298&lt;0,-E298,0)</f>
        <v>0</v>
      </c>
      <c r="J290" s="223"/>
    </row>
    <row r="291" spans="1:10" s="386" customFormat="1" ht="15.6">
      <c r="A291" s="2" t="s">
        <v>24</v>
      </c>
      <c r="B291" s="17">
        <v>131</v>
      </c>
      <c r="C291" s="254">
        <f>Jan!$K$41</f>
        <v>0</v>
      </c>
      <c r="D291" s="391">
        <v>1.042E-2</v>
      </c>
      <c r="E291" s="326">
        <f t="shared" si="5"/>
        <v>0</v>
      </c>
      <c r="F291" s="387"/>
      <c r="G291" s="153" t="s">
        <v>99</v>
      </c>
      <c r="H291" s="7" t="s">
        <v>60</v>
      </c>
      <c r="I291" s="397">
        <f>IF((E281-E297)&gt;0,E281-E297,0)</f>
        <v>1752.7520999999979</v>
      </c>
      <c r="J291" s="397">
        <f>IF((E281-E297)&lt;0,E281-E297,0)</f>
        <v>0</v>
      </c>
    </row>
    <row r="292" spans="1:10" s="386" customFormat="1" ht="15.6">
      <c r="A292" s="2" t="s">
        <v>24</v>
      </c>
      <c r="B292" s="17">
        <v>132</v>
      </c>
      <c r="C292" s="255"/>
      <c r="D292" s="121"/>
      <c r="E292" s="326">
        <f t="shared" si="5"/>
        <v>0</v>
      </c>
      <c r="F292" s="387"/>
      <c r="G292" s="153" t="s">
        <v>10</v>
      </c>
      <c r="H292" s="7" t="s">
        <v>58</v>
      </c>
      <c r="I292" s="7"/>
      <c r="J292" s="462"/>
    </row>
    <row r="293" spans="1:10" s="386" customFormat="1" ht="16.2" thickBot="1">
      <c r="A293" s="2" t="s">
        <v>24</v>
      </c>
      <c r="B293" s="17" t="s">
        <v>61</v>
      </c>
      <c r="C293" s="255"/>
      <c r="D293" s="121"/>
      <c r="E293" s="326">
        <f t="shared" si="5"/>
        <v>0</v>
      </c>
      <c r="F293" s="387"/>
      <c r="G293" s="154" t="s">
        <v>100</v>
      </c>
      <c r="H293" s="147" t="s">
        <v>62</v>
      </c>
      <c r="I293" s="464">
        <f>IF((E299-E281)&gt;0,E299-E281,0)</f>
        <v>0</v>
      </c>
      <c r="J293" s="107">
        <f>IF((E299-E281)&lt;0,E299-E281,0)</f>
        <v>-1651.8920999999973</v>
      </c>
    </row>
    <row r="294" spans="1:10" s="386" customFormat="1" ht="15.6">
      <c r="A294" s="2" t="s">
        <v>156</v>
      </c>
      <c r="B294" s="70"/>
      <c r="C294" s="253"/>
      <c r="D294" s="136"/>
      <c r="E294" s="327">
        <v>0</v>
      </c>
      <c r="F294" s="387"/>
      <c r="G294" s="7"/>
      <c r="H294" s="7"/>
      <c r="I294" s="8"/>
      <c r="J294" s="262">
        <f>ROUND(SUM(I289:J293),2)</f>
        <v>0</v>
      </c>
    </row>
    <row r="295" spans="1:10" s="386" customFormat="1" ht="16.2" thickBot="1">
      <c r="B295" s="6"/>
      <c r="C295" s="256">
        <f>SUM(C286:C294)</f>
        <v>11685014</v>
      </c>
      <c r="D295" s="155"/>
      <c r="E295" s="328">
        <f>SUM(E286:E294)</f>
        <v>-1752.7520999999997</v>
      </c>
      <c r="F295" s="387"/>
      <c r="G295" s="7"/>
      <c r="H295" s="7"/>
      <c r="I295" s="7"/>
      <c r="J295" s="7"/>
    </row>
    <row r="296" spans="1:10" s="386" customFormat="1" ht="16.2" thickTop="1">
      <c r="B296" s="6"/>
      <c r="C296" s="257">
        <v>13760186</v>
      </c>
      <c r="D296" s="66" t="s">
        <v>161</v>
      </c>
      <c r="E296" s="329">
        <v>0</v>
      </c>
      <c r="F296" s="387"/>
      <c r="G296" s="65" t="s">
        <v>158</v>
      </c>
      <c r="H296" s="7"/>
      <c r="I296" s="12"/>
      <c r="J296" s="12"/>
    </row>
    <row r="297" spans="1:10" s="386" customFormat="1" ht="15.6">
      <c r="C297" s="319">
        <f>C295-C296</f>
        <v>-2075172</v>
      </c>
      <c r="D297" s="66" t="s">
        <v>87</v>
      </c>
      <c r="E297" s="328">
        <f>E295+E296+E281</f>
        <v>120154.31237091224</v>
      </c>
      <c r="F297" s="387"/>
      <c r="G297" s="8">
        <f>(E279*(D298/12))+(E295*(D298/24))</f>
        <v>100.77418201742688</v>
      </c>
      <c r="H297" s="7">
        <f>E298-G297</f>
        <v>8.5817982573118456E-2</v>
      </c>
      <c r="I297" s="8"/>
      <c r="J297" s="10"/>
    </row>
    <row r="298" spans="1:10" s="386" customFormat="1" ht="15.6">
      <c r="C298" s="50"/>
      <c r="D298" s="226">
        <v>0.01</v>
      </c>
      <c r="E298" s="330">
        <f>ROUND(((E281)+(E295)/2)*(D298/12),2)</f>
        <v>100.86</v>
      </c>
      <c r="F298" s="387"/>
      <c r="G298" s="65"/>
      <c r="H298" s="7"/>
      <c r="I298" s="10"/>
      <c r="J298" s="10"/>
    </row>
    <row r="299" spans="1:10" s="386" customFormat="1" ht="16.2" thickBot="1">
      <c r="A299" s="5"/>
      <c r="B299" s="5"/>
      <c r="C299" s="50" t="s">
        <v>1</v>
      </c>
      <c r="D299" s="143">
        <f>A284</f>
        <v>41639</v>
      </c>
      <c r="E299" s="331">
        <f>SUM(E297:E298)</f>
        <v>120255.17237091225</v>
      </c>
      <c r="F299" s="387"/>
      <c r="G299" s="477" t="s">
        <v>246</v>
      </c>
      <c r="H299" s="478" t="e">
        <f>_xll.Get_Balance(I299,"YTD","USD","Total","A","","001","191000","GD","ID","DL")-E299</f>
        <v>#VALUE!</v>
      </c>
      <c r="I299" s="479">
        <v>201312</v>
      </c>
      <c r="J299" s="7"/>
    </row>
    <row r="300" spans="1:10" ht="15.6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7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8671875" defaultRowHeight="15"/>
  <cols>
    <col min="1" max="1" width="12.44140625" style="53" customWidth="1"/>
    <col min="2" max="2" width="39.88671875" style="1" customWidth="1"/>
    <col min="3" max="3" width="24.88671875" style="1" customWidth="1"/>
    <col min="4" max="4" width="20.109375" style="1" bestFit="1" customWidth="1"/>
    <col min="5" max="5" width="19.6640625" style="1" customWidth="1"/>
    <col min="6" max="6" width="16.6640625" style="1" customWidth="1"/>
    <col min="7" max="7" width="16.6640625" style="1" hidden="1" customWidth="1"/>
    <col min="8" max="8" width="13.109375" style="1" hidden="1" customWidth="1"/>
    <col min="9" max="9" width="14.33203125" style="1" hidden="1" customWidth="1"/>
    <col min="10" max="10" width="16" style="1" hidden="1" customWidth="1"/>
    <col min="11" max="11" width="11.33203125" style="1" hidden="1" customWidth="1"/>
    <col min="12" max="12" width="25.6640625" style="1" bestFit="1" customWidth="1"/>
    <col min="13" max="13" width="18" style="52" customWidth="1"/>
    <col min="14" max="14" width="3.109375" style="1" customWidth="1"/>
    <col min="15" max="15" width="25.88671875" style="1" customWidth="1"/>
    <col min="16" max="16" width="20.33203125" style="1" customWidth="1"/>
    <col min="17" max="17" width="19.88671875" style="1" customWidth="1"/>
    <col min="18" max="18" width="20" style="1" customWidth="1"/>
    <col min="19" max="16384" width="9.88671875" style="1"/>
  </cols>
  <sheetData>
    <row r="1" spans="1:18" ht="18.75" customHeight="1">
      <c r="A1" s="51" t="s">
        <v>13</v>
      </c>
    </row>
    <row r="2" spans="1:18" ht="15.6">
      <c r="A2" s="51" t="s">
        <v>0</v>
      </c>
    </row>
    <row r="3" spans="1:18" ht="15.6">
      <c r="A3" s="51" t="s">
        <v>15</v>
      </c>
    </row>
    <row r="4" spans="1:18" ht="15.6">
      <c r="A4" s="51" t="s">
        <v>104</v>
      </c>
    </row>
    <row r="5" spans="1:18" ht="15.6">
      <c r="C5" s="55" t="s">
        <v>21</v>
      </c>
      <c r="D5" s="55" t="s">
        <v>2</v>
      </c>
      <c r="E5" s="55" t="s">
        <v>3</v>
      </c>
      <c r="F5" s="55"/>
      <c r="J5" s="46"/>
    </row>
    <row r="6" spans="1:18" ht="15.6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6">
      <c r="A7" s="62"/>
      <c r="B7" s="69"/>
      <c r="C7" s="55"/>
      <c r="D7" s="55"/>
      <c r="E7" s="55"/>
      <c r="O7" s="92"/>
      <c r="P7" s="91"/>
      <c r="Q7" s="19"/>
      <c r="R7" s="19"/>
    </row>
    <row r="8" spans="1:18" s="333" customFormat="1" ht="16.2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5"/>
      <c r="O8" s="335"/>
      <c r="P8" s="335"/>
      <c r="Q8" s="335"/>
      <c r="R8" s="19"/>
    </row>
    <row r="9" spans="1:18" s="386" customFormat="1" ht="16.2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7"/>
      <c r="O9" s="387"/>
      <c r="P9" s="387"/>
      <c r="Q9" s="387"/>
      <c r="R9" s="387"/>
    </row>
    <row r="10" spans="1:18" s="386" customFormat="1" ht="15.6">
      <c r="A10" s="258"/>
      <c r="B10" s="161" t="s">
        <v>11</v>
      </c>
      <c r="C10" s="204">
        <v>7340824.0093394704</v>
      </c>
      <c r="D10" s="204">
        <v>4103157.0665184702</v>
      </c>
      <c r="E10" s="204">
        <v>3134193.9628209998</v>
      </c>
      <c r="F10" s="204">
        <v>103472.98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/>
      <c r="N10" s="204"/>
      <c r="O10" s="203"/>
      <c r="P10" s="203"/>
      <c r="Q10" s="203"/>
      <c r="R10" s="203"/>
    </row>
    <row r="11" spans="1:18" s="386" customFormat="1" ht="16.2" thickBot="1">
      <c r="A11" s="258"/>
      <c r="B11" s="161" t="s">
        <v>212</v>
      </c>
      <c r="C11" s="392">
        <f>SUM(C8:C10)</f>
        <v>1284248.2439077934</v>
      </c>
      <c r="D11" s="392">
        <f>SUM(D8:D10)</f>
        <v>-2588095.0262362086</v>
      </c>
      <c r="E11" s="392">
        <f>SUM(E8:E10)</f>
        <v>3943363.3301439993</v>
      </c>
      <c r="F11" s="392">
        <f>SUM(F8:F10)</f>
        <v>-71020.060000000012</v>
      </c>
      <c r="G11" s="392">
        <v>0</v>
      </c>
      <c r="H11" s="392">
        <v>0</v>
      </c>
      <c r="I11" s="392">
        <v>0</v>
      </c>
      <c r="J11" s="392">
        <v>0</v>
      </c>
      <c r="K11" s="392">
        <v>0</v>
      </c>
      <c r="L11" s="392">
        <f>SUM(L8:L10)</f>
        <v>0</v>
      </c>
      <c r="M11" s="392"/>
      <c r="N11" s="392"/>
      <c r="O11" s="203"/>
      <c r="P11" s="203"/>
      <c r="Q11" s="203"/>
      <c r="R11" s="203"/>
    </row>
    <row r="12" spans="1:18" ht="16.2" thickTop="1" thickBot="1"/>
    <row r="13" spans="1:18" s="386" customFormat="1" ht="16.2" thickBot="1">
      <c r="A13" s="58">
        <v>41243</v>
      </c>
      <c r="B13" s="59" t="s">
        <v>84</v>
      </c>
      <c r="C13" s="50">
        <f>SUM(D13:L13)</f>
        <v>1615352.97</v>
      </c>
      <c r="D13" s="246">
        <v>1685691.83</v>
      </c>
      <c r="E13" s="246">
        <v>-70338.86</v>
      </c>
      <c r="F13" s="161">
        <v>0</v>
      </c>
      <c r="G13" s="161"/>
      <c r="H13" s="161"/>
      <c r="I13" s="161"/>
      <c r="J13" s="390"/>
      <c r="K13" s="161"/>
      <c r="L13" s="161">
        <v>0</v>
      </c>
      <c r="M13" s="133"/>
      <c r="N13" s="50"/>
      <c r="O13" s="338" t="s">
        <v>106</v>
      </c>
      <c r="P13" s="93"/>
      <c r="Q13" s="93"/>
      <c r="R13" s="94"/>
    </row>
    <row r="14" spans="1:18" s="386" customFormat="1" ht="15.6">
      <c r="A14" s="58"/>
      <c r="B14" s="59" t="s">
        <v>148</v>
      </c>
      <c r="C14" s="50">
        <f>SUM(D14:F14)</f>
        <v>0</v>
      </c>
      <c r="D14" s="243"/>
      <c r="E14" s="243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9" t="s">
        <v>213</v>
      </c>
      <c r="P14" s="341" t="s">
        <v>27</v>
      </c>
      <c r="Q14" s="337">
        <v>0</v>
      </c>
      <c r="R14" s="339">
        <f>-C10</f>
        <v>-7340824.0093394704</v>
      </c>
    </row>
    <row r="15" spans="1:18" s="386" customFormat="1" ht="15.6">
      <c r="A15" s="58"/>
      <c r="B15" s="20" t="s">
        <v>157</v>
      </c>
      <c r="C15" s="50">
        <f>SUM(D15:L15)</f>
        <v>0</v>
      </c>
      <c r="D15" s="244">
        <v>0</v>
      </c>
      <c r="E15" s="243"/>
      <c r="F15" s="161"/>
      <c r="G15" s="161"/>
      <c r="H15" s="161"/>
      <c r="I15" s="161"/>
      <c r="J15" s="161"/>
      <c r="K15" s="161"/>
      <c r="L15" s="161"/>
      <c r="M15" s="133"/>
      <c r="N15" s="50"/>
      <c r="O15" s="336" t="s">
        <v>79</v>
      </c>
      <c r="P15" s="341" t="s">
        <v>17</v>
      </c>
      <c r="Q15" s="337">
        <f>IF((-C8+C19)&gt;0,(-C8+C19),0)</f>
        <v>8961842.60933947</v>
      </c>
      <c r="R15" s="339">
        <f>IF((-C8+C19)&lt;0,(-C8+C19),0)</f>
        <v>0</v>
      </c>
    </row>
    <row r="16" spans="1:18" s="386" customFormat="1" ht="15.6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5">
        <v>0</v>
      </c>
      <c r="M16" s="134"/>
      <c r="N16" s="50"/>
      <c r="O16" s="342" t="s">
        <v>80</v>
      </c>
      <c r="P16" s="341" t="s">
        <v>20</v>
      </c>
      <c r="Q16" s="112">
        <f>IF((C13+C14)&lt;0,(-C13-C14),0)</f>
        <v>0</v>
      </c>
      <c r="R16" s="339">
        <f>IF((C13+C14)&gt;0,(-C13-C14),0)</f>
        <v>-1615352.97</v>
      </c>
    </row>
    <row r="17" spans="1:18" s="386" customFormat="1" ht="15.6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5">
        <v>0</v>
      </c>
      <c r="M17" s="134"/>
      <c r="N17" s="50"/>
      <c r="O17" s="344" t="s">
        <v>82</v>
      </c>
      <c r="P17" s="341" t="s">
        <v>75</v>
      </c>
      <c r="Q17" s="346">
        <v>0</v>
      </c>
      <c r="R17" s="339">
        <f>IF(C18&gt;0,-C18,0)</f>
        <v>-5665.63</v>
      </c>
    </row>
    <row r="18" spans="1:18" s="386" customFormat="1" ht="16.2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7"/>
      <c r="M18" s="238">
        <v>3.2500000000000001E-2</v>
      </c>
      <c r="N18" s="50"/>
      <c r="O18" s="345" t="s">
        <v>83</v>
      </c>
      <c r="P18" s="343" t="s">
        <v>76</v>
      </c>
      <c r="Q18" s="116">
        <f>IF(-C18&gt;0,-C18,0)</f>
        <v>0</v>
      </c>
      <c r="R18" s="116">
        <f>IF(C18&gt;0,0,0)</f>
        <v>0</v>
      </c>
    </row>
    <row r="19" spans="1:18" s="386" customFormat="1" ht="16.2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7"/>
      <c r="O19" s="387"/>
      <c r="P19" s="387"/>
      <c r="Q19" s="387"/>
      <c r="R19" s="340">
        <f>ROUND(SUM(Q14:R18),2)</f>
        <v>0</v>
      </c>
    </row>
    <row r="20" spans="1:18" ht="16.2" thickTop="1" thickBot="1"/>
    <row r="21" spans="1:18" s="386" customFormat="1" ht="16.2" thickBot="1">
      <c r="A21" s="58">
        <v>41274</v>
      </c>
      <c r="B21" s="59" t="s">
        <v>84</v>
      </c>
      <c r="C21" s="50">
        <f>SUM(D21:L21)</f>
        <v>338391.8734309976</v>
      </c>
      <c r="D21" s="246">
        <v>1143938.5575779974</v>
      </c>
      <c r="E21" s="246">
        <v>-805546.68414699985</v>
      </c>
      <c r="F21" s="161">
        <v>0</v>
      </c>
      <c r="G21" s="161"/>
      <c r="H21" s="161"/>
      <c r="I21" s="161"/>
      <c r="J21" s="390"/>
      <c r="K21" s="161"/>
      <c r="L21" s="161">
        <v>0</v>
      </c>
      <c r="M21" s="133"/>
      <c r="N21" s="50"/>
      <c r="O21" s="338" t="s">
        <v>106</v>
      </c>
      <c r="P21" s="93"/>
      <c r="Q21" s="93"/>
      <c r="R21" s="94"/>
    </row>
    <row r="22" spans="1:18" s="386" customFormat="1" ht="15.6">
      <c r="A22" s="58"/>
      <c r="B22" s="59" t="s">
        <v>148</v>
      </c>
      <c r="C22" s="50">
        <f>SUM(D22:F22)</f>
        <v>0</v>
      </c>
      <c r="D22" s="243"/>
      <c r="E22" s="243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9" t="s">
        <v>213</v>
      </c>
      <c r="P22" s="341" t="s">
        <v>27</v>
      </c>
      <c r="Q22" s="337">
        <v>0</v>
      </c>
      <c r="R22" s="339">
        <v>0</v>
      </c>
    </row>
    <row r="23" spans="1:18" s="386" customFormat="1" ht="15.6">
      <c r="A23" s="58"/>
      <c r="B23" s="20" t="s">
        <v>157</v>
      </c>
      <c r="C23" s="50">
        <f>SUM(D23:L23)</f>
        <v>0</v>
      </c>
      <c r="D23" s="244">
        <v>0</v>
      </c>
      <c r="E23" s="243"/>
      <c r="F23" s="161"/>
      <c r="G23" s="161"/>
      <c r="H23" s="161"/>
      <c r="I23" s="161"/>
      <c r="J23" s="161"/>
      <c r="K23" s="161"/>
      <c r="L23" s="161"/>
      <c r="M23" s="133"/>
      <c r="N23" s="50"/>
      <c r="O23" s="336" t="s">
        <v>79</v>
      </c>
      <c r="P23" s="341" t="s">
        <v>17</v>
      </c>
      <c r="Q23" s="337">
        <f>IF((-C19+C27)&gt;0,(-C19+C27),0)</f>
        <v>346718.54343099752</v>
      </c>
      <c r="R23" s="339">
        <f>IF((-C16+C27)&lt;0,(-C16+C27),0)</f>
        <v>0</v>
      </c>
    </row>
    <row r="24" spans="1:18" s="386" customFormat="1" ht="15.6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5">
        <v>0</v>
      </c>
      <c r="M24" s="134"/>
      <c r="N24" s="50"/>
      <c r="O24" s="342" t="s">
        <v>80</v>
      </c>
      <c r="P24" s="341" t="s">
        <v>20</v>
      </c>
      <c r="Q24" s="112">
        <f>IF((C21+C22)&lt;0,(-C21-C22),0)</f>
        <v>0</v>
      </c>
      <c r="R24" s="339">
        <f>IF((C21+C22)&gt;0,(-C21-C22),0)</f>
        <v>-338391.8734309976</v>
      </c>
    </row>
    <row r="25" spans="1:18" s="386" customFormat="1" ht="15.6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5">
        <v>0</v>
      </c>
      <c r="M25" s="134"/>
      <c r="N25" s="50"/>
      <c r="O25" s="344" t="s">
        <v>82</v>
      </c>
      <c r="P25" s="341" t="s">
        <v>75</v>
      </c>
      <c r="Q25" s="346">
        <v>0</v>
      </c>
      <c r="R25" s="339">
        <f>IF(C26&gt;0,-C26,0)</f>
        <v>-8326.67</v>
      </c>
    </row>
    <row r="26" spans="1:18" s="386" customFormat="1" ht="16.2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7"/>
      <c r="M26" s="238">
        <v>3.2500000000000001E-2</v>
      </c>
      <c r="N26" s="50"/>
      <c r="O26" s="345" t="s">
        <v>83</v>
      </c>
      <c r="P26" s="343" t="s">
        <v>76</v>
      </c>
      <c r="Q26" s="116">
        <f>IF(-C26&gt;0,-C26,0)</f>
        <v>0</v>
      </c>
      <c r="R26" s="116">
        <f>IF(C26&gt;0,0,0)</f>
        <v>0</v>
      </c>
    </row>
    <row r="27" spans="1:18" s="386" customFormat="1" ht="16.2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7"/>
      <c r="O27" s="387"/>
      <c r="P27" s="387"/>
      <c r="Q27" s="387"/>
      <c r="R27" s="340">
        <f>ROUND(SUM(Q22:R26),2)</f>
        <v>0</v>
      </c>
    </row>
    <row r="28" spans="1:18" s="386" customFormat="1" ht="16.2" thickTop="1" thickBot="1">
      <c r="A28" s="53"/>
      <c r="M28" s="52"/>
    </row>
    <row r="29" spans="1:18" s="386" customFormat="1" ht="16.2" thickBot="1">
      <c r="A29" s="58">
        <v>41305</v>
      </c>
      <c r="B29" s="59" t="s">
        <v>84</v>
      </c>
      <c r="C29" s="50">
        <f>SUM(D29:L29)</f>
        <v>-3227933.8735419996</v>
      </c>
      <c r="D29" s="246">
        <v>-1853906.027032</v>
      </c>
      <c r="E29" s="246">
        <v>-1374027.8465099994</v>
      </c>
      <c r="F29" s="161">
        <v>0</v>
      </c>
      <c r="G29" s="161"/>
      <c r="H29" s="161"/>
      <c r="I29" s="161"/>
      <c r="J29" s="390"/>
      <c r="K29" s="161"/>
      <c r="L29" s="161">
        <v>0</v>
      </c>
      <c r="M29" s="133"/>
      <c r="N29" s="50"/>
      <c r="O29" s="338" t="s">
        <v>106</v>
      </c>
      <c r="P29" s="93"/>
      <c r="Q29" s="93"/>
      <c r="R29" s="94"/>
    </row>
    <row r="30" spans="1:18" s="386" customFormat="1" ht="15.6">
      <c r="A30" s="58"/>
      <c r="B30" s="59" t="s">
        <v>148</v>
      </c>
      <c r="C30" s="50">
        <f>SUM(D30:F30)</f>
        <v>0</v>
      </c>
      <c r="D30" s="243"/>
      <c r="E30" s="243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9" t="s">
        <v>213</v>
      </c>
      <c r="P30" s="341" t="s">
        <v>27</v>
      </c>
      <c r="Q30" s="337">
        <v>0</v>
      </c>
      <c r="R30" s="339">
        <v>0</v>
      </c>
    </row>
    <row r="31" spans="1:18" s="386" customFormat="1" ht="15.6">
      <c r="A31" s="58"/>
      <c r="B31" s="20" t="s">
        <v>157</v>
      </c>
      <c r="C31" s="50">
        <f>SUM(D31:L31)</f>
        <v>0</v>
      </c>
      <c r="D31" s="244">
        <v>0</v>
      </c>
      <c r="E31" s="243"/>
      <c r="F31" s="161"/>
      <c r="G31" s="161"/>
      <c r="H31" s="161"/>
      <c r="I31" s="161"/>
      <c r="J31" s="161"/>
      <c r="K31" s="161"/>
      <c r="L31" s="161"/>
      <c r="M31" s="133"/>
      <c r="N31" s="50"/>
      <c r="O31" s="336" t="s">
        <v>79</v>
      </c>
      <c r="P31" s="341" t="s">
        <v>17</v>
      </c>
      <c r="Q31" s="337">
        <f>IF((-C27+C35)&gt;0,(-C27+C35),0)</f>
        <v>0</v>
      </c>
      <c r="R31" s="339">
        <f>IF((-C27+C35)&lt;0,(-C27+C35),0)</f>
        <v>-3223497.5735419998</v>
      </c>
    </row>
    <row r="32" spans="1:18" s="386" customFormat="1" ht="15.6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5">
        <v>0</v>
      </c>
      <c r="M32" s="134"/>
      <c r="N32" s="50"/>
      <c r="O32" s="342" t="s">
        <v>80</v>
      </c>
      <c r="P32" s="341" t="s">
        <v>20</v>
      </c>
      <c r="Q32" s="112">
        <f>IF((C29+C30)&lt;0,(-C29-C30),0)</f>
        <v>3227933.8735419996</v>
      </c>
      <c r="R32" s="339">
        <f>IF((C29+C30)&gt;0,(-C29-C30),0)</f>
        <v>0</v>
      </c>
    </row>
    <row r="33" spans="1:18" s="386" customFormat="1" ht="15.6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5">
        <v>0</v>
      </c>
      <c r="M33" s="134"/>
      <c r="N33" s="50"/>
      <c r="O33" s="344" t="s">
        <v>82</v>
      </c>
      <c r="P33" s="341" t="s">
        <v>75</v>
      </c>
      <c r="Q33" s="346">
        <v>0</v>
      </c>
      <c r="R33" s="339">
        <f>IF(C34&gt;0,-C34,0)</f>
        <v>-4436.3</v>
      </c>
    </row>
    <row r="34" spans="1:18" s="386" customFormat="1" ht="16.2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7"/>
      <c r="M34" s="238">
        <v>3.2500000000000001E-2</v>
      </c>
      <c r="N34" s="50"/>
      <c r="O34" s="345" t="s">
        <v>83</v>
      </c>
      <c r="P34" s="343" t="s">
        <v>76</v>
      </c>
      <c r="Q34" s="116">
        <f>IF(-C34&gt;0,-C34,0)</f>
        <v>0</v>
      </c>
      <c r="R34" s="116">
        <f>IF(C34&gt;0,0,0)</f>
        <v>0</v>
      </c>
    </row>
    <row r="35" spans="1:18" s="386" customFormat="1" ht="16.2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7"/>
      <c r="O35" s="387"/>
      <c r="P35" s="387"/>
      <c r="Q35" s="387"/>
      <c r="R35" s="340">
        <f>ROUND(SUM(Q30:R34),2)</f>
        <v>0</v>
      </c>
    </row>
    <row r="36" spans="1:18" s="386" customFormat="1" ht="16.2" thickTop="1" thickBot="1">
      <c r="A36" s="53"/>
      <c r="M36" s="52"/>
    </row>
    <row r="37" spans="1:18" s="386" customFormat="1" ht="16.2" thickBot="1">
      <c r="A37" s="58">
        <v>41333</v>
      </c>
      <c r="B37" s="59" t="s">
        <v>84</v>
      </c>
      <c r="C37" s="50">
        <f>SUM(D37:L37)</f>
        <v>227268.08091399889</v>
      </c>
      <c r="D37" s="246">
        <v>964027.88181999885</v>
      </c>
      <c r="E37" s="246">
        <v>-736759.80090599996</v>
      </c>
      <c r="F37" s="161">
        <v>0</v>
      </c>
      <c r="G37" s="161"/>
      <c r="H37" s="161"/>
      <c r="I37" s="161"/>
      <c r="J37" s="390"/>
      <c r="K37" s="161"/>
      <c r="L37" s="161">
        <v>0</v>
      </c>
      <c r="M37" s="133"/>
      <c r="N37" s="50"/>
      <c r="O37" s="338" t="s">
        <v>106</v>
      </c>
      <c r="P37" s="93"/>
      <c r="Q37" s="93"/>
      <c r="R37" s="94"/>
    </row>
    <row r="38" spans="1:18" s="386" customFormat="1" ht="15.6">
      <c r="A38" s="58"/>
      <c r="B38" s="59" t="s">
        <v>148</v>
      </c>
      <c r="C38" s="50">
        <f>SUM(D38:F38)</f>
        <v>0</v>
      </c>
      <c r="D38" s="243"/>
      <c r="E38" s="243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9" t="s">
        <v>213</v>
      </c>
      <c r="P38" s="341" t="s">
        <v>27</v>
      </c>
      <c r="Q38" s="337">
        <v>0</v>
      </c>
      <c r="R38" s="339">
        <v>0</v>
      </c>
    </row>
    <row r="39" spans="1:18" s="386" customFormat="1" ht="15.6">
      <c r="A39" s="58"/>
      <c r="B39" s="20" t="s">
        <v>157</v>
      </c>
      <c r="C39" s="50">
        <f>SUM(D39:L39)</f>
        <v>0</v>
      </c>
      <c r="D39" s="244">
        <v>0</v>
      </c>
      <c r="E39" s="243"/>
      <c r="F39" s="161"/>
      <c r="G39" s="161"/>
      <c r="H39" s="161"/>
      <c r="I39" s="161"/>
      <c r="J39" s="161"/>
      <c r="K39" s="161"/>
      <c r="L39" s="161"/>
      <c r="M39" s="133"/>
      <c r="N39" s="50"/>
      <c r="O39" s="336" t="s">
        <v>79</v>
      </c>
      <c r="P39" s="341" t="s">
        <v>17</v>
      </c>
      <c r="Q39" s="337">
        <f>IF((-C35+C43)&gt;0,(-C35+C43),0)</f>
        <v>227652.99091399889</v>
      </c>
      <c r="R39" s="339">
        <f>IF((-C35+C43)&lt;0,(-C35+C43),0)</f>
        <v>0</v>
      </c>
    </row>
    <row r="40" spans="1:18" s="386" customFormat="1" ht="15.6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5">
        <v>0</v>
      </c>
      <c r="M40" s="134"/>
      <c r="N40" s="50"/>
      <c r="O40" s="342" t="s">
        <v>80</v>
      </c>
      <c r="P40" s="341" t="s">
        <v>20</v>
      </c>
      <c r="Q40" s="112">
        <f>IF((C37+C38)&lt;0,(-C37-C38),0)</f>
        <v>0</v>
      </c>
      <c r="R40" s="339">
        <f>IF((C37+C38)&gt;0,(-C37-C38),0)</f>
        <v>-227268.08091399889</v>
      </c>
    </row>
    <row r="41" spans="1:18" s="386" customFormat="1" ht="15.6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5">
        <v>0</v>
      </c>
      <c r="M41" s="134"/>
      <c r="N41" s="50"/>
      <c r="O41" s="344" t="s">
        <v>82</v>
      </c>
      <c r="P41" s="341" t="s">
        <v>75</v>
      </c>
      <c r="Q41" s="346">
        <v>0</v>
      </c>
      <c r="R41" s="339">
        <f>IF(C42&gt;0,-C42,0)</f>
        <v>-384.91</v>
      </c>
    </row>
    <row r="42" spans="1:18" s="386" customFormat="1" ht="16.2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7"/>
      <c r="M42" s="238">
        <v>3.2500000000000001E-2</v>
      </c>
      <c r="N42" s="50"/>
      <c r="O42" s="345" t="s">
        <v>83</v>
      </c>
      <c r="P42" s="343" t="s">
        <v>76</v>
      </c>
      <c r="Q42" s="116">
        <f>IF(-C42&gt;0,-C42,0)</f>
        <v>0</v>
      </c>
      <c r="R42" s="116">
        <f>IF(C42&gt;0,0,0)</f>
        <v>0</v>
      </c>
    </row>
    <row r="43" spans="1:18" s="386" customFormat="1" ht="16.2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7"/>
      <c r="O43" s="387"/>
      <c r="P43" s="387"/>
      <c r="Q43" s="387"/>
      <c r="R43" s="340">
        <f>ROUND(SUM(Q38:R42),2)</f>
        <v>0</v>
      </c>
    </row>
    <row r="44" spans="1:18" s="386" customFormat="1" ht="16.2" thickTop="1" thickBot="1">
      <c r="A44" s="53"/>
      <c r="M44" s="52"/>
    </row>
    <row r="45" spans="1:18" s="386" customFormat="1" ht="16.2" thickBot="1">
      <c r="A45" s="58">
        <v>41364</v>
      </c>
      <c r="B45" s="59" t="s">
        <v>84</v>
      </c>
      <c r="C45" s="50">
        <f>SUM(D45:L45)</f>
        <v>-83754.106502999784</v>
      </c>
      <c r="D45" s="246">
        <v>311623.77906699944</v>
      </c>
      <c r="E45" s="246">
        <v>-395377.88556999923</v>
      </c>
      <c r="F45" s="161">
        <v>0</v>
      </c>
      <c r="G45" s="161"/>
      <c r="H45" s="161"/>
      <c r="I45" s="161"/>
      <c r="J45" s="390"/>
      <c r="K45" s="161"/>
      <c r="L45" s="161">
        <v>0</v>
      </c>
      <c r="M45" s="133"/>
      <c r="N45" s="50"/>
      <c r="O45" s="338" t="s">
        <v>106</v>
      </c>
      <c r="P45" s="93"/>
      <c r="Q45" s="93"/>
      <c r="R45" s="94"/>
    </row>
    <row r="46" spans="1:18" s="386" customFormat="1" ht="15.6">
      <c r="A46" s="58"/>
      <c r="B46" s="59" t="s">
        <v>148</v>
      </c>
      <c r="C46" s="50">
        <f>SUM(D46:F46)</f>
        <v>0</v>
      </c>
      <c r="D46" s="243"/>
      <c r="E46" s="243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9" t="s">
        <v>213</v>
      </c>
      <c r="P46" s="341" t="s">
        <v>27</v>
      </c>
      <c r="Q46" s="337">
        <v>0</v>
      </c>
      <c r="R46" s="339">
        <v>0</v>
      </c>
    </row>
    <row r="47" spans="1:18" s="386" customFormat="1" ht="15.6">
      <c r="A47" s="58"/>
      <c r="B47" s="20" t="s">
        <v>157</v>
      </c>
      <c r="C47" s="50">
        <f>SUM(D47:L47)</f>
        <v>0</v>
      </c>
      <c r="D47" s="244">
        <v>0</v>
      </c>
      <c r="E47" s="243"/>
      <c r="F47" s="161"/>
      <c r="G47" s="161"/>
      <c r="H47" s="161"/>
      <c r="I47" s="161"/>
      <c r="J47" s="161"/>
      <c r="K47" s="161"/>
      <c r="L47" s="161"/>
      <c r="M47" s="133"/>
      <c r="N47" s="50"/>
      <c r="O47" s="336" t="s">
        <v>79</v>
      </c>
      <c r="P47" s="341" t="s">
        <v>17</v>
      </c>
      <c r="Q47" s="337">
        <f>IF((-C43+C51)&gt;0,(-C43+C51),0)</f>
        <v>0</v>
      </c>
      <c r="R47" s="339">
        <f>IF((-C43+C51)&lt;0,(-C43+C51),0)</f>
        <v>-83173.806502999796</v>
      </c>
    </row>
    <row r="48" spans="1:18" s="386" customFormat="1" ht="15.6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5">
        <v>0</v>
      </c>
      <c r="M48" s="134"/>
      <c r="N48" s="50"/>
      <c r="O48" s="342" t="s">
        <v>80</v>
      </c>
      <c r="P48" s="341" t="s">
        <v>20</v>
      </c>
      <c r="Q48" s="112">
        <f>IF((C45+C46)&lt;0,(-C45-C46),0)</f>
        <v>83754.106502999784</v>
      </c>
      <c r="R48" s="339">
        <f>IF((C45+C46)&gt;0,(-C45-C46),0)</f>
        <v>0</v>
      </c>
    </row>
    <row r="49" spans="1:18" s="386" customFormat="1" ht="15.6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5">
        <v>0</v>
      </c>
      <c r="M49" s="134"/>
      <c r="N49" s="50"/>
      <c r="O49" s="344" t="s">
        <v>82</v>
      </c>
      <c r="P49" s="341" t="s">
        <v>75</v>
      </c>
      <c r="Q49" s="346">
        <v>0</v>
      </c>
      <c r="R49" s="339">
        <f>IF(C50&gt;0,-C50,0)</f>
        <v>-580.29999999999995</v>
      </c>
    </row>
    <row r="50" spans="1:18" s="386" customFormat="1" ht="16.2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7"/>
      <c r="M50" s="238">
        <v>3.2500000000000001E-2</v>
      </c>
      <c r="N50" s="50"/>
      <c r="O50" s="345" t="s">
        <v>83</v>
      </c>
      <c r="P50" s="343" t="s">
        <v>76</v>
      </c>
      <c r="Q50" s="116">
        <f>IF(-C50&gt;0,-C50,0)</f>
        <v>0</v>
      </c>
      <c r="R50" s="116">
        <f>IF(C50&gt;0,0,0)</f>
        <v>0</v>
      </c>
    </row>
    <row r="51" spans="1:18" s="386" customFormat="1" ht="16.2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7"/>
      <c r="O51" s="387"/>
      <c r="P51" s="387"/>
      <c r="Q51" s="387"/>
      <c r="R51" s="340">
        <f>ROUND(SUM(Q46:R50),2)</f>
        <v>0</v>
      </c>
    </row>
    <row r="52" spans="1:18" ht="16.2" thickTop="1" thickBot="1"/>
    <row r="53" spans="1:18" s="386" customFormat="1" ht="16.2" thickBot="1">
      <c r="A53" s="58">
        <v>41365</v>
      </c>
      <c r="B53" s="59" t="s">
        <v>84</v>
      </c>
      <c r="C53" s="50">
        <f>SUM(D53:L53)</f>
        <v>-160377.30866600084</v>
      </c>
      <c r="D53" s="246">
        <v>-294475.16016600048</v>
      </c>
      <c r="E53" s="246">
        <v>134097.85149999964</v>
      </c>
      <c r="F53" s="161">
        <v>0</v>
      </c>
      <c r="G53" s="161"/>
      <c r="H53" s="161"/>
      <c r="I53" s="161"/>
      <c r="J53" s="390"/>
      <c r="K53" s="161"/>
      <c r="L53" s="161">
        <v>0</v>
      </c>
      <c r="M53" s="133"/>
      <c r="N53" s="50"/>
      <c r="O53" s="338" t="s">
        <v>106</v>
      </c>
      <c r="P53" s="93"/>
      <c r="Q53" s="93"/>
      <c r="R53" s="94"/>
    </row>
    <row r="54" spans="1:18" s="386" customFormat="1" ht="15.6">
      <c r="A54" s="58"/>
      <c r="B54" s="59" t="s">
        <v>148</v>
      </c>
      <c r="C54" s="50">
        <f>SUM(D54:F54)</f>
        <v>0</v>
      </c>
      <c r="D54" s="243"/>
      <c r="E54" s="243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9" t="s">
        <v>213</v>
      </c>
      <c r="P54" s="341" t="s">
        <v>27</v>
      </c>
      <c r="Q54" s="337">
        <v>0</v>
      </c>
      <c r="R54" s="339">
        <v>0</v>
      </c>
    </row>
    <row r="55" spans="1:18" s="386" customFormat="1" ht="15.6">
      <c r="A55" s="58"/>
      <c r="B55" s="20" t="s">
        <v>157</v>
      </c>
      <c r="C55" s="50">
        <f>SUM(D55:L55)</f>
        <v>0</v>
      </c>
      <c r="D55" s="244">
        <v>0</v>
      </c>
      <c r="E55" s="243"/>
      <c r="F55" s="161"/>
      <c r="G55" s="161"/>
      <c r="H55" s="161"/>
      <c r="I55" s="161"/>
      <c r="J55" s="161"/>
      <c r="K55" s="161"/>
      <c r="L55" s="161"/>
      <c r="M55" s="133"/>
      <c r="N55" s="50"/>
      <c r="O55" s="336" t="s">
        <v>79</v>
      </c>
      <c r="P55" s="341" t="s">
        <v>17</v>
      </c>
      <c r="Q55" s="337">
        <f>IF((-C51+C59)&gt;0,(-C51+C59),0)</f>
        <v>0</v>
      </c>
      <c r="R55" s="339">
        <f>IF((-C51+C59)&lt;0,(-C51+C59),0)</f>
        <v>-160126.03866600085</v>
      </c>
    </row>
    <row r="56" spans="1:18" s="386" customFormat="1" ht="15.6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5">
        <v>0</v>
      </c>
      <c r="M56" s="134"/>
      <c r="N56" s="50"/>
      <c r="O56" s="342" t="s">
        <v>80</v>
      </c>
      <c r="P56" s="341" t="s">
        <v>20</v>
      </c>
      <c r="Q56" s="112">
        <f>IF((C53+C54)&lt;0,(-C53-C54),0)</f>
        <v>160377.30866600084</v>
      </c>
      <c r="R56" s="339">
        <f>IF((C53+C54)&gt;0,(-C53-C54),0)</f>
        <v>0</v>
      </c>
    </row>
    <row r="57" spans="1:18" s="386" customFormat="1" ht="15.6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5">
        <v>0</v>
      </c>
      <c r="M57" s="134"/>
      <c r="N57" s="50"/>
      <c r="O57" s="344" t="s">
        <v>82</v>
      </c>
      <c r="P57" s="341" t="s">
        <v>75</v>
      </c>
      <c r="Q57" s="346">
        <v>0</v>
      </c>
      <c r="R57" s="339">
        <f>IF(C58&gt;0,-C58,0)</f>
        <v>-251.27</v>
      </c>
    </row>
    <row r="58" spans="1:18" s="386" customFormat="1" ht="16.2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7"/>
      <c r="M58" s="238">
        <v>3.2500000000000001E-2</v>
      </c>
      <c r="N58" s="50"/>
      <c r="O58" s="345" t="s">
        <v>83</v>
      </c>
      <c r="P58" s="343" t="s">
        <v>76</v>
      </c>
      <c r="Q58" s="116">
        <f>IF(-C58&gt;0,-C58,0)</f>
        <v>0</v>
      </c>
      <c r="R58" s="116">
        <f>IF(C58&gt;0,0,0)</f>
        <v>0</v>
      </c>
    </row>
    <row r="59" spans="1:18" s="386" customFormat="1" ht="16.2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7"/>
      <c r="O59" s="387"/>
      <c r="P59" s="387"/>
      <c r="Q59" s="387"/>
      <c r="R59" s="340">
        <f>ROUND(SUM(Q54:R58),2)</f>
        <v>0</v>
      </c>
    </row>
    <row r="60" spans="1:18" s="386" customFormat="1" ht="16.2" thickTop="1" thickBot="1">
      <c r="A60" s="53"/>
      <c r="C60" s="387"/>
      <c r="M60" s="52"/>
    </row>
    <row r="61" spans="1:18" s="386" customFormat="1" ht="16.2" thickBot="1">
      <c r="A61" s="58">
        <v>41425</v>
      </c>
      <c r="B61" s="59" t="s">
        <v>84</v>
      </c>
      <c r="C61" s="50">
        <f>SUM(D61:L61)</f>
        <v>291085.24359799817</v>
      </c>
      <c r="D61" s="246">
        <v>-577860.59273000155</v>
      </c>
      <c r="E61" s="246">
        <v>868945.83632799971</v>
      </c>
      <c r="F61" s="161">
        <v>0</v>
      </c>
      <c r="G61" s="161"/>
      <c r="H61" s="161"/>
      <c r="I61" s="161"/>
      <c r="J61" s="390"/>
      <c r="K61" s="161"/>
      <c r="L61" s="161">
        <v>0</v>
      </c>
      <c r="M61" s="133"/>
      <c r="N61" s="50"/>
      <c r="O61" s="338" t="s">
        <v>106</v>
      </c>
      <c r="P61" s="93"/>
      <c r="Q61" s="93"/>
      <c r="R61" s="94"/>
    </row>
    <row r="62" spans="1:18" s="386" customFormat="1" ht="15.6">
      <c r="A62" s="58"/>
      <c r="B62" s="59" t="s">
        <v>148</v>
      </c>
      <c r="C62" s="50">
        <f>SUM(D62:F62)</f>
        <v>0</v>
      </c>
      <c r="D62" s="243"/>
      <c r="E62" s="243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9" t="s">
        <v>213</v>
      </c>
      <c r="P62" s="341" t="s">
        <v>27</v>
      </c>
      <c r="Q62" s="337">
        <v>0</v>
      </c>
      <c r="R62" s="339">
        <v>0</v>
      </c>
    </row>
    <row r="63" spans="1:18" s="386" customFormat="1" ht="15.6">
      <c r="A63" s="58"/>
      <c r="B63" s="20" t="s">
        <v>157</v>
      </c>
      <c r="C63" s="50">
        <f>SUM(D63:L63)</f>
        <v>0</v>
      </c>
      <c r="D63" s="244">
        <v>0</v>
      </c>
      <c r="E63" s="243"/>
      <c r="F63" s="161"/>
      <c r="G63" s="161"/>
      <c r="H63" s="161"/>
      <c r="I63" s="161"/>
      <c r="J63" s="161"/>
      <c r="K63" s="161"/>
      <c r="L63" s="161"/>
      <c r="M63" s="133"/>
      <c r="N63" s="50"/>
      <c r="O63" s="336" t="s">
        <v>79</v>
      </c>
      <c r="P63" s="341" t="s">
        <v>17</v>
      </c>
      <c r="Q63" s="337">
        <f>IF((-C59+C67)&gt;0,(-C59+C67),0)</f>
        <v>291514.20359799819</v>
      </c>
      <c r="R63" s="339">
        <f>IF((-C59+C67)&lt;0,(-C59+C67),0)</f>
        <v>0</v>
      </c>
    </row>
    <row r="64" spans="1:18" s="386" customFormat="1" ht="15.6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5">
        <v>0</v>
      </c>
      <c r="M64" s="134"/>
      <c r="N64" s="50"/>
      <c r="O64" s="342" t="s">
        <v>80</v>
      </c>
      <c r="P64" s="341" t="s">
        <v>20</v>
      </c>
      <c r="Q64" s="112">
        <f>IF((C61+C62)&lt;0,(-C61-C62),0)</f>
        <v>0</v>
      </c>
      <c r="R64" s="339">
        <f>IF((C61+C62)&gt;0,(-C61-C62),0)</f>
        <v>-291085.24359799817</v>
      </c>
    </row>
    <row r="65" spans="1:18" s="386" customFormat="1" ht="15.6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5">
        <v>0</v>
      </c>
      <c r="M65" s="134"/>
      <c r="N65" s="50"/>
      <c r="O65" s="344" t="s">
        <v>82</v>
      </c>
      <c r="P65" s="341" t="s">
        <v>75</v>
      </c>
      <c r="Q65" s="346">
        <v>0</v>
      </c>
      <c r="R65" s="339">
        <f>IF(C66&gt;0,-C66,0)</f>
        <v>-428.96</v>
      </c>
    </row>
    <row r="66" spans="1:18" s="386" customFormat="1" ht="16.2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7"/>
      <c r="M66" s="238">
        <v>3.2500000000000001E-2</v>
      </c>
      <c r="N66" s="50"/>
      <c r="O66" s="345" t="s">
        <v>83</v>
      </c>
      <c r="P66" s="343" t="s">
        <v>76</v>
      </c>
      <c r="Q66" s="116">
        <f>IF(-C66&gt;0,-C66,0)</f>
        <v>0</v>
      </c>
      <c r="R66" s="116">
        <f>IF(C66&gt;0,0,0)</f>
        <v>0</v>
      </c>
    </row>
    <row r="67" spans="1:18" s="386" customFormat="1" ht="16.2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7"/>
      <c r="O67" s="387"/>
      <c r="P67" s="387"/>
      <c r="Q67" s="387"/>
      <c r="R67" s="340">
        <f>ROUND(SUM(Q62:R66),2)</f>
        <v>0</v>
      </c>
    </row>
    <row r="68" spans="1:18" s="386" customFormat="1" ht="16.2" thickTop="1" thickBot="1">
      <c r="A68" s="53"/>
      <c r="C68" s="387"/>
      <c r="M68" s="52"/>
    </row>
    <row r="69" spans="1:18" s="386" customFormat="1" ht="16.2" thickBot="1">
      <c r="A69" s="58">
        <v>41426</v>
      </c>
      <c r="B69" s="59" t="s">
        <v>84</v>
      </c>
      <c r="C69" s="50">
        <f>SUM(D69:L69)</f>
        <v>839471.48552700132</v>
      </c>
      <c r="D69" s="246">
        <v>-173993.23901399877</v>
      </c>
      <c r="E69" s="246">
        <v>1013464.7245410001</v>
      </c>
      <c r="F69" s="161">
        <v>0</v>
      </c>
      <c r="G69" s="161"/>
      <c r="H69" s="161"/>
      <c r="I69" s="161"/>
      <c r="J69" s="390"/>
      <c r="K69" s="161"/>
      <c r="L69" s="161">
        <v>0</v>
      </c>
      <c r="M69" s="133"/>
      <c r="N69" s="50"/>
      <c r="O69" s="338" t="s">
        <v>106</v>
      </c>
      <c r="P69" s="93"/>
      <c r="Q69" s="93"/>
      <c r="R69" s="94"/>
    </row>
    <row r="70" spans="1:18" s="386" customFormat="1" ht="15.6">
      <c r="A70" s="58"/>
      <c r="B70" s="59" t="s">
        <v>148</v>
      </c>
      <c r="C70" s="50">
        <f>SUM(D70:F70)</f>
        <v>0</v>
      </c>
      <c r="D70" s="243"/>
      <c r="E70" s="243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9" t="s">
        <v>213</v>
      </c>
      <c r="P70" s="341" t="s">
        <v>27</v>
      </c>
      <c r="Q70" s="337">
        <v>0</v>
      </c>
      <c r="R70" s="339">
        <v>0</v>
      </c>
    </row>
    <row r="71" spans="1:18" s="386" customFormat="1" ht="15.6">
      <c r="A71" s="58"/>
      <c r="B71" s="20" t="s">
        <v>157</v>
      </c>
      <c r="C71" s="50">
        <f>SUM(D71:L71)</f>
        <v>0</v>
      </c>
      <c r="D71" s="244">
        <v>0</v>
      </c>
      <c r="E71" s="243"/>
      <c r="F71" s="161"/>
      <c r="G71" s="161"/>
      <c r="H71" s="161"/>
      <c r="I71" s="161"/>
      <c r="J71" s="161"/>
      <c r="K71" s="161"/>
      <c r="L71" s="161"/>
      <c r="M71" s="133"/>
      <c r="N71" s="50"/>
      <c r="O71" s="336" t="s">
        <v>79</v>
      </c>
      <c r="P71" s="341" t="s">
        <v>17</v>
      </c>
      <c r="Q71" s="337">
        <f>IF((-C67+C75)&gt;0,(-C67+C75),0)</f>
        <v>841432.56552700151</v>
      </c>
      <c r="R71" s="339">
        <f>IF((-C67+C75)&lt;0,(-C67+C75),0)</f>
        <v>0</v>
      </c>
    </row>
    <row r="72" spans="1:18" s="386" customFormat="1" ht="15.6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5">
        <v>0</v>
      </c>
      <c r="M72" s="134"/>
      <c r="N72" s="50"/>
      <c r="O72" s="342" t="s">
        <v>80</v>
      </c>
      <c r="P72" s="341" t="s">
        <v>20</v>
      </c>
      <c r="Q72" s="112">
        <f>IF((C69+C70)&lt;0,(-C69-C70),0)</f>
        <v>0</v>
      </c>
      <c r="R72" s="339">
        <f>IF((C69+C70)&gt;0,(-C69-C70),0)</f>
        <v>-839471.48552700132</v>
      </c>
    </row>
    <row r="73" spans="1:18" s="386" customFormat="1" ht="15.6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5">
        <v>0</v>
      </c>
      <c r="M73" s="134"/>
      <c r="N73" s="50"/>
      <c r="O73" s="344" t="s">
        <v>82</v>
      </c>
      <c r="P73" s="341" t="s">
        <v>75</v>
      </c>
      <c r="Q73" s="346">
        <v>0</v>
      </c>
      <c r="R73" s="339">
        <f>IF(C74&gt;0,-C74,0)</f>
        <v>-1961.08</v>
      </c>
    </row>
    <row r="74" spans="1:18" s="386" customFormat="1" ht="16.2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7"/>
      <c r="M74" s="238">
        <v>3.2500000000000001E-2</v>
      </c>
      <c r="N74" s="50"/>
      <c r="O74" s="345" t="s">
        <v>83</v>
      </c>
      <c r="P74" s="343" t="s">
        <v>76</v>
      </c>
      <c r="Q74" s="116">
        <f>IF(-C74&gt;0,-C74,0)</f>
        <v>0</v>
      </c>
      <c r="R74" s="116">
        <f>IF(C74&gt;0,0,0)</f>
        <v>0</v>
      </c>
    </row>
    <row r="75" spans="1:18" s="386" customFormat="1" ht="16.2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7"/>
      <c r="O75" s="387"/>
      <c r="P75" s="387"/>
      <c r="Q75" s="387"/>
      <c r="R75" s="340">
        <f>ROUND(SUM(Q70:R74),2)</f>
        <v>0</v>
      </c>
    </row>
    <row r="76" spans="1:18" ht="16.2" thickTop="1" thickBot="1"/>
    <row r="77" spans="1:18" s="386" customFormat="1" ht="16.2" thickBot="1">
      <c r="A77" s="58">
        <v>41456</v>
      </c>
      <c r="B77" s="59" t="s">
        <v>84</v>
      </c>
      <c r="C77" s="50">
        <f>SUM(D77:L77)</f>
        <v>777094.91390700196</v>
      </c>
      <c r="D77" s="246">
        <v>-494523.11633399874</v>
      </c>
      <c r="E77" s="246">
        <v>1271618.0302410007</v>
      </c>
      <c r="F77" s="161">
        <v>0</v>
      </c>
      <c r="G77" s="161"/>
      <c r="H77" s="161"/>
      <c r="I77" s="161"/>
      <c r="J77" s="390"/>
      <c r="K77" s="161"/>
      <c r="L77" s="161">
        <v>0</v>
      </c>
      <c r="M77" s="133"/>
      <c r="N77" s="50"/>
      <c r="O77" s="338" t="s">
        <v>106</v>
      </c>
      <c r="P77" s="93"/>
      <c r="Q77" s="93"/>
      <c r="R77" s="94"/>
    </row>
    <row r="78" spans="1:18" s="386" customFormat="1" ht="15.6">
      <c r="A78" s="58"/>
      <c r="B78" s="59" t="s">
        <v>148</v>
      </c>
      <c r="C78" s="50">
        <f>SUM(D78:F78)</f>
        <v>0</v>
      </c>
      <c r="D78" s="243"/>
      <c r="E78" s="243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9" t="s">
        <v>213</v>
      </c>
      <c r="P78" s="341" t="s">
        <v>27</v>
      </c>
      <c r="Q78" s="337">
        <v>0</v>
      </c>
      <c r="R78" s="339">
        <v>0</v>
      </c>
    </row>
    <row r="79" spans="1:18" s="386" customFormat="1" ht="15.6">
      <c r="A79" s="58"/>
      <c r="B79" s="20" t="s">
        <v>157</v>
      </c>
      <c r="C79" s="50">
        <f>SUM(D79:L79)</f>
        <v>0</v>
      </c>
      <c r="D79" s="244">
        <v>0</v>
      </c>
      <c r="E79" s="243"/>
      <c r="F79" s="161"/>
      <c r="G79" s="161"/>
      <c r="H79" s="161"/>
      <c r="I79" s="161"/>
      <c r="J79" s="161"/>
      <c r="K79" s="161"/>
      <c r="L79" s="161"/>
      <c r="M79" s="133"/>
      <c r="N79" s="50"/>
      <c r="O79" s="336" t="s">
        <v>79</v>
      </c>
      <c r="P79" s="341" t="s">
        <v>17</v>
      </c>
      <c r="Q79" s="337">
        <f>IF((-C75+C83)&gt;0,(-C75+C83),0)</f>
        <v>781250.40390700195</v>
      </c>
      <c r="R79" s="339">
        <f>IF((-C75+C83)&lt;0,(-C75+C83),0)</f>
        <v>0</v>
      </c>
    </row>
    <row r="80" spans="1:18" s="386" customFormat="1" ht="15.6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5">
        <v>0</v>
      </c>
      <c r="M80" s="134"/>
      <c r="N80" s="50"/>
      <c r="O80" s="342" t="s">
        <v>80</v>
      </c>
      <c r="P80" s="341" t="s">
        <v>20</v>
      </c>
      <c r="Q80" s="112">
        <f>IF((C77+C78)&lt;0,(-C77-C78),0)</f>
        <v>0</v>
      </c>
      <c r="R80" s="339">
        <f>IF((C77+C78)&gt;0,(-C77-C78),0)</f>
        <v>-777094.91390700196</v>
      </c>
    </row>
    <row r="81" spans="1:18" s="386" customFormat="1" ht="15.6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5">
        <v>0</v>
      </c>
      <c r="M81" s="134"/>
      <c r="N81" s="50"/>
      <c r="O81" s="344" t="s">
        <v>82</v>
      </c>
      <c r="P81" s="341" t="s">
        <v>75</v>
      </c>
      <c r="Q81" s="346">
        <v>0</v>
      </c>
      <c r="R81" s="339">
        <f>IF(C82&gt;0,-C82,0)</f>
        <v>-4155.49</v>
      </c>
    </row>
    <row r="82" spans="1:18" s="386" customFormat="1" ht="16.2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7"/>
      <c r="M82" s="238">
        <v>3.2500000000000001E-2</v>
      </c>
      <c r="N82" s="50"/>
      <c r="O82" s="345" t="s">
        <v>83</v>
      </c>
      <c r="P82" s="343" t="s">
        <v>76</v>
      </c>
      <c r="Q82" s="116">
        <f>IF(-C82&gt;0,-C82,0)</f>
        <v>0</v>
      </c>
      <c r="R82" s="116">
        <f>IF(C82&gt;0,0,0)</f>
        <v>0</v>
      </c>
    </row>
    <row r="83" spans="1:18" s="386" customFormat="1" ht="16.2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7"/>
      <c r="O83" s="387"/>
      <c r="P83" s="387"/>
      <c r="Q83" s="387"/>
      <c r="R83" s="340">
        <f>ROUND(SUM(Q78:R82),2)</f>
        <v>0</v>
      </c>
    </row>
    <row r="84" spans="1:18" ht="16.2" thickTop="1" thickBot="1"/>
    <row r="85" spans="1:18" s="386" customFormat="1" ht="16.2" thickBot="1">
      <c r="A85" s="58">
        <v>41487</v>
      </c>
      <c r="B85" s="59" t="s">
        <v>84</v>
      </c>
      <c r="C85" s="50">
        <f>SUM(D85:L85)</f>
        <v>564000.44398000068</v>
      </c>
      <c r="D85" s="246">
        <v>-646266.22842499963</v>
      </c>
      <c r="E85" s="246">
        <v>1210266.6724050003</v>
      </c>
      <c r="F85" s="161">
        <v>0</v>
      </c>
      <c r="G85" s="161"/>
      <c r="H85" s="161"/>
      <c r="I85" s="161"/>
      <c r="J85" s="390"/>
      <c r="K85" s="161"/>
      <c r="L85" s="161">
        <v>0</v>
      </c>
      <c r="M85" s="133"/>
      <c r="N85" s="50"/>
      <c r="O85" s="338" t="s">
        <v>106</v>
      </c>
      <c r="P85" s="93"/>
      <c r="Q85" s="93"/>
      <c r="R85" s="94"/>
    </row>
    <row r="86" spans="1:18" s="386" customFormat="1" ht="15.6">
      <c r="A86" s="58"/>
      <c r="B86" s="59" t="s">
        <v>148</v>
      </c>
      <c r="C86" s="50">
        <f>SUM(D86:F86)</f>
        <v>0</v>
      </c>
      <c r="D86" s="243"/>
      <c r="E86" s="243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9" t="s">
        <v>213</v>
      </c>
      <c r="P86" s="341" t="s">
        <v>27</v>
      </c>
      <c r="Q86" s="337">
        <v>0</v>
      </c>
      <c r="R86" s="339">
        <v>0</v>
      </c>
    </row>
    <row r="87" spans="1:18" s="386" customFormat="1" ht="15.6">
      <c r="A87" s="58"/>
      <c r="B87" s="20" t="s">
        <v>157</v>
      </c>
      <c r="C87" s="50">
        <f>SUM(D87:L87)</f>
        <v>0</v>
      </c>
      <c r="D87" s="244">
        <v>0</v>
      </c>
      <c r="E87" s="243"/>
      <c r="F87" s="161"/>
      <c r="G87" s="161"/>
      <c r="H87" s="161"/>
      <c r="I87" s="161"/>
      <c r="J87" s="161"/>
      <c r="K87" s="161"/>
      <c r="L87" s="161"/>
      <c r="M87" s="133"/>
      <c r="N87" s="50"/>
      <c r="O87" s="336" t="s">
        <v>79</v>
      </c>
      <c r="P87" s="341" t="s">
        <v>17</v>
      </c>
      <c r="Q87" s="337">
        <f>IF((-C83+C91)&gt;0,(-C83+C91),0)</f>
        <v>569983.25398000097</v>
      </c>
      <c r="R87" s="339">
        <f>IF((-C83+C91)&lt;0,(-C83+C91),0)</f>
        <v>0</v>
      </c>
    </row>
    <row r="88" spans="1:18" s="386" customFormat="1" ht="15.6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5">
        <v>0</v>
      </c>
      <c r="M88" s="134"/>
      <c r="N88" s="50"/>
      <c r="O88" s="342" t="s">
        <v>80</v>
      </c>
      <c r="P88" s="341" t="s">
        <v>20</v>
      </c>
      <c r="Q88" s="112">
        <f>IF((C85+C86)&lt;0,(-C85-C86),0)</f>
        <v>0</v>
      </c>
      <c r="R88" s="339">
        <f>IF((C85+C86)&gt;0,(-C85-C86),0)</f>
        <v>-564000.44398000068</v>
      </c>
    </row>
    <row r="89" spans="1:18" s="386" customFormat="1" ht="15.6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5">
        <v>0</v>
      </c>
      <c r="M89" s="134"/>
      <c r="N89" s="50"/>
      <c r="O89" s="344" t="s">
        <v>82</v>
      </c>
      <c r="P89" s="341" t="s">
        <v>75</v>
      </c>
      <c r="Q89" s="346">
        <v>0</v>
      </c>
      <c r="R89" s="339">
        <f>IF(C90&gt;0,-C90,0)</f>
        <v>-5982.81</v>
      </c>
    </row>
    <row r="90" spans="1:18" s="386" customFormat="1" ht="16.2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7"/>
      <c r="M90" s="238">
        <v>3.2500000000000001E-2</v>
      </c>
      <c r="N90" s="50"/>
      <c r="O90" s="345" t="s">
        <v>83</v>
      </c>
      <c r="P90" s="343" t="s">
        <v>76</v>
      </c>
      <c r="Q90" s="116">
        <f>IF(-C90&gt;0,-C90,0)</f>
        <v>0</v>
      </c>
      <c r="R90" s="116">
        <f>IF(C90&gt;0,0,0)</f>
        <v>0</v>
      </c>
    </row>
    <row r="91" spans="1:18" s="386" customFormat="1" ht="16.2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7"/>
      <c r="O91" s="387"/>
      <c r="P91" s="387"/>
      <c r="Q91" s="387"/>
      <c r="R91" s="340">
        <f>ROUND(SUM(Q86:R90),2)</f>
        <v>0</v>
      </c>
    </row>
    <row r="92" spans="1:18" s="386" customFormat="1" ht="16.2" thickTop="1" thickBot="1">
      <c r="A92" s="53"/>
      <c r="M92" s="52"/>
    </row>
    <row r="93" spans="1:18" s="386" customFormat="1" ht="16.2" thickBot="1">
      <c r="A93" s="58">
        <v>41518</v>
      </c>
      <c r="B93" s="59" t="s">
        <v>84</v>
      </c>
      <c r="C93" s="50">
        <f>SUM(D93:L93)</f>
        <v>208713.47537599935</v>
      </c>
      <c r="D93" s="246">
        <v>-814688.68566800107</v>
      </c>
      <c r="E93" s="246">
        <v>1023402.1610440004</v>
      </c>
      <c r="F93" s="161">
        <v>0</v>
      </c>
      <c r="G93" s="161"/>
      <c r="H93" s="161"/>
      <c r="I93" s="161"/>
      <c r="J93" s="390"/>
      <c r="K93" s="161"/>
      <c r="L93" s="161">
        <v>0</v>
      </c>
      <c r="M93" s="133"/>
      <c r="N93" s="50"/>
      <c r="O93" s="338" t="s">
        <v>106</v>
      </c>
      <c r="P93" s="93"/>
      <c r="Q93" s="93"/>
      <c r="R93" s="94"/>
    </row>
    <row r="94" spans="1:18" s="386" customFormat="1" ht="15.6">
      <c r="A94" s="58"/>
      <c r="B94" s="59" t="s">
        <v>148</v>
      </c>
      <c r="C94" s="50">
        <f>SUM(D94:F94)</f>
        <v>0</v>
      </c>
      <c r="D94" s="243"/>
      <c r="E94" s="243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9" t="s">
        <v>213</v>
      </c>
      <c r="P94" s="341" t="s">
        <v>27</v>
      </c>
      <c r="Q94" s="337">
        <v>0</v>
      </c>
      <c r="R94" s="339">
        <v>0</v>
      </c>
    </row>
    <row r="95" spans="1:18" s="386" customFormat="1" ht="15.6">
      <c r="A95" s="58"/>
      <c r="B95" s="20" t="s">
        <v>157</v>
      </c>
      <c r="C95" s="50">
        <f>SUM(D95:L95)</f>
        <v>0</v>
      </c>
      <c r="D95" s="244">
        <v>0</v>
      </c>
      <c r="E95" s="243"/>
      <c r="F95" s="161"/>
      <c r="G95" s="161"/>
      <c r="H95" s="161"/>
      <c r="I95" s="161"/>
      <c r="J95" s="161"/>
      <c r="K95" s="161"/>
      <c r="L95" s="161"/>
      <c r="M95" s="133"/>
      <c r="N95" s="50"/>
      <c r="O95" s="336" t="s">
        <v>79</v>
      </c>
      <c r="P95" s="341" t="s">
        <v>17</v>
      </c>
      <c r="Q95" s="337">
        <f>IF((-C91+C99)&gt;0,(-C91+C99),0)</f>
        <v>215758.87537599914</v>
      </c>
      <c r="R95" s="339">
        <f>IF((-C91+C99)&lt;0,(-C91+C99),0)</f>
        <v>0</v>
      </c>
    </row>
    <row r="96" spans="1:18" s="386" customFormat="1" ht="15.6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5">
        <v>0</v>
      </c>
      <c r="M96" s="134"/>
      <c r="N96" s="50"/>
      <c r="O96" s="342" t="s">
        <v>80</v>
      </c>
      <c r="P96" s="341" t="s">
        <v>20</v>
      </c>
      <c r="Q96" s="112">
        <f>IF((C93+C94)&lt;0,(-C93-C94),0)</f>
        <v>0</v>
      </c>
      <c r="R96" s="339">
        <f>IF((C93+C94)&gt;0,(-C93-C94),0)</f>
        <v>-208713.47537599935</v>
      </c>
    </row>
    <row r="97" spans="1:18" s="386" customFormat="1" ht="15.6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5">
        <v>0</v>
      </c>
      <c r="M97" s="134"/>
      <c r="N97" s="50"/>
      <c r="O97" s="344" t="s">
        <v>82</v>
      </c>
      <c r="P97" s="341" t="s">
        <v>75</v>
      </c>
      <c r="Q97" s="346">
        <v>0</v>
      </c>
      <c r="R97" s="339">
        <f>IF(C98&gt;0,-C98,0)</f>
        <v>-7045.4</v>
      </c>
    </row>
    <row r="98" spans="1:18" s="386" customFormat="1" ht="16.2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7"/>
      <c r="M98" s="238">
        <v>3.2500000000000001E-2</v>
      </c>
      <c r="N98" s="50"/>
      <c r="O98" s="345" t="s">
        <v>83</v>
      </c>
      <c r="P98" s="343" t="s">
        <v>76</v>
      </c>
      <c r="Q98" s="116">
        <f>IF(-C98&gt;0,-C98,0)</f>
        <v>0</v>
      </c>
      <c r="R98" s="116">
        <f>IF(C98&gt;0,0,0)</f>
        <v>0</v>
      </c>
    </row>
    <row r="99" spans="1:18" s="386" customFormat="1" ht="16.2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7"/>
      <c r="O99" s="387"/>
      <c r="P99" s="387"/>
      <c r="Q99" s="387"/>
      <c r="R99" s="340">
        <f>ROUND(SUM(Q94:R98),2)</f>
        <v>0</v>
      </c>
    </row>
    <row r="100" spans="1:18" ht="16.2" thickTop="1" thickBot="1"/>
    <row r="101" spans="1:18" s="386" customFormat="1" ht="16.2" thickBot="1">
      <c r="A101" s="58">
        <v>41578</v>
      </c>
      <c r="B101" s="59" t="s">
        <v>84</v>
      </c>
      <c r="C101" s="50">
        <f>SUM(D101:L101)</f>
        <v>-464484.39013699861</v>
      </c>
      <c r="D101" s="246">
        <v>-726195.13553999923</v>
      </c>
      <c r="E101" s="246">
        <v>261710.74540300062</v>
      </c>
      <c r="F101" s="161">
        <v>0</v>
      </c>
      <c r="G101" s="161"/>
      <c r="H101" s="161"/>
      <c r="I101" s="161"/>
      <c r="J101" s="390"/>
      <c r="K101" s="161"/>
      <c r="L101" s="161">
        <v>0</v>
      </c>
      <c r="M101" s="133"/>
      <c r="N101" s="50"/>
      <c r="O101" s="338" t="s">
        <v>106</v>
      </c>
      <c r="P101" s="93"/>
      <c r="Q101" s="93"/>
      <c r="R101" s="94"/>
    </row>
    <row r="102" spans="1:18" s="386" customFormat="1" ht="15.6">
      <c r="A102" s="58"/>
      <c r="B102" s="59" t="s">
        <v>148</v>
      </c>
      <c r="C102" s="50">
        <f>SUM(D102:F102)</f>
        <v>0</v>
      </c>
      <c r="D102" s="243"/>
      <c r="E102" s="243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9" t="s">
        <v>213</v>
      </c>
      <c r="P102" s="341" t="s">
        <v>27</v>
      </c>
      <c r="Q102" s="337">
        <v>0</v>
      </c>
      <c r="R102" s="339">
        <v>0</v>
      </c>
    </row>
    <row r="103" spans="1:18" s="386" customFormat="1" ht="15.6">
      <c r="A103" s="58"/>
      <c r="B103" s="20" t="s">
        <v>157</v>
      </c>
      <c r="C103" s="50">
        <f>SUM(D103:L103)</f>
        <v>0</v>
      </c>
      <c r="D103" s="244">
        <v>0</v>
      </c>
      <c r="E103" s="243"/>
      <c r="F103" s="161"/>
      <c r="G103" s="161"/>
      <c r="H103" s="161"/>
      <c r="I103" s="161"/>
      <c r="J103" s="161"/>
      <c r="K103" s="161"/>
      <c r="L103" s="161"/>
      <c r="M103" s="133"/>
      <c r="N103" s="50"/>
      <c r="O103" s="336" t="s">
        <v>79</v>
      </c>
      <c r="P103" s="341" t="s">
        <v>17</v>
      </c>
      <c r="Q103" s="337">
        <f>IF((-C99+C107)&gt;0,(-C99+C107),0)</f>
        <v>0</v>
      </c>
      <c r="R103" s="339">
        <f>IF((-C99+C107)&lt;0,(-C99+C107),0)</f>
        <v>-457766.2701369985</v>
      </c>
    </row>
    <row r="104" spans="1:18" s="386" customFormat="1" ht="15.6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5">
        <v>0</v>
      </c>
      <c r="M104" s="134"/>
      <c r="N104" s="50"/>
      <c r="O104" s="342" t="s">
        <v>80</v>
      </c>
      <c r="P104" s="341" t="s">
        <v>20</v>
      </c>
      <c r="Q104" s="112">
        <f>IF((C101+C102)&lt;0,(-C101-C102),0)</f>
        <v>464484.39013699861</v>
      </c>
      <c r="R104" s="339">
        <f>IF((C101+C102)&gt;0,(-C101-C102),0)</f>
        <v>0</v>
      </c>
    </row>
    <row r="105" spans="1:18" s="386" customFormat="1" ht="15.6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5">
        <v>0</v>
      </c>
      <c r="M105" s="134"/>
      <c r="N105" s="50"/>
      <c r="O105" s="344" t="s">
        <v>82</v>
      </c>
      <c r="P105" s="341" t="s">
        <v>75</v>
      </c>
      <c r="Q105" s="346">
        <v>0</v>
      </c>
      <c r="R105" s="339">
        <f>IF(C106&gt;0,-C106,0)</f>
        <v>-6718.12</v>
      </c>
    </row>
    <row r="106" spans="1:18" s="386" customFormat="1" ht="16.2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7"/>
      <c r="M106" s="238">
        <v>3.2500000000000001E-2</v>
      </c>
      <c r="N106" s="50"/>
      <c r="O106" s="345" t="s">
        <v>83</v>
      </c>
      <c r="P106" s="343" t="s">
        <v>76</v>
      </c>
      <c r="Q106" s="116">
        <f>IF(-C106&gt;0,-C106,0)</f>
        <v>0</v>
      </c>
      <c r="R106" s="116">
        <f>IF(C106&gt;0,0,0)</f>
        <v>0</v>
      </c>
    </row>
    <row r="107" spans="1:18" s="386" customFormat="1" ht="16.2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7"/>
      <c r="O107" s="387"/>
      <c r="P107" s="387"/>
      <c r="Q107" s="387"/>
      <c r="R107" s="340">
        <f>ROUND(SUM(Q102:R106),2)</f>
        <v>0</v>
      </c>
    </row>
    <row r="108" spans="1:18" s="386" customFormat="1" ht="15.6" thickTop="1">
      <c r="A108" s="53"/>
      <c r="M108" s="52"/>
    </row>
    <row r="109" spans="1:18" s="386" customFormat="1" ht="15.6">
      <c r="A109" s="103">
        <v>41579</v>
      </c>
      <c r="B109" s="2" t="s">
        <v>232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7"/>
      <c r="M109" s="52"/>
    </row>
    <row r="110" spans="1:18" s="386" customFormat="1" ht="16.2" thickBot="1">
      <c r="A110" s="103"/>
      <c r="B110" s="2" t="s">
        <v>235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6" customFormat="1" ht="16.2" thickTop="1" thickBot="1">
      <c r="A111" s="53"/>
      <c r="M111" s="52"/>
    </row>
    <row r="112" spans="1:18" s="386" customFormat="1" ht="16.2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6">
        <v>-363626.86552299373</v>
      </c>
      <c r="E112" s="246">
        <v>-780538.83973299898</v>
      </c>
      <c r="F112" s="161">
        <v>0</v>
      </c>
      <c r="G112" s="161"/>
      <c r="H112" s="161"/>
      <c r="I112" s="161"/>
      <c r="J112" s="390"/>
      <c r="K112" s="161"/>
      <c r="L112" s="161">
        <v>0</v>
      </c>
      <c r="M112" s="133"/>
      <c r="N112" s="50"/>
      <c r="O112" s="338" t="s">
        <v>106</v>
      </c>
      <c r="P112" s="93"/>
      <c r="Q112" s="93"/>
      <c r="R112" s="94"/>
    </row>
    <row r="113" spans="1:18" s="386" customFormat="1" ht="15.6">
      <c r="A113" s="58"/>
      <c r="B113" s="59" t="s">
        <v>148</v>
      </c>
      <c r="C113" s="50">
        <f>SUM(D113:F113)</f>
        <v>0</v>
      </c>
      <c r="D113" s="243"/>
      <c r="E113" s="243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9" t="s">
        <v>234</v>
      </c>
      <c r="P113" s="341" t="s">
        <v>27</v>
      </c>
      <c r="Q113" s="337">
        <f>-C109</f>
        <v>1145801.7486667871</v>
      </c>
      <c r="R113" s="339">
        <v>0</v>
      </c>
    </row>
    <row r="114" spans="1:18" s="386" customFormat="1" ht="15.6">
      <c r="A114" s="58"/>
      <c r="B114" s="20" t="s">
        <v>157</v>
      </c>
      <c r="C114" s="50">
        <f>SUM(D114:L114)</f>
        <v>0</v>
      </c>
      <c r="D114" s="244">
        <v>0</v>
      </c>
      <c r="E114" s="243"/>
      <c r="F114" s="161"/>
      <c r="G114" s="161"/>
      <c r="H114" s="161"/>
      <c r="I114" s="161"/>
      <c r="J114" s="161"/>
      <c r="K114" s="161"/>
      <c r="L114" s="161"/>
      <c r="M114" s="133"/>
      <c r="N114" s="50"/>
      <c r="O114" s="336" t="s">
        <v>79</v>
      </c>
      <c r="P114" s="341" t="s">
        <v>17</v>
      </c>
      <c r="Q114" s="337">
        <f>IF((-C107+C118)&gt;0,(-C107+C118),0)</f>
        <v>0</v>
      </c>
      <c r="R114" s="339">
        <f>IF((-C107+C118)&lt;0,(-C107+C118),0)</f>
        <v>-2288512.7239227798</v>
      </c>
    </row>
    <row r="115" spans="1:18" s="386" customFormat="1" ht="15.6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5">
        <v>0</v>
      </c>
      <c r="M115" s="134"/>
      <c r="N115" s="50"/>
      <c r="O115" s="342" t="s">
        <v>80</v>
      </c>
      <c r="P115" s="341" t="s">
        <v>20</v>
      </c>
      <c r="Q115" s="112">
        <f>IF((C112+C113)&lt;0,(-C112-C113),0)</f>
        <v>1144165.7052559927</v>
      </c>
      <c r="R115" s="339">
        <f>IF((C112+C113)&gt;0,(-C112-C113),0)</f>
        <v>0</v>
      </c>
    </row>
    <row r="116" spans="1:18" s="386" customFormat="1" ht="15.6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5">
        <v>0</v>
      </c>
      <c r="M116" s="134"/>
      <c r="N116" s="50"/>
      <c r="O116" s="344" t="s">
        <v>82</v>
      </c>
      <c r="P116" s="341" t="s">
        <v>75</v>
      </c>
      <c r="Q116" s="346">
        <v>0</v>
      </c>
      <c r="R116" s="339">
        <f>IF(C117&gt;0,-C117,0)</f>
        <v>-1454.73</v>
      </c>
    </row>
    <row r="117" spans="1:18" s="386" customFormat="1" ht="16.2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7"/>
      <c r="M117" s="238">
        <v>3.2500000000000001E-2</v>
      </c>
      <c r="N117" s="50"/>
      <c r="O117" s="345" t="s">
        <v>83</v>
      </c>
      <c r="P117" s="343" t="s">
        <v>76</v>
      </c>
      <c r="Q117" s="116">
        <f>IF(-C117&gt;0,-C117,0)</f>
        <v>0</v>
      </c>
      <c r="R117" s="116">
        <f>IF(C117&gt;0,0,0)</f>
        <v>0</v>
      </c>
    </row>
    <row r="118" spans="1:18" s="386" customFormat="1" ht="16.2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7"/>
      <c r="O118" s="387"/>
      <c r="P118" s="387"/>
      <c r="Q118" s="387"/>
      <c r="R118" s="340">
        <f>ROUND(SUM(Q113:R117),2)</f>
        <v>0</v>
      </c>
    </row>
    <row r="119" spans="1:18" s="386" customFormat="1" ht="16.2" thickTop="1" thickBot="1">
      <c r="A119" s="53"/>
      <c r="M119" s="52"/>
    </row>
    <row r="120" spans="1:18" s="386" customFormat="1" ht="16.2" thickBot="1">
      <c r="A120" s="58">
        <f>EOMONTH(A112,1)</f>
        <v>41639</v>
      </c>
      <c r="B120" s="59" t="s">
        <v>84</v>
      </c>
      <c r="C120" s="50">
        <f>SUM(D120:L120)</f>
        <v>-1911308.3046770003</v>
      </c>
      <c r="D120" s="246">
        <f>Jan!$H$55</f>
        <v>-173856.58066100068</v>
      </c>
      <c r="E120" s="246">
        <f>Jan!$I$55</f>
        <v>-1737451.7240159996</v>
      </c>
      <c r="F120" s="161">
        <v>0</v>
      </c>
      <c r="G120" s="161"/>
      <c r="H120" s="161"/>
      <c r="I120" s="161"/>
      <c r="J120" s="390"/>
      <c r="K120" s="161"/>
      <c r="L120" s="161">
        <v>0</v>
      </c>
      <c r="M120" s="133"/>
      <c r="N120" s="50"/>
      <c r="O120" s="338" t="s">
        <v>237</v>
      </c>
      <c r="P120" s="93"/>
      <c r="Q120" s="93"/>
      <c r="R120" s="94"/>
    </row>
    <row r="121" spans="1:18" s="386" customFormat="1" ht="15.6">
      <c r="A121" s="58"/>
      <c r="B121" s="59" t="s">
        <v>148</v>
      </c>
      <c r="C121" s="50">
        <f>SUM(D121:F121)</f>
        <v>0</v>
      </c>
      <c r="D121" s="243"/>
      <c r="E121" s="243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9" t="s">
        <v>234</v>
      </c>
      <c r="P121" s="341" t="s">
        <v>27</v>
      </c>
      <c r="Q121" s="337">
        <v>0</v>
      </c>
      <c r="R121" s="339">
        <v>0</v>
      </c>
    </row>
    <row r="122" spans="1:18" s="386" customFormat="1" ht="15.6">
      <c r="A122" s="58"/>
      <c r="B122" s="20" t="s">
        <v>157</v>
      </c>
      <c r="C122" s="50">
        <f>SUM(D122:L122)</f>
        <v>0</v>
      </c>
      <c r="D122" s="244">
        <v>0</v>
      </c>
      <c r="E122" s="243"/>
      <c r="F122" s="161"/>
      <c r="G122" s="161"/>
      <c r="H122" s="161"/>
      <c r="I122" s="161"/>
      <c r="J122" s="161"/>
      <c r="K122" s="161"/>
      <c r="L122" s="161"/>
      <c r="M122" s="133"/>
      <c r="N122" s="50"/>
      <c r="O122" s="336" t="s">
        <v>79</v>
      </c>
      <c r="P122" s="341" t="s">
        <v>17</v>
      </c>
      <c r="Q122" s="337">
        <f>IF((-C115+C126)&gt;0,(-C115+C126),0)</f>
        <v>0</v>
      </c>
      <c r="R122" s="339">
        <f>IF((-C118+C126)&lt;0,(-C118+C126),0)-C121</f>
        <v>-1913987.2646770002</v>
      </c>
    </row>
    <row r="123" spans="1:18" s="386" customFormat="1" ht="15.6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5">
        <v>0</v>
      </c>
      <c r="M123" s="134"/>
      <c r="N123" s="50"/>
      <c r="O123" s="342" t="s">
        <v>80</v>
      </c>
      <c r="P123" s="341" t="s">
        <v>20</v>
      </c>
      <c r="Q123" s="112">
        <f>IF((C120)&lt;0,(-C120),0)</f>
        <v>1911308.3046770003</v>
      </c>
      <c r="R123" s="339">
        <f>IF((C120+C121)&gt;0,(-C120-C121),0)</f>
        <v>0</v>
      </c>
    </row>
    <row r="124" spans="1:18" s="386" customFormat="1" ht="15.6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5">
        <v>0</v>
      </c>
      <c r="M124" s="134"/>
      <c r="N124" s="50"/>
      <c r="O124" s="344" t="s">
        <v>82</v>
      </c>
      <c r="P124" s="341" t="s">
        <v>75</v>
      </c>
      <c r="Q124" s="346">
        <v>0</v>
      </c>
      <c r="R124" s="339">
        <f>IF(C125&gt;0,-C125,0)</f>
        <v>0</v>
      </c>
    </row>
    <row r="125" spans="1:18" s="386" customFormat="1" ht="16.2" thickBot="1">
      <c r="A125" s="61"/>
      <c r="B125" s="59" t="s">
        <v>12</v>
      </c>
      <c r="C125" s="50">
        <f>SUM(D125:L125)</f>
        <v>-2678.96</v>
      </c>
      <c r="D125" s="161"/>
      <c r="E125" s="161"/>
      <c r="F125" s="161">
        <f>ROUND(((C118)+(C120)/2)*(M125/12),2)</f>
        <v>-2678.96</v>
      </c>
      <c r="G125" s="161"/>
      <c r="H125" s="161"/>
      <c r="I125" s="161"/>
      <c r="J125" s="161"/>
      <c r="K125" s="161"/>
      <c r="L125" s="247"/>
      <c r="M125" s="238">
        <v>3.2500000000000001E-2</v>
      </c>
      <c r="N125" s="50"/>
      <c r="O125" s="345" t="s">
        <v>83</v>
      </c>
      <c r="P125" s="343" t="s">
        <v>76</v>
      </c>
      <c r="Q125" s="116">
        <f>IF(-C125&gt;0,-C125,0)</f>
        <v>2678.96</v>
      </c>
      <c r="R125" s="116">
        <f>IF(C125&gt;0,0,0)</f>
        <v>0</v>
      </c>
    </row>
    <row r="126" spans="1:18" s="386" customFormat="1" ht="16.2" thickBot="1">
      <c r="A126" s="103">
        <f>A120</f>
        <v>41639</v>
      </c>
      <c r="B126" s="50" t="s">
        <v>56</v>
      </c>
      <c r="C126" s="158">
        <f>SUM(C120:C125,C118)</f>
        <v>-1947485.9968069876</v>
      </c>
      <c r="D126" s="158">
        <f>SUM(D120:D125,D118)</f>
        <v>-3219156.6121509932</v>
      </c>
      <c r="E126" s="158">
        <f>SUM(E120:E125,E118)</f>
        <v>1249007.045344003</v>
      </c>
      <c r="F126" s="158">
        <f>SUM(F120:F125,F118)</f>
        <v>22663.57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7"/>
      <c r="O126" s="387"/>
      <c r="P126" s="387"/>
      <c r="Q126" s="66"/>
      <c r="R126" s="340">
        <f>ROUND(SUM(Q121:R125),2)</f>
        <v>0</v>
      </c>
    </row>
    <row r="127" spans="1:18" ht="16.8" thickTop="1" thickBot="1">
      <c r="A127" s="144"/>
      <c r="B127" s="9" t="s">
        <v>249</v>
      </c>
      <c r="C127" s="1">
        <f>SUM(D127:L127)</f>
        <v>-1156793.8500000001</v>
      </c>
      <c r="D127" s="386"/>
      <c r="E127" s="386">
        <v>-1111877.48</v>
      </c>
      <c r="F127" s="386">
        <v>-44916.37</v>
      </c>
      <c r="G127" s="161"/>
      <c r="H127" s="161"/>
      <c r="I127" s="161"/>
      <c r="J127" s="390"/>
      <c r="K127" s="161"/>
      <c r="L127" s="161"/>
    </row>
    <row r="128" spans="1:18" ht="16.2" thickBot="1">
      <c r="B128" s="9" t="s">
        <v>243</v>
      </c>
      <c r="C128" s="476">
        <f>SUM(C126:C127)</f>
        <v>-3104279.8468069877</v>
      </c>
      <c r="D128" s="476">
        <f>SUM(D126:D127)</f>
        <v>-3219156.6121509932</v>
      </c>
      <c r="E128" s="476">
        <f>SUM(E126:E127)</f>
        <v>137129.56534400303</v>
      </c>
      <c r="F128" s="476">
        <f>SUM(F126:F127)</f>
        <v>-22252.800000000003</v>
      </c>
      <c r="G128" s="476"/>
      <c r="H128" s="476"/>
      <c r="I128" s="476"/>
      <c r="J128" s="476"/>
      <c r="K128" s="476"/>
      <c r="L128" s="476">
        <f>SUM(L126:L127)</f>
        <v>0</v>
      </c>
      <c r="O128" s="338" t="s">
        <v>238</v>
      </c>
      <c r="P128" s="93"/>
      <c r="Q128" s="93"/>
      <c r="R128" s="94"/>
    </row>
    <row r="129" spans="2:18" ht="15.6">
      <c r="B129" s="9" t="s">
        <v>244</v>
      </c>
      <c r="C129" s="1" t="e">
        <f>_xll.Get_Balance("201312","YTD","USD","Total","A","","001","191010","GD","WA","DL")</f>
        <v>#VALUE!</v>
      </c>
      <c r="D129" s="386"/>
      <c r="E129" s="386"/>
      <c r="F129" s="386"/>
      <c r="G129" s="386"/>
      <c r="H129" s="386"/>
      <c r="I129" s="386"/>
      <c r="J129" s="386"/>
      <c r="K129" s="386"/>
      <c r="L129" s="386"/>
      <c r="O129" s="349" t="s">
        <v>234</v>
      </c>
      <c r="P129" s="341" t="s">
        <v>27</v>
      </c>
      <c r="Q129" s="337">
        <v>0</v>
      </c>
      <c r="R129" s="339">
        <v>0</v>
      </c>
    </row>
    <row r="130" spans="2:18" ht="16.2" thickBot="1">
      <c r="B130" s="9" t="s">
        <v>245</v>
      </c>
      <c r="C130" s="158" t="e">
        <f>C128-C129</f>
        <v>#VALUE!</v>
      </c>
      <c r="D130" s="386"/>
      <c r="E130" s="386"/>
      <c r="F130" s="386"/>
      <c r="G130" s="386"/>
      <c r="H130" s="386"/>
      <c r="I130" s="386"/>
      <c r="J130" s="386"/>
      <c r="K130" s="386"/>
      <c r="L130" s="386"/>
      <c r="O130" s="336" t="s">
        <v>79</v>
      </c>
      <c r="P130" s="341" t="s">
        <v>17</v>
      </c>
      <c r="Q130" s="337">
        <f>IF((-C123+C134)&gt;0,(-C123+C134),0)</f>
        <v>0</v>
      </c>
      <c r="R130" s="339">
        <v>-4133742.32</v>
      </c>
    </row>
    <row r="131" spans="2:18" ht="15.6" thickTop="1">
      <c r="D131" s="386"/>
      <c r="E131" s="386"/>
      <c r="F131" s="386"/>
      <c r="G131" s="386"/>
      <c r="H131" s="386"/>
      <c r="I131" s="386"/>
      <c r="J131" s="386"/>
      <c r="K131" s="386"/>
      <c r="L131" s="386"/>
      <c r="O131" s="342" t="s">
        <v>80</v>
      </c>
      <c r="P131" s="341" t="s">
        <v>20</v>
      </c>
      <c r="Q131" s="112">
        <v>4128061.51</v>
      </c>
      <c r="R131" s="339" t="e">
        <f>IF((C128+C129)&gt;0,(-C128-C129),0)</f>
        <v>#VALUE!</v>
      </c>
    </row>
    <row r="132" spans="2:18">
      <c r="D132" s="386"/>
      <c r="E132" s="386"/>
      <c r="F132" s="386"/>
      <c r="G132" s="386"/>
      <c r="H132" s="386"/>
      <c r="I132" s="386"/>
      <c r="J132" s="386"/>
      <c r="K132" s="386"/>
      <c r="L132" s="386"/>
      <c r="O132" s="344" t="s">
        <v>82</v>
      </c>
      <c r="P132" s="341" t="s">
        <v>75</v>
      </c>
      <c r="Q132" s="346">
        <v>0</v>
      </c>
      <c r="R132" s="339">
        <f>IF(C133&gt;0,-C133,0)</f>
        <v>0</v>
      </c>
    </row>
    <row r="133" spans="2:18" ht="15.6" thickBot="1">
      <c r="O133" s="345" t="s">
        <v>83</v>
      </c>
      <c r="P133" s="343" t="s">
        <v>76</v>
      </c>
      <c r="Q133" s="116">
        <v>5680.81</v>
      </c>
      <c r="R133" s="116">
        <f>IF(C133&gt;0,0,0)</f>
        <v>0</v>
      </c>
    </row>
    <row r="134" spans="2:18">
      <c r="B134" s="386"/>
      <c r="C134" s="386"/>
      <c r="D134" s="386"/>
      <c r="E134" s="386"/>
      <c r="F134" s="386"/>
      <c r="G134" s="386"/>
      <c r="H134" s="386"/>
      <c r="I134" s="386"/>
      <c r="J134" s="386"/>
      <c r="K134" s="386"/>
      <c r="L134" s="386"/>
      <c r="O134" s="387"/>
      <c r="P134" s="387"/>
      <c r="Q134" s="66"/>
      <c r="R134" s="340" t="e">
        <f>ROUND(SUM(Q129:R133),2)</f>
        <v>#VALUE!</v>
      </c>
    </row>
    <row r="135" spans="2:18" ht="15.6" thickBot="1">
      <c r="B135" s="386"/>
      <c r="C135" s="386"/>
      <c r="D135" s="386"/>
      <c r="E135" s="386"/>
      <c r="F135" s="386"/>
      <c r="G135" s="386"/>
      <c r="H135" s="386"/>
      <c r="I135" s="386"/>
      <c r="J135" s="386"/>
      <c r="K135" s="386"/>
      <c r="L135" s="386"/>
    </row>
    <row r="136" spans="2:18" ht="15.6" thickBot="1">
      <c r="O136" s="338" t="s">
        <v>239</v>
      </c>
      <c r="P136" s="93"/>
      <c r="Q136" s="93"/>
      <c r="R136" s="94"/>
    </row>
    <row r="137" spans="2:18">
      <c r="O137" s="349" t="s">
        <v>234</v>
      </c>
      <c r="P137" s="341" t="s">
        <v>27</v>
      </c>
      <c r="Q137" s="337">
        <v>0</v>
      </c>
      <c r="R137" s="339">
        <v>0</v>
      </c>
    </row>
    <row r="138" spans="2:18">
      <c r="O138" s="336" t="s">
        <v>79</v>
      </c>
      <c r="P138" s="341" t="s">
        <v>17</v>
      </c>
      <c r="Q138" s="337">
        <f>R122-R130</f>
        <v>2219755.0553229996</v>
      </c>
      <c r="R138" s="339">
        <v>0</v>
      </c>
    </row>
    <row r="139" spans="2:18">
      <c r="O139" s="342" t="s">
        <v>80</v>
      </c>
      <c r="P139" s="341" t="s">
        <v>20</v>
      </c>
      <c r="Q139" s="112">
        <v>0</v>
      </c>
      <c r="R139" s="339">
        <f>Q123-Q131</f>
        <v>-2216753.2053229995</v>
      </c>
    </row>
    <row r="140" spans="2:18">
      <c r="O140" s="344" t="s">
        <v>82</v>
      </c>
      <c r="P140" s="341" t="s">
        <v>75</v>
      </c>
      <c r="Q140" s="346">
        <v>0</v>
      </c>
      <c r="R140" s="339">
        <f>IF(C141&gt;0,-C141,0)</f>
        <v>0</v>
      </c>
    </row>
    <row r="141" spans="2:18" ht="15.6" thickBot="1">
      <c r="O141" s="345" t="s">
        <v>83</v>
      </c>
      <c r="P141" s="343" t="s">
        <v>76</v>
      </c>
      <c r="Q141" s="116">
        <f>IF(-C141&gt;0,-C141,0)</f>
        <v>0</v>
      </c>
      <c r="R141" s="116">
        <f>Q125-Q133</f>
        <v>-3001.8500000000004</v>
      </c>
    </row>
    <row r="142" spans="2:18">
      <c r="O142" s="387"/>
      <c r="P142" s="387"/>
      <c r="Q142" s="66"/>
      <c r="R142" s="340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  <customProperties>
    <customPr name="xxe4aP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6640625" defaultRowHeight="15"/>
  <cols>
    <col min="1" max="1" width="11.44140625" style="53" customWidth="1"/>
    <col min="2" max="2" width="40.109375" style="1" bestFit="1" customWidth="1"/>
    <col min="3" max="3" width="18.44140625" style="1" customWidth="1"/>
    <col min="4" max="4" width="19.109375" style="1" bestFit="1" customWidth="1"/>
    <col min="5" max="5" width="19.44140625" style="1" bestFit="1" customWidth="1"/>
    <col min="6" max="7" width="13.109375" style="1" customWidth="1"/>
    <col min="8" max="8" width="16.6640625" style="1" bestFit="1" customWidth="1"/>
    <col min="9" max="9" width="14.44140625" style="1" hidden="1" customWidth="1"/>
    <col min="10" max="10" width="13.33203125" style="1" hidden="1" customWidth="1"/>
    <col min="11" max="11" width="15.109375" style="1" hidden="1" customWidth="1"/>
    <col min="12" max="12" width="18.109375" style="1" hidden="1" customWidth="1"/>
    <col min="13" max="13" width="15.6640625" style="1" bestFit="1" customWidth="1"/>
    <col min="14" max="14" width="12.5546875" style="1" customWidth="1"/>
    <col min="15" max="15" width="11.33203125" style="1" customWidth="1"/>
    <col min="16" max="16" width="2.33203125" style="1" customWidth="1"/>
    <col min="17" max="17" width="26.88671875" style="1" customWidth="1"/>
    <col min="18" max="18" width="16.44140625" style="1" customWidth="1"/>
    <col min="19" max="19" width="17" style="1" customWidth="1"/>
    <col min="20" max="20" width="22.5546875" style="1" customWidth="1"/>
    <col min="21" max="16384" width="9.6640625" style="1"/>
  </cols>
  <sheetData>
    <row r="1" spans="1:21" ht="15.6">
      <c r="A1" s="51" t="s">
        <v>13</v>
      </c>
      <c r="M1" s="41"/>
    </row>
    <row r="2" spans="1:21" ht="15.6">
      <c r="A2" s="51" t="s">
        <v>46</v>
      </c>
    </row>
    <row r="3" spans="1:21" ht="15.6">
      <c r="A3" s="51" t="s">
        <v>47</v>
      </c>
    </row>
    <row r="4" spans="1:21" ht="15.6">
      <c r="A4" s="51" t="s">
        <v>104</v>
      </c>
    </row>
    <row r="5" spans="1:21">
      <c r="Q5" s="267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33" customFormat="1" ht="16.2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6"/>
      <c r="R8" s="386"/>
      <c r="S8" s="386"/>
      <c r="T8" s="386"/>
      <c r="U8" s="386"/>
    </row>
    <row r="9" spans="1:21" ht="15.6" thickTop="1">
      <c r="S9" s="386"/>
      <c r="T9" s="386"/>
      <c r="U9" s="386"/>
    </row>
    <row r="10" spans="1:21" s="203" customFormat="1" ht="15.6">
      <c r="A10" s="258"/>
      <c r="B10" s="161" t="s">
        <v>207</v>
      </c>
      <c r="C10" s="222">
        <v>1550000</v>
      </c>
      <c r="D10" s="222">
        <f>887740.8-((887740.8/1550000)*H10)</f>
        <v>883736.20005990437</v>
      </c>
      <c r="E10" s="222">
        <f>662259.2-((662259.2/1550000)*H10)</f>
        <v>659271.7478600872</v>
      </c>
      <c r="F10" s="222"/>
      <c r="G10" s="222"/>
      <c r="H10" s="222">
        <f>16564.81*(C10/(C10+C11))</f>
        <v>6992.0520800084523</v>
      </c>
      <c r="I10" s="222"/>
      <c r="J10" s="222"/>
      <c r="K10" s="222"/>
      <c r="L10" s="222"/>
      <c r="M10" s="222"/>
      <c r="N10" s="222"/>
      <c r="T10" s="259"/>
    </row>
    <row r="11" spans="1:21" s="203" customFormat="1" ht="15.6">
      <c r="A11" s="258"/>
      <c r="B11" s="161" t="s">
        <v>208</v>
      </c>
      <c r="C11" s="222">
        <v>2122091.5699999998</v>
      </c>
      <c r="D11" s="222">
        <f>1215398.23-((1215398.23/2122091.57)*H11)</f>
        <v>1209915.5669534774</v>
      </c>
      <c r="E11" s="222">
        <f>906693.34-((906693.34/2122091.57)*H11)</f>
        <v>902603.24512653111</v>
      </c>
      <c r="F11" s="222"/>
      <c r="G11" s="222"/>
      <c r="H11" s="390">
        <f>16564.81*(C11/(C10+C11))</f>
        <v>9572.757919991549</v>
      </c>
      <c r="I11" s="222"/>
      <c r="J11" s="222"/>
      <c r="K11" s="222"/>
      <c r="L11" s="222"/>
      <c r="M11" s="222"/>
      <c r="N11" s="222"/>
      <c r="T11" s="259"/>
    </row>
    <row r="12" spans="1:21" s="203" customFormat="1" ht="16.2" thickBot="1">
      <c r="A12" s="258"/>
      <c r="B12" s="161" t="s">
        <v>206</v>
      </c>
      <c r="C12" s="392">
        <f t="shared" ref="C12:H12" si="0">SUM(C8:C11)</f>
        <v>110888.09945322573</v>
      </c>
      <c r="D12" s="260">
        <f t="shared" si="0"/>
        <v>-1219714.2434863918</v>
      </c>
      <c r="E12" s="392">
        <f t="shared" si="0"/>
        <v>1339522.9629396189</v>
      </c>
      <c r="F12" s="392">
        <f t="shared" si="0"/>
        <v>0</v>
      </c>
      <c r="G12" s="392">
        <f t="shared" si="0"/>
        <v>0</v>
      </c>
      <c r="H12" s="392">
        <f t="shared" si="0"/>
        <v>-8920.619999999999</v>
      </c>
      <c r="I12" s="260">
        <v>0</v>
      </c>
      <c r="J12" s="260">
        <v>0</v>
      </c>
      <c r="K12" s="260">
        <v>0</v>
      </c>
      <c r="L12" s="260">
        <v>0</v>
      </c>
      <c r="M12" s="392">
        <f>SUM(M8:M11)</f>
        <v>0</v>
      </c>
      <c r="N12" s="392">
        <f>SUM(N8:N11)</f>
        <v>0</v>
      </c>
      <c r="T12" s="259"/>
    </row>
    <row r="13" spans="1:21" s="333" customFormat="1" ht="15.6" thickTop="1">
      <c r="A13" s="53"/>
      <c r="T13" s="386"/>
    </row>
    <row r="14" spans="1:21" s="333" customFormat="1" ht="15.6" thickBot="1">
      <c r="A14" s="53"/>
      <c r="T14" s="386"/>
    </row>
    <row r="15" spans="1:21" s="333" customFormat="1" ht="16.2" thickBot="1">
      <c r="A15" s="58"/>
      <c r="Q15" s="338" t="s">
        <v>107</v>
      </c>
      <c r="R15" s="334"/>
      <c r="S15" s="334"/>
      <c r="T15" s="229"/>
    </row>
    <row r="16" spans="1:21" s="333" customFormat="1" ht="15.6">
      <c r="A16" s="58">
        <v>41213</v>
      </c>
      <c r="B16" s="59" t="s">
        <v>84</v>
      </c>
      <c r="C16" s="50">
        <f>SUM(D16:N16)</f>
        <v>114978.85263290035</v>
      </c>
      <c r="D16" s="243">
        <v>-28954.004801100353</v>
      </c>
      <c r="E16" s="243">
        <v>143932.8574340007</v>
      </c>
      <c r="F16" s="244">
        <v>0</v>
      </c>
      <c r="G16" s="244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7" t="s">
        <v>81</v>
      </c>
      <c r="R16" s="348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33" customFormat="1" ht="15.6">
      <c r="A17" s="62"/>
      <c r="B17" s="59" t="s">
        <v>148</v>
      </c>
      <c r="C17" s="50">
        <f>SUM(D17:N17)</f>
        <v>-5986.75</v>
      </c>
      <c r="D17" s="244">
        <v>-5986.75</v>
      </c>
      <c r="E17" s="244">
        <v>0</v>
      </c>
      <c r="F17" s="244"/>
      <c r="G17" s="245"/>
      <c r="H17" s="60"/>
      <c r="I17" s="50"/>
      <c r="J17" s="87"/>
      <c r="K17" s="87"/>
      <c r="L17" s="50"/>
      <c r="M17" s="50"/>
      <c r="N17" s="50"/>
      <c r="O17" s="106"/>
      <c r="P17" s="50"/>
      <c r="Q17" s="349" t="s">
        <v>11</v>
      </c>
      <c r="R17" s="350" t="s">
        <v>62</v>
      </c>
      <c r="S17" s="112">
        <v>0</v>
      </c>
      <c r="T17" s="228">
        <f>-C11</f>
        <v>-2122091.5699999998</v>
      </c>
    </row>
    <row r="18" spans="1:20" s="333" customFormat="1" ht="15.6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4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9" t="s">
        <v>11</v>
      </c>
      <c r="R18" s="350" t="s">
        <v>209</v>
      </c>
      <c r="S18" s="112">
        <v>0</v>
      </c>
      <c r="T18" s="228">
        <f>-C10</f>
        <v>-1550000</v>
      </c>
    </row>
    <row r="19" spans="1:20" s="333" customFormat="1" ht="15.6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42" t="s">
        <v>80</v>
      </c>
      <c r="R19" s="341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33" customFormat="1" ht="16.2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4" t="s">
        <v>154</v>
      </c>
      <c r="R20" s="341" t="s">
        <v>77</v>
      </c>
      <c r="S20" s="88">
        <f>IF(C19&lt;0,C19,0)</f>
        <v>0</v>
      </c>
      <c r="T20" s="89">
        <f>IF(-C19&lt;0,-C19,0)</f>
        <v>-140.31</v>
      </c>
    </row>
    <row r="21" spans="1:20" s="333" customFormat="1" ht="16.2" thickTop="1" thickBot="1">
      <c r="A21" s="53"/>
      <c r="Q21" s="345" t="s">
        <v>83</v>
      </c>
      <c r="R21" s="343" t="s">
        <v>78</v>
      </c>
      <c r="S21" s="118">
        <f>IF(-C19&gt;0,-C19,0)</f>
        <v>0</v>
      </c>
      <c r="T21" s="111"/>
    </row>
    <row r="22" spans="1:20">
      <c r="Q22" s="333"/>
      <c r="R22" s="333"/>
      <c r="S22" s="333"/>
      <c r="T22" s="340">
        <f>ROUND(SUM(S16:T21),2)</f>
        <v>0</v>
      </c>
    </row>
    <row r="23" spans="1:20" ht="15.6" thickBot="1"/>
    <row r="24" spans="1:20" s="386" customFormat="1" ht="16.2" thickBot="1">
      <c r="A24" s="58"/>
      <c r="Q24" s="338" t="s">
        <v>218</v>
      </c>
      <c r="R24" s="334"/>
      <c r="S24" s="334"/>
      <c r="T24" s="229"/>
    </row>
    <row r="25" spans="1:20" s="386" customFormat="1" ht="15.6">
      <c r="A25" s="58">
        <v>41243</v>
      </c>
      <c r="B25" s="59" t="s">
        <v>84</v>
      </c>
      <c r="C25" s="50">
        <f>SUM(D25:N25)</f>
        <v>873005.70846981579</v>
      </c>
      <c r="D25" s="243">
        <v>893965.62064781552</v>
      </c>
      <c r="E25" s="243">
        <v>-20959.912177999737</v>
      </c>
      <c r="F25" s="244">
        <v>0</v>
      </c>
      <c r="G25" s="244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7" t="s">
        <v>81</v>
      </c>
      <c r="R25" s="348" t="s">
        <v>58</v>
      </c>
      <c r="S25" s="112">
        <v>873552.80846981588</v>
      </c>
      <c r="T25" s="117">
        <v>0</v>
      </c>
    </row>
    <row r="26" spans="1:20" s="386" customFormat="1" ht="15.6">
      <c r="A26" s="62"/>
      <c r="B26" s="59" t="s">
        <v>148</v>
      </c>
      <c r="C26" s="50">
        <v>0</v>
      </c>
      <c r="D26" s="244">
        <v>0</v>
      </c>
      <c r="E26" s="244">
        <v>0</v>
      </c>
      <c r="F26" s="244"/>
      <c r="G26" s="245"/>
      <c r="H26" s="60"/>
      <c r="I26" s="50"/>
      <c r="J26" s="87"/>
      <c r="K26" s="87"/>
      <c r="L26" s="50"/>
      <c r="M26" s="50"/>
      <c r="N26" s="50"/>
      <c r="O26" s="106"/>
      <c r="P26" s="50"/>
      <c r="Q26" s="349" t="s">
        <v>11</v>
      </c>
      <c r="R26" s="350" t="s">
        <v>62</v>
      </c>
      <c r="S26" s="112">
        <v>0</v>
      </c>
      <c r="T26" s="228">
        <v>0</v>
      </c>
    </row>
    <row r="27" spans="1:20" s="386" customFormat="1" ht="15.6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4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9" t="s">
        <v>11</v>
      </c>
      <c r="R27" s="350" t="s">
        <v>209</v>
      </c>
      <c r="S27" s="112">
        <v>0</v>
      </c>
      <c r="T27" s="228">
        <v>0</v>
      </c>
    </row>
    <row r="28" spans="1:20" s="386" customFormat="1" ht="15.6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42" t="s">
        <v>80</v>
      </c>
      <c r="R28" s="341" t="s">
        <v>59</v>
      </c>
      <c r="S28" s="88">
        <v>0</v>
      </c>
      <c r="T28" s="89">
        <v>-873005.70846981579</v>
      </c>
    </row>
    <row r="29" spans="1:20" s="386" customFormat="1" ht="16.2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4" t="s">
        <v>154</v>
      </c>
      <c r="R29" s="341" t="s">
        <v>77</v>
      </c>
      <c r="S29" s="88">
        <v>0</v>
      </c>
      <c r="T29" s="89">
        <v>-547.1</v>
      </c>
    </row>
    <row r="30" spans="1:20" s="386" customFormat="1" ht="16.2" thickTop="1" thickBot="1">
      <c r="A30" s="53"/>
      <c r="Q30" s="345" t="s">
        <v>83</v>
      </c>
      <c r="R30" s="343" t="s">
        <v>78</v>
      </c>
      <c r="S30" s="118">
        <v>0</v>
      </c>
      <c r="T30" s="111"/>
    </row>
    <row r="31" spans="1:20" s="386" customFormat="1">
      <c r="A31" s="53"/>
      <c r="T31" s="340">
        <f>ROUND(SUM(S25:T30),2)</f>
        <v>0</v>
      </c>
    </row>
    <row r="32" spans="1:20" ht="16.2" thickBot="1">
      <c r="A32" s="618" t="s">
        <v>215</v>
      </c>
      <c r="B32" s="618"/>
      <c r="C32" s="618"/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203"/>
      <c r="Q32" s="203"/>
      <c r="R32" s="203"/>
      <c r="S32" s="203"/>
      <c r="T32" s="203"/>
    </row>
    <row r="33" spans="1:20" ht="15.6" thickBot="1">
      <c r="A33" s="258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420" t="s">
        <v>219</v>
      </c>
      <c r="R33" s="404"/>
      <c r="S33" s="404"/>
      <c r="T33" s="421"/>
    </row>
    <row r="34" spans="1:20" ht="15.6">
      <c r="A34" s="422">
        <v>41243</v>
      </c>
      <c r="B34" s="423" t="s">
        <v>84</v>
      </c>
      <c r="C34" s="161">
        <f>SUM(D34:N34)</f>
        <v>700985.36846981547</v>
      </c>
      <c r="D34" s="243">
        <v>760588.19064781535</v>
      </c>
      <c r="E34" s="243">
        <v>-59602.822177999886</v>
      </c>
      <c r="F34" s="244">
        <v>0</v>
      </c>
      <c r="G34" s="244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4"/>
      <c r="P34" s="203"/>
      <c r="Q34" s="425" t="s">
        <v>81</v>
      </c>
      <c r="R34" s="426" t="s">
        <v>58</v>
      </c>
      <c r="S34" s="427">
        <v>0</v>
      </c>
      <c r="T34" s="428">
        <f>C34+C37-S25</f>
        <v>-172092.01000000036</v>
      </c>
    </row>
    <row r="35" spans="1:20" ht="15.6">
      <c r="A35" s="429"/>
      <c r="B35" s="423" t="s">
        <v>148</v>
      </c>
      <c r="C35" s="161">
        <v>0</v>
      </c>
      <c r="D35" s="244">
        <v>0</v>
      </c>
      <c r="E35" s="244">
        <v>0</v>
      </c>
      <c r="F35" s="244"/>
      <c r="G35" s="245"/>
      <c r="H35" s="244"/>
      <c r="I35" s="161"/>
      <c r="J35" s="245"/>
      <c r="K35" s="245"/>
      <c r="L35" s="161"/>
      <c r="M35" s="161"/>
      <c r="N35" s="161"/>
      <c r="O35" s="424"/>
      <c r="P35" s="203"/>
      <c r="Q35" s="430" t="s">
        <v>11</v>
      </c>
      <c r="R35" s="431" t="s">
        <v>62</v>
      </c>
      <c r="S35" s="427">
        <v>0</v>
      </c>
      <c r="T35" s="432">
        <v>0</v>
      </c>
    </row>
    <row r="36" spans="1:20" ht="15.6">
      <c r="A36" s="429"/>
      <c r="B36" s="423" t="s">
        <v>144</v>
      </c>
      <c r="C36" s="161">
        <f>SUM(D36:N36)</f>
        <v>0</v>
      </c>
      <c r="D36" s="161">
        <v>0</v>
      </c>
      <c r="E36" s="161"/>
      <c r="F36" s="161"/>
      <c r="G36" s="244">
        <v>0</v>
      </c>
      <c r="H36" s="433"/>
      <c r="I36" s="161"/>
      <c r="J36" s="245"/>
      <c r="K36" s="161"/>
      <c r="L36" s="161"/>
      <c r="M36" s="161"/>
      <c r="N36" s="161"/>
      <c r="O36" s="424"/>
      <c r="P36" s="203"/>
      <c r="Q36" s="430" t="s">
        <v>11</v>
      </c>
      <c r="R36" s="431" t="s">
        <v>209</v>
      </c>
      <c r="S36" s="427">
        <v>0</v>
      </c>
      <c r="T36" s="432">
        <v>0</v>
      </c>
    </row>
    <row r="37" spans="1:20" ht="15.6">
      <c r="A37" s="429"/>
      <c r="B37" s="423" t="s">
        <v>57</v>
      </c>
      <c r="C37" s="204">
        <f>SUM(D37:N37)</f>
        <v>475.43</v>
      </c>
      <c r="D37" s="204"/>
      <c r="E37" s="204"/>
      <c r="F37" s="204"/>
      <c r="G37" s="204"/>
      <c r="H37" s="204">
        <v>475.43</v>
      </c>
      <c r="I37" s="204"/>
      <c r="J37" s="204"/>
      <c r="K37" s="204"/>
      <c r="L37" s="204"/>
      <c r="M37" s="204"/>
      <c r="N37" s="204"/>
      <c r="O37" s="434">
        <v>0.01</v>
      </c>
      <c r="P37" s="203"/>
      <c r="Q37" s="435" t="s">
        <v>80</v>
      </c>
      <c r="R37" s="436" t="s">
        <v>59</v>
      </c>
      <c r="S37" s="437">
        <f>-T28-C34</f>
        <v>172020.34000000032</v>
      </c>
      <c r="T37" s="438">
        <v>0</v>
      </c>
    </row>
    <row r="38" spans="1:20" ht="16.2" thickBot="1">
      <c r="A38" s="439">
        <f>A34</f>
        <v>41243</v>
      </c>
      <c r="B38" s="161" t="s">
        <v>56</v>
      </c>
      <c r="C38" s="392">
        <f t="shared" ref="C38:H38" si="4">SUM(C34:C37,C20)</f>
        <v>921481.31055594166</v>
      </c>
      <c r="D38" s="392">
        <f t="shared" si="4"/>
        <v>-494066.80763967684</v>
      </c>
      <c r="E38" s="392">
        <f t="shared" si="4"/>
        <v>1423852.9981956196</v>
      </c>
      <c r="F38" s="392">
        <f t="shared" si="4"/>
        <v>0</v>
      </c>
      <c r="G38" s="392">
        <f t="shared" si="4"/>
        <v>0</v>
      </c>
      <c r="H38" s="392">
        <f t="shared" si="4"/>
        <v>-8304.8799999999992</v>
      </c>
      <c r="I38" s="392">
        <f t="shared" ref="I38:L38" si="5">SUM(I29:I37)</f>
        <v>0</v>
      </c>
      <c r="J38" s="392">
        <f t="shared" si="5"/>
        <v>0</v>
      </c>
      <c r="K38" s="392">
        <f t="shared" si="5"/>
        <v>0</v>
      </c>
      <c r="L38" s="392">
        <f t="shared" si="5"/>
        <v>0</v>
      </c>
      <c r="M38" s="392">
        <f>SUM(M32:M37)</f>
        <v>0</v>
      </c>
      <c r="N38" s="392">
        <f>SUM(N32:N37)</f>
        <v>0</v>
      </c>
      <c r="O38" s="161"/>
      <c r="P38" s="203"/>
      <c r="Q38" s="440" t="s">
        <v>154</v>
      </c>
      <c r="R38" s="436" t="s">
        <v>77</v>
      </c>
      <c r="S38" s="437">
        <f>C28-C37</f>
        <v>71.670000000000016</v>
      </c>
      <c r="T38" s="438">
        <v>0</v>
      </c>
    </row>
    <row r="39" spans="1:20" ht="16.2" thickTop="1" thickBot="1">
      <c r="A39" s="258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441" t="s">
        <v>83</v>
      </c>
      <c r="R39" s="442" t="s">
        <v>78</v>
      </c>
      <c r="S39" s="443">
        <v>0</v>
      </c>
      <c r="T39" s="444">
        <v>0</v>
      </c>
    </row>
    <row r="40" spans="1:20">
      <c r="A40" s="258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340">
        <f>ROUND(SUM(S34:T39),2)</f>
        <v>0</v>
      </c>
    </row>
    <row r="41" spans="1:20" s="386" customFormat="1" ht="15.6" thickBot="1">
      <c r="A41" s="53"/>
    </row>
    <row r="42" spans="1:20" s="386" customFormat="1" ht="16.2" thickBot="1">
      <c r="A42" s="58"/>
      <c r="Q42" s="338" t="s">
        <v>107</v>
      </c>
      <c r="R42" s="334"/>
      <c r="S42" s="334"/>
      <c r="T42" s="229"/>
    </row>
    <row r="43" spans="1:20" s="386" customFormat="1" ht="15.6">
      <c r="A43" s="58">
        <v>41274</v>
      </c>
      <c r="B43" s="59" t="s">
        <v>84</v>
      </c>
      <c r="C43" s="50">
        <f>SUM(D43:N43)</f>
        <v>134368.12753900047</v>
      </c>
      <c r="D43" s="243">
        <v>505847.59770200029</v>
      </c>
      <c r="E43" s="243">
        <v>-371479.47016299982</v>
      </c>
      <c r="F43" s="244">
        <v>0</v>
      </c>
      <c r="G43" s="244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7" t="s">
        <v>81</v>
      </c>
      <c r="R43" s="348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6" customFormat="1" ht="15.6">
      <c r="A44" s="62"/>
      <c r="B44" s="59" t="s">
        <v>148</v>
      </c>
      <c r="C44" s="50">
        <v>0</v>
      </c>
      <c r="D44" s="244">
        <v>0</v>
      </c>
      <c r="E44" s="244">
        <v>0</v>
      </c>
      <c r="F44" s="244"/>
      <c r="G44" s="245"/>
      <c r="H44" s="60"/>
      <c r="I44" s="50"/>
      <c r="J44" s="87"/>
      <c r="K44" s="87"/>
      <c r="L44" s="50"/>
      <c r="M44" s="50"/>
      <c r="N44" s="50"/>
      <c r="O44" s="106"/>
      <c r="P44" s="50"/>
      <c r="Q44" s="349" t="s">
        <v>11</v>
      </c>
      <c r="R44" s="350" t="s">
        <v>62</v>
      </c>
      <c r="S44" s="112">
        <v>0</v>
      </c>
      <c r="T44" s="228">
        <v>0</v>
      </c>
    </row>
    <row r="45" spans="1:20" s="386" customFormat="1" ht="15.6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4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9" t="s">
        <v>11</v>
      </c>
      <c r="R45" s="350" t="s">
        <v>209</v>
      </c>
      <c r="S45" s="112">
        <v>0</v>
      </c>
      <c r="T45" s="228">
        <v>0</v>
      </c>
    </row>
    <row r="46" spans="1:20" s="386" customFormat="1" ht="15.6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42" t="s">
        <v>80</v>
      </c>
      <c r="R46" s="341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6" customFormat="1" ht="16.2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4" t="s">
        <v>154</v>
      </c>
      <c r="R47" s="341" t="s">
        <v>77</v>
      </c>
      <c r="S47" s="88">
        <f>IF(C46&lt;0,C46,0)</f>
        <v>0</v>
      </c>
      <c r="T47" s="89">
        <f>IF(-C46&lt;0,-C46,0)</f>
        <v>-823.89</v>
      </c>
    </row>
    <row r="48" spans="1:20" s="386" customFormat="1" ht="16.2" thickTop="1" thickBot="1">
      <c r="A48" s="53"/>
      <c r="Q48" s="345" t="s">
        <v>83</v>
      </c>
      <c r="R48" s="343" t="s">
        <v>78</v>
      </c>
      <c r="S48" s="118">
        <f>IF(-C46&gt;0,-C46,0)</f>
        <v>0</v>
      </c>
      <c r="T48" s="111"/>
    </row>
    <row r="49" spans="1:20" s="386" customFormat="1">
      <c r="A49" s="53"/>
      <c r="T49" s="340">
        <f>ROUND(SUM(S43:T48),2)</f>
        <v>0</v>
      </c>
    </row>
    <row r="50" spans="1:20" ht="15.6" thickBot="1"/>
    <row r="51" spans="1:20" s="386" customFormat="1" ht="16.2" thickBot="1">
      <c r="A51" s="58"/>
      <c r="Q51" s="338" t="s">
        <v>107</v>
      </c>
      <c r="R51" s="334"/>
      <c r="S51" s="334"/>
      <c r="T51" s="229"/>
    </row>
    <row r="52" spans="1:20" s="386" customFormat="1" ht="15.6">
      <c r="A52" s="58">
        <v>41275</v>
      </c>
      <c r="B52" s="59" t="s">
        <v>84</v>
      </c>
      <c r="C52" s="50">
        <f>SUM(D52:N52)</f>
        <v>-1358486.1640380016</v>
      </c>
      <c r="D52" s="243">
        <v>-794093.61202800181</v>
      </c>
      <c r="E52" s="243">
        <v>-564392.55200999975</v>
      </c>
      <c r="F52" s="244">
        <v>0</v>
      </c>
      <c r="G52" s="244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7" t="s">
        <v>81</v>
      </c>
      <c r="R52" s="348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6" customFormat="1" ht="15.6">
      <c r="A53" s="62"/>
      <c r="B53" s="59" t="s">
        <v>148</v>
      </c>
      <c r="C53" s="50">
        <v>0</v>
      </c>
      <c r="D53" s="244">
        <v>0</v>
      </c>
      <c r="E53" s="244">
        <v>0</v>
      </c>
      <c r="F53" s="244"/>
      <c r="G53" s="245"/>
      <c r="H53" s="60"/>
      <c r="I53" s="50"/>
      <c r="J53" s="87"/>
      <c r="K53" s="87"/>
      <c r="L53" s="50"/>
      <c r="M53" s="50"/>
      <c r="N53" s="50"/>
      <c r="O53" s="106"/>
      <c r="P53" s="50"/>
      <c r="Q53" s="349" t="s">
        <v>11</v>
      </c>
      <c r="R53" s="350" t="s">
        <v>62</v>
      </c>
      <c r="S53" s="112">
        <v>0</v>
      </c>
      <c r="T53" s="228">
        <v>0</v>
      </c>
    </row>
    <row r="54" spans="1:20" s="386" customFormat="1" ht="15.6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4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9" t="s">
        <v>11</v>
      </c>
      <c r="R54" s="350" t="s">
        <v>209</v>
      </c>
      <c r="S54" s="112">
        <v>0</v>
      </c>
      <c r="T54" s="228">
        <v>0</v>
      </c>
    </row>
    <row r="55" spans="1:20" s="386" customFormat="1" ht="15.6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42" t="s">
        <v>80</v>
      </c>
      <c r="R55" s="341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6" customFormat="1" ht="16.2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4" t="s">
        <v>154</v>
      </c>
      <c r="R56" s="341" t="s">
        <v>77</v>
      </c>
      <c r="S56" s="88">
        <f>IF(C55&lt;0,C55,0)</f>
        <v>0</v>
      </c>
      <c r="T56" s="89">
        <f>IF(-C55&lt;0,-C55,0)</f>
        <v>-314.52999999999997</v>
      </c>
    </row>
    <row r="57" spans="1:20" s="386" customFormat="1" ht="16.2" thickTop="1" thickBot="1">
      <c r="A57" s="53"/>
      <c r="Q57" s="345" t="s">
        <v>83</v>
      </c>
      <c r="R57" s="343" t="s">
        <v>78</v>
      </c>
      <c r="S57" s="118">
        <f>IF(-C55&gt;0,-C55,0)</f>
        <v>0</v>
      </c>
      <c r="T57" s="111"/>
    </row>
    <row r="58" spans="1:20" s="386" customFormat="1">
      <c r="A58" s="53"/>
      <c r="T58" s="340">
        <f>ROUND(SUM(S52:T57),2)</f>
        <v>0</v>
      </c>
    </row>
    <row r="59" spans="1:20" s="386" customFormat="1" ht="15.6" thickBot="1">
      <c r="A59" s="53"/>
    </row>
    <row r="60" spans="1:20" s="386" customFormat="1" ht="16.2" thickBot="1">
      <c r="A60" s="58"/>
      <c r="Q60" s="338" t="s">
        <v>107</v>
      </c>
      <c r="R60" s="334"/>
      <c r="S60" s="334"/>
      <c r="T60" s="229"/>
    </row>
    <row r="61" spans="1:20" s="386" customFormat="1" ht="15.6">
      <c r="A61" s="58">
        <v>41333</v>
      </c>
      <c r="B61" s="59" t="s">
        <v>84</v>
      </c>
      <c r="C61" s="50">
        <f>SUM(D61:N61)</f>
        <v>187567.52458600083</v>
      </c>
      <c r="D61" s="243">
        <v>369349.48148000054</v>
      </c>
      <c r="E61" s="243">
        <v>-181781.95689399971</v>
      </c>
      <c r="F61" s="244">
        <v>0</v>
      </c>
      <c r="G61" s="244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7" t="s">
        <v>81</v>
      </c>
      <c r="R61" s="348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6" customFormat="1" ht="15.6">
      <c r="A62" s="62"/>
      <c r="B62" s="59" t="s">
        <v>148</v>
      </c>
      <c r="C62" s="50">
        <v>0</v>
      </c>
      <c r="D62" s="244">
        <v>0</v>
      </c>
      <c r="E62" s="244">
        <v>0</v>
      </c>
      <c r="F62" s="244"/>
      <c r="G62" s="245"/>
      <c r="H62" s="60"/>
      <c r="I62" s="50"/>
      <c r="J62" s="87"/>
      <c r="K62" s="87"/>
      <c r="L62" s="50"/>
      <c r="M62" s="50"/>
      <c r="N62" s="50"/>
      <c r="O62" s="106"/>
      <c r="P62" s="50"/>
      <c r="Q62" s="349" t="s">
        <v>11</v>
      </c>
      <c r="R62" s="350" t="s">
        <v>62</v>
      </c>
      <c r="S62" s="112">
        <v>0</v>
      </c>
      <c r="T62" s="228">
        <v>0</v>
      </c>
    </row>
    <row r="63" spans="1:20" s="386" customFormat="1" ht="15.6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4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9" t="s">
        <v>11</v>
      </c>
      <c r="R63" s="350" t="s">
        <v>209</v>
      </c>
      <c r="S63" s="112">
        <v>0</v>
      </c>
      <c r="T63" s="228">
        <v>0</v>
      </c>
    </row>
    <row r="64" spans="1:20" s="386" customFormat="1" ht="15.6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42" t="s">
        <v>80</v>
      </c>
      <c r="R64" s="341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6" customFormat="1" ht="16.2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4" t="s">
        <v>154</v>
      </c>
      <c r="R65" s="341" t="s">
        <v>77</v>
      </c>
      <c r="S65" s="88">
        <f>IF(-C64&lt;0,C64,0)</f>
        <v>0</v>
      </c>
      <c r="T65" s="89">
        <f>IF(-C64&lt;0,-C64,0)</f>
        <v>0</v>
      </c>
    </row>
    <row r="66" spans="1:20" s="386" customFormat="1" ht="16.2" thickTop="1" thickBot="1">
      <c r="A66" s="53"/>
      <c r="Q66" s="345" t="s">
        <v>83</v>
      </c>
      <c r="R66" s="343" t="s">
        <v>78</v>
      </c>
      <c r="S66" s="118">
        <f>IF(-C64&gt;0,-C64,0)</f>
        <v>173.1</v>
      </c>
      <c r="T66" s="111">
        <f>IF(-C64&lt;0,-C64,0)</f>
        <v>0</v>
      </c>
    </row>
    <row r="67" spans="1:20" s="386" customFormat="1">
      <c r="A67" s="53"/>
      <c r="T67" s="340">
        <f>ROUND(SUM(S61:T66),2)</f>
        <v>0</v>
      </c>
    </row>
    <row r="68" spans="1:20" s="386" customFormat="1" ht="15.6" thickBot="1">
      <c r="A68" s="53"/>
    </row>
    <row r="69" spans="1:20" s="386" customFormat="1" ht="16.2" thickBot="1">
      <c r="A69" s="58"/>
      <c r="Q69" s="338" t="s">
        <v>107</v>
      </c>
      <c r="R69" s="334"/>
      <c r="S69" s="334"/>
      <c r="T69" s="229"/>
    </row>
    <row r="70" spans="1:20" s="386" customFormat="1" ht="15.6">
      <c r="A70" s="58">
        <v>41364</v>
      </c>
      <c r="B70" s="59" t="s">
        <v>84</v>
      </c>
      <c r="C70" s="50">
        <f>SUM(D70:N70)</f>
        <v>-70192.864177000942</v>
      </c>
      <c r="D70" s="243">
        <v>140554.57549299859</v>
      </c>
      <c r="E70" s="243">
        <v>-210747.43966999953</v>
      </c>
      <c r="F70" s="244">
        <v>0</v>
      </c>
      <c r="G70" s="244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7" t="s">
        <v>81</v>
      </c>
      <c r="R70" s="348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6" customFormat="1" ht="15.6">
      <c r="A71" s="62"/>
      <c r="B71" s="59" t="s">
        <v>148</v>
      </c>
      <c r="C71" s="50">
        <v>0</v>
      </c>
      <c r="D71" s="244">
        <v>0</v>
      </c>
      <c r="E71" s="244">
        <v>0</v>
      </c>
      <c r="F71" s="244"/>
      <c r="G71" s="245"/>
      <c r="H71" s="60"/>
      <c r="I71" s="50"/>
      <c r="J71" s="87"/>
      <c r="K71" s="87"/>
      <c r="L71" s="50"/>
      <c r="M71" s="50"/>
      <c r="N71" s="50"/>
      <c r="O71" s="106"/>
      <c r="P71" s="50"/>
      <c r="Q71" s="349" t="s">
        <v>11</v>
      </c>
      <c r="R71" s="350" t="s">
        <v>62</v>
      </c>
      <c r="S71" s="112">
        <v>0</v>
      </c>
      <c r="T71" s="228">
        <v>0</v>
      </c>
    </row>
    <row r="72" spans="1:20" s="386" customFormat="1" ht="15.6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4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9" t="s">
        <v>11</v>
      </c>
      <c r="R72" s="350" t="s">
        <v>209</v>
      </c>
      <c r="S72" s="112">
        <v>0</v>
      </c>
      <c r="T72" s="228">
        <v>0</v>
      </c>
    </row>
    <row r="73" spans="1:20" s="386" customFormat="1" ht="15.6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42" t="s">
        <v>80</v>
      </c>
      <c r="R73" s="341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6" customFormat="1" ht="16.2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4" t="s">
        <v>154</v>
      </c>
      <c r="R74" s="341" t="s">
        <v>77</v>
      </c>
      <c r="S74" s="88">
        <f>IF(-C73&lt;0,C73,0)</f>
        <v>0</v>
      </c>
      <c r="T74" s="89">
        <f>IF(-C73&lt;0,-C73,0)</f>
        <v>0</v>
      </c>
    </row>
    <row r="75" spans="1:20" s="386" customFormat="1" ht="16.2" thickTop="1" thickBot="1">
      <c r="A75" s="53"/>
      <c r="Q75" s="345" t="s">
        <v>83</v>
      </c>
      <c r="R75" s="343" t="s">
        <v>78</v>
      </c>
      <c r="S75" s="118">
        <f>IF(-C73&gt;0,-C73,0)</f>
        <v>124.33</v>
      </c>
      <c r="T75" s="111">
        <f>IF(-C73&lt;0,-C73,0)</f>
        <v>0</v>
      </c>
    </row>
    <row r="76" spans="1:20" s="386" customFormat="1">
      <c r="A76" s="53"/>
      <c r="T76" s="340">
        <f>ROUND(SUM(S70:T75),2)</f>
        <v>0</v>
      </c>
    </row>
    <row r="77" spans="1:20" s="386" customFormat="1" ht="15.6" thickBot="1">
      <c r="A77" s="53"/>
    </row>
    <row r="78" spans="1:20" s="386" customFormat="1" ht="16.2" thickBot="1">
      <c r="A78" s="58"/>
      <c r="Q78" s="338" t="s">
        <v>107</v>
      </c>
      <c r="R78" s="334"/>
      <c r="S78" s="334"/>
      <c r="T78" s="229"/>
    </row>
    <row r="79" spans="1:20" s="386" customFormat="1" ht="15.6">
      <c r="A79" s="58">
        <v>41394</v>
      </c>
      <c r="B79" s="59" t="s">
        <v>84</v>
      </c>
      <c r="C79" s="50">
        <f>SUM(D79:N79)</f>
        <v>-119237.76640399999</v>
      </c>
      <c r="D79" s="243">
        <v>-143506.72479399992</v>
      </c>
      <c r="E79" s="243">
        <v>24268.958389999927</v>
      </c>
      <c r="F79" s="244">
        <v>0</v>
      </c>
      <c r="G79" s="244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7" t="s">
        <v>81</v>
      </c>
      <c r="R79" s="348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6" customFormat="1" ht="15.6">
      <c r="A80" s="62"/>
      <c r="B80" s="59" t="s">
        <v>148</v>
      </c>
      <c r="C80" s="50">
        <v>0</v>
      </c>
      <c r="D80" s="244">
        <v>0</v>
      </c>
      <c r="E80" s="244">
        <v>0</v>
      </c>
      <c r="F80" s="244"/>
      <c r="G80" s="245"/>
      <c r="H80" s="60"/>
      <c r="I80" s="50"/>
      <c r="J80" s="87"/>
      <c r="K80" s="87"/>
      <c r="L80" s="50"/>
      <c r="M80" s="50"/>
      <c r="N80" s="50"/>
      <c r="O80" s="106"/>
      <c r="P80" s="50"/>
      <c r="Q80" s="349" t="s">
        <v>11</v>
      </c>
      <c r="R80" s="350" t="s">
        <v>62</v>
      </c>
      <c r="S80" s="112">
        <v>0</v>
      </c>
      <c r="T80" s="228">
        <v>0</v>
      </c>
    </row>
    <row r="81" spans="1:20" s="386" customFormat="1" ht="15.6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4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9" t="s">
        <v>11</v>
      </c>
      <c r="R81" s="350" t="s">
        <v>209</v>
      </c>
      <c r="S81" s="112">
        <v>0</v>
      </c>
      <c r="T81" s="228">
        <v>0</v>
      </c>
    </row>
    <row r="82" spans="1:20" s="386" customFormat="1" ht="15.6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42" t="s">
        <v>80</v>
      </c>
      <c r="R82" s="341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6" customFormat="1" ht="16.2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4" t="s">
        <v>154</v>
      </c>
      <c r="R83" s="341" t="s">
        <v>77</v>
      </c>
      <c r="S83" s="88">
        <f>IF(-C82&lt;0,C82,0)</f>
        <v>0</v>
      </c>
      <c r="T83" s="89">
        <f>IF(-C82&lt;0,-C82,0)</f>
        <v>0</v>
      </c>
    </row>
    <row r="84" spans="1:20" s="386" customFormat="1" ht="16.2" thickTop="1" thickBot="1">
      <c r="A84" s="53"/>
      <c r="C84" s="387"/>
      <c r="Q84" s="345" t="s">
        <v>83</v>
      </c>
      <c r="R84" s="343" t="s">
        <v>78</v>
      </c>
      <c r="S84" s="118">
        <f>IF(-C82&gt;0,-C82,0)</f>
        <v>203.37</v>
      </c>
      <c r="T84" s="111">
        <f>IF(-C82&lt;0,-C82,0)</f>
        <v>0</v>
      </c>
    </row>
    <row r="85" spans="1:20" s="386" customFormat="1">
      <c r="A85" s="53"/>
      <c r="T85" s="340">
        <f>ROUND(SUM(S79:T84),2)</f>
        <v>0</v>
      </c>
    </row>
    <row r="86" spans="1:20" s="386" customFormat="1" ht="15.6" thickBot="1">
      <c r="A86" s="53"/>
    </row>
    <row r="87" spans="1:20" s="386" customFormat="1" ht="16.2" thickBot="1">
      <c r="A87" s="58"/>
      <c r="Q87" s="338" t="s">
        <v>107</v>
      </c>
      <c r="R87" s="334"/>
      <c r="S87" s="334"/>
      <c r="T87" s="229"/>
    </row>
    <row r="88" spans="1:20" s="386" customFormat="1" ht="15.6">
      <c r="A88" s="58">
        <v>41425</v>
      </c>
      <c r="B88" s="59" t="s">
        <v>84</v>
      </c>
      <c r="C88" s="50">
        <f>SUM(D88:N88)</f>
        <v>96129.565981999214</v>
      </c>
      <c r="D88" s="243">
        <v>-261363.31669000082</v>
      </c>
      <c r="E88" s="243">
        <v>357492.88267200004</v>
      </c>
      <c r="F88" s="244">
        <v>0</v>
      </c>
      <c r="G88" s="244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7" t="s">
        <v>81</v>
      </c>
      <c r="R88" s="348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6" customFormat="1" ht="15.6">
      <c r="A89" s="62"/>
      <c r="B89" s="59" t="s">
        <v>148</v>
      </c>
      <c r="C89" s="50">
        <v>0</v>
      </c>
      <c r="D89" s="244">
        <v>0</v>
      </c>
      <c r="E89" s="244">
        <v>0</v>
      </c>
      <c r="F89" s="244"/>
      <c r="G89" s="245"/>
      <c r="H89" s="60"/>
      <c r="I89" s="50"/>
      <c r="J89" s="87"/>
      <c r="K89" s="87"/>
      <c r="L89" s="50"/>
      <c r="M89" s="50"/>
      <c r="N89" s="50"/>
      <c r="O89" s="106"/>
      <c r="P89" s="50"/>
      <c r="Q89" s="349" t="s">
        <v>11</v>
      </c>
      <c r="R89" s="350" t="s">
        <v>62</v>
      </c>
      <c r="S89" s="112">
        <v>0</v>
      </c>
      <c r="T89" s="228">
        <v>0</v>
      </c>
    </row>
    <row r="90" spans="1:20" s="386" customFormat="1" ht="15.6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4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9" t="s">
        <v>11</v>
      </c>
      <c r="R90" s="350" t="s">
        <v>209</v>
      </c>
      <c r="S90" s="112">
        <v>0</v>
      </c>
      <c r="T90" s="228">
        <v>0</v>
      </c>
    </row>
    <row r="91" spans="1:20" s="386" customFormat="1" ht="15.6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42" t="s">
        <v>80</v>
      </c>
      <c r="R91" s="341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6" customFormat="1" ht="16.2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4" t="s">
        <v>154</v>
      </c>
      <c r="R92" s="341" t="s">
        <v>77</v>
      </c>
      <c r="S92" s="88">
        <f>IF(-C91&lt;0,C91,0)</f>
        <v>0</v>
      </c>
      <c r="T92" s="89">
        <f>IF(-C91&lt;0,-C91,0)</f>
        <v>0</v>
      </c>
    </row>
    <row r="93" spans="1:20" s="386" customFormat="1" ht="16.2" thickTop="1" thickBot="1">
      <c r="A93" s="53"/>
      <c r="Q93" s="345" t="s">
        <v>83</v>
      </c>
      <c r="R93" s="343" t="s">
        <v>78</v>
      </c>
      <c r="S93" s="118">
        <f>IF(-C91&gt;0,-C91,0)</f>
        <v>213.16</v>
      </c>
      <c r="T93" s="111">
        <f>IF(-C91&lt;0,-C91,0)</f>
        <v>0</v>
      </c>
    </row>
    <row r="94" spans="1:20" s="386" customFormat="1">
      <c r="A94" s="53"/>
      <c r="T94" s="340">
        <f>ROUND(SUM(S88:T93),2)</f>
        <v>0</v>
      </c>
    </row>
    <row r="95" spans="1:20" s="386" customFormat="1" ht="15.6" thickBot="1">
      <c r="A95" s="53"/>
    </row>
    <row r="96" spans="1:20" s="386" customFormat="1" ht="16.2" thickBot="1">
      <c r="A96" s="58"/>
      <c r="Q96" s="338" t="s">
        <v>107</v>
      </c>
      <c r="R96" s="334"/>
      <c r="S96" s="334"/>
      <c r="T96" s="229"/>
    </row>
    <row r="97" spans="1:20" s="386" customFormat="1" ht="15.6">
      <c r="A97" s="58">
        <v>41426</v>
      </c>
      <c r="B97" s="59" t="s">
        <v>84</v>
      </c>
      <c r="C97" s="50">
        <f>SUM(D97:N97)</f>
        <v>316646.56350300065</v>
      </c>
      <c r="D97" s="243">
        <v>-87258.97678599949</v>
      </c>
      <c r="E97" s="243">
        <v>403905.54028900014</v>
      </c>
      <c r="F97" s="244">
        <v>0</v>
      </c>
      <c r="G97" s="244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7" t="s">
        <v>81</v>
      </c>
      <c r="R97" s="348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6" customFormat="1" ht="15.6">
      <c r="A98" s="62"/>
      <c r="B98" s="59" t="s">
        <v>148</v>
      </c>
      <c r="C98" s="50">
        <v>0</v>
      </c>
      <c r="D98" s="244">
        <v>0</v>
      </c>
      <c r="E98" s="244">
        <v>0</v>
      </c>
      <c r="F98" s="244"/>
      <c r="G98" s="245"/>
      <c r="H98" s="60"/>
      <c r="I98" s="50"/>
      <c r="J98" s="87"/>
      <c r="K98" s="87"/>
      <c r="L98" s="50"/>
      <c r="M98" s="50"/>
      <c r="N98" s="50"/>
      <c r="O98" s="106"/>
      <c r="P98" s="50"/>
      <c r="Q98" s="349" t="s">
        <v>11</v>
      </c>
      <c r="R98" s="350" t="s">
        <v>62</v>
      </c>
      <c r="S98" s="112">
        <v>0</v>
      </c>
      <c r="T98" s="228">
        <v>0</v>
      </c>
    </row>
    <row r="99" spans="1:20" s="386" customFormat="1" ht="15.6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4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9" t="s">
        <v>11</v>
      </c>
      <c r="R99" s="350" t="s">
        <v>209</v>
      </c>
      <c r="S99" s="112">
        <v>0</v>
      </c>
      <c r="T99" s="228">
        <v>0</v>
      </c>
    </row>
    <row r="100" spans="1:20" s="386" customFormat="1" ht="15.6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2" t="s">
        <v>80</v>
      </c>
      <c r="R100" s="341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6" customFormat="1" ht="16.2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4" t="s">
        <v>154</v>
      </c>
      <c r="R101" s="341" t="s">
        <v>77</v>
      </c>
      <c r="S101" s="88">
        <f>IF(-C100&lt;0,C100,0)</f>
        <v>0</v>
      </c>
      <c r="T101" s="89">
        <f>IF(-C100&lt;0,-C100,0)</f>
        <v>0</v>
      </c>
    </row>
    <row r="102" spans="1:20" s="386" customFormat="1" ht="16.2" thickTop="1" thickBot="1">
      <c r="A102" s="53"/>
      <c r="Q102" s="345" t="s">
        <v>83</v>
      </c>
      <c r="R102" s="343" t="s">
        <v>78</v>
      </c>
      <c r="S102" s="118">
        <f>IF(-C100&gt;0,-C100,0)</f>
        <v>41.35</v>
      </c>
      <c r="T102" s="111">
        <f>IF(-C100&lt;0,-C100,0)</f>
        <v>0</v>
      </c>
    </row>
    <row r="103" spans="1:20" s="386" customFormat="1">
      <c r="A103" s="53"/>
      <c r="T103" s="340">
        <f>ROUND(SUM(S97:T102),2)</f>
        <v>0</v>
      </c>
    </row>
    <row r="104" spans="1:20" ht="15.6" thickBot="1"/>
    <row r="105" spans="1:20" s="386" customFormat="1" ht="16.2" thickBot="1">
      <c r="A105" s="58"/>
      <c r="Q105" s="338" t="s">
        <v>107</v>
      </c>
      <c r="R105" s="334"/>
      <c r="S105" s="334"/>
      <c r="T105" s="229"/>
    </row>
    <row r="106" spans="1:20" s="386" customFormat="1" ht="15.6">
      <c r="A106" s="58">
        <v>41456</v>
      </c>
      <c r="B106" s="59" t="s">
        <v>84</v>
      </c>
      <c r="C106" s="50">
        <f>SUM(D106:N106)</f>
        <v>269453.32351300115</v>
      </c>
      <c r="D106" s="243">
        <v>-247183.18822599918</v>
      </c>
      <c r="E106" s="243">
        <v>516636.51173900033</v>
      </c>
      <c r="F106" s="244">
        <v>0</v>
      </c>
      <c r="G106" s="244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7" t="s">
        <v>81</v>
      </c>
      <c r="R106" s="348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6" customFormat="1" ht="15.6">
      <c r="A107" s="62"/>
      <c r="B107" s="59" t="s">
        <v>148</v>
      </c>
      <c r="C107" s="50">
        <v>0</v>
      </c>
      <c r="D107" s="244">
        <v>0</v>
      </c>
      <c r="E107" s="244">
        <v>0</v>
      </c>
      <c r="F107" s="244"/>
      <c r="G107" s="245"/>
      <c r="H107" s="60"/>
      <c r="I107" s="50"/>
      <c r="J107" s="87"/>
      <c r="K107" s="87"/>
      <c r="L107" s="50"/>
      <c r="M107" s="50"/>
      <c r="N107" s="50"/>
      <c r="O107" s="106"/>
      <c r="P107" s="50"/>
      <c r="Q107" s="349" t="s">
        <v>11</v>
      </c>
      <c r="R107" s="350" t="s">
        <v>62</v>
      </c>
      <c r="S107" s="112">
        <v>0</v>
      </c>
      <c r="T107" s="228">
        <v>0</v>
      </c>
    </row>
    <row r="108" spans="1:20" s="386" customFormat="1" ht="15.6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4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9" t="s">
        <v>11</v>
      </c>
      <c r="R108" s="350" t="s">
        <v>209</v>
      </c>
      <c r="S108" s="112">
        <v>0</v>
      </c>
      <c r="T108" s="228">
        <v>0</v>
      </c>
    </row>
    <row r="109" spans="1:20" s="386" customFormat="1" ht="15.6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42" t="s">
        <v>80</v>
      </c>
      <c r="R109" s="341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6" customFormat="1" ht="16.2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4" t="s">
        <v>154</v>
      </c>
      <c r="R110" s="341" t="s">
        <v>77</v>
      </c>
      <c r="S110" s="88">
        <v>0</v>
      </c>
      <c r="T110" s="89">
        <f>IF(-C109&lt;0,-C109,0)</f>
        <v>-202.82</v>
      </c>
    </row>
    <row r="111" spans="1:20" s="386" customFormat="1" ht="16.2" thickTop="1" thickBot="1">
      <c r="A111" s="53"/>
      <c r="Q111" s="345" t="s">
        <v>83</v>
      </c>
      <c r="R111" s="343" t="s">
        <v>78</v>
      </c>
      <c r="S111" s="118">
        <f>IF(-C109&gt;0,-C109,0)</f>
        <v>0</v>
      </c>
      <c r="T111" s="111">
        <v>0</v>
      </c>
    </row>
    <row r="112" spans="1:20" s="386" customFormat="1">
      <c r="A112" s="53"/>
      <c r="T112" s="340">
        <f>ROUND(SUM(S106:T111),2)</f>
        <v>0</v>
      </c>
    </row>
    <row r="113" spans="1:20" ht="15.6" thickBot="1"/>
    <row r="114" spans="1:20" s="386" customFormat="1" ht="16.2" thickBot="1">
      <c r="A114" s="58"/>
      <c r="Q114" s="338" t="s">
        <v>107</v>
      </c>
      <c r="R114" s="334"/>
      <c r="S114" s="334"/>
      <c r="T114" s="229"/>
    </row>
    <row r="115" spans="1:20" s="386" customFormat="1" ht="15.6">
      <c r="A115" s="58">
        <v>41487</v>
      </c>
      <c r="B115" s="59" t="s">
        <v>84</v>
      </c>
      <c r="C115" s="50">
        <f>SUM(D115:N115)</f>
        <v>112699.18364000041</v>
      </c>
      <c r="D115" s="243">
        <v>-357404.51535499981</v>
      </c>
      <c r="E115" s="243">
        <v>470103.69899500022</v>
      </c>
      <c r="F115" s="244">
        <v>0</v>
      </c>
      <c r="G115" s="244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7" t="s">
        <v>81</v>
      </c>
      <c r="R115" s="348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6" customFormat="1" ht="15.6">
      <c r="A116" s="62"/>
      <c r="B116" s="59" t="s">
        <v>148</v>
      </c>
      <c r="C116" s="50">
        <v>0</v>
      </c>
      <c r="D116" s="244">
        <v>0</v>
      </c>
      <c r="E116" s="244">
        <v>0</v>
      </c>
      <c r="F116" s="244"/>
      <c r="G116" s="245"/>
      <c r="H116" s="60"/>
      <c r="I116" s="50"/>
      <c r="J116" s="87"/>
      <c r="K116" s="87"/>
      <c r="L116" s="50"/>
      <c r="M116" s="50"/>
      <c r="N116" s="50"/>
      <c r="O116" s="106"/>
      <c r="P116" s="50"/>
      <c r="Q116" s="349" t="s">
        <v>11</v>
      </c>
      <c r="R116" s="350" t="s">
        <v>62</v>
      </c>
      <c r="S116" s="112">
        <v>0</v>
      </c>
      <c r="T116" s="228">
        <v>0</v>
      </c>
    </row>
    <row r="117" spans="1:20" s="386" customFormat="1" ht="15.6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4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9" t="s">
        <v>11</v>
      </c>
      <c r="R117" s="350" t="s">
        <v>209</v>
      </c>
      <c r="S117" s="112">
        <v>0</v>
      </c>
      <c r="T117" s="228">
        <v>0</v>
      </c>
    </row>
    <row r="118" spans="1:20" s="386" customFormat="1" ht="15.6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42" t="s">
        <v>80</v>
      </c>
      <c r="R118" s="341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6" customFormat="1" ht="16.2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4" t="s">
        <v>154</v>
      </c>
      <c r="R119" s="341" t="s">
        <v>77</v>
      </c>
      <c r="S119" s="88">
        <v>0</v>
      </c>
      <c r="T119" s="89">
        <f>IF(-C118&lt;0,-C118,0)</f>
        <v>-362.22</v>
      </c>
    </row>
    <row r="120" spans="1:20" s="386" customFormat="1" ht="16.2" thickTop="1" thickBot="1">
      <c r="A120" s="53"/>
      <c r="Q120" s="345" t="s">
        <v>83</v>
      </c>
      <c r="R120" s="343" t="s">
        <v>78</v>
      </c>
      <c r="S120" s="118">
        <f>IF(-C118&gt;0,-C118,0)</f>
        <v>0</v>
      </c>
      <c r="T120" s="111">
        <v>0</v>
      </c>
    </row>
    <row r="121" spans="1:20" s="386" customFormat="1">
      <c r="A121" s="53"/>
      <c r="T121" s="340">
        <f>ROUND(SUM(S115:T120),2)</f>
        <v>0</v>
      </c>
    </row>
    <row r="122" spans="1:20" ht="15.6" thickBot="1"/>
    <row r="123" spans="1:20" s="386" customFormat="1" ht="16.2" thickBot="1">
      <c r="A123" s="58"/>
      <c r="Q123" s="338" t="s">
        <v>107</v>
      </c>
      <c r="R123" s="334"/>
      <c r="S123" s="334"/>
      <c r="T123" s="229"/>
    </row>
    <row r="124" spans="1:20" s="386" customFormat="1" ht="15.6">
      <c r="A124" s="58">
        <v>41518</v>
      </c>
      <c r="B124" s="59" t="s">
        <v>84</v>
      </c>
      <c r="C124" s="50">
        <f>SUM(D124:N124)</f>
        <v>-78276.439306000422</v>
      </c>
      <c r="D124" s="243">
        <v>-455176.44495200075</v>
      </c>
      <c r="E124" s="243">
        <v>376900.00564600033</v>
      </c>
      <c r="F124" s="244">
        <v>0</v>
      </c>
      <c r="G124" s="244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7" t="s">
        <v>81</v>
      </c>
      <c r="R124" s="348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6" customFormat="1" ht="15.6">
      <c r="A125" s="62"/>
      <c r="B125" s="59" t="s">
        <v>148</v>
      </c>
      <c r="C125" s="50">
        <v>0</v>
      </c>
      <c r="D125" s="244">
        <v>0</v>
      </c>
      <c r="E125" s="244">
        <v>0</v>
      </c>
      <c r="F125" s="244"/>
      <c r="G125" s="245"/>
      <c r="H125" s="60"/>
      <c r="I125" s="50"/>
      <c r="J125" s="87"/>
      <c r="K125" s="87"/>
      <c r="L125" s="50"/>
      <c r="M125" s="50"/>
      <c r="N125" s="50"/>
      <c r="O125" s="106"/>
      <c r="P125" s="50"/>
      <c r="Q125" s="349" t="s">
        <v>11</v>
      </c>
      <c r="R125" s="350" t="s">
        <v>62</v>
      </c>
      <c r="S125" s="112">
        <v>0</v>
      </c>
      <c r="T125" s="228">
        <v>0</v>
      </c>
    </row>
    <row r="126" spans="1:20" s="386" customFormat="1" ht="15.6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4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9" t="s">
        <v>11</v>
      </c>
      <c r="R126" s="350" t="s">
        <v>209</v>
      </c>
      <c r="S126" s="112">
        <v>0</v>
      </c>
      <c r="T126" s="228">
        <v>0</v>
      </c>
    </row>
    <row r="127" spans="1:20" s="386" customFormat="1" ht="15.6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42" t="s">
        <v>80</v>
      </c>
      <c r="R127" s="341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6" customFormat="1" ht="16.2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4" t="s">
        <v>154</v>
      </c>
      <c r="R128" s="341" t="s">
        <v>77</v>
      </c>
      <c r="S128" s="88">
        <v>0</v>
      </c>
      <c r="T128" s="89">
        <f>IF(-C127&lt;0,-C127,0)</f>
        <v>-376.87</v>
      </c>
    </row>
    <row r="129" spans="1:20" s="386" customFormat="1" ht="16.2" thickTop="1" thickBot="1">
      <c r="A129" s="53"/>
      <c r="Q129" s="345" t="s">
        <v>83</v>
      </c>
      <c r="R129" s="343" t="s">
        <v>78</v>
      </c>
      <c r="S129" s="118">
        <f>IF(-C127&gt;0,-C127,0)</f>
        <v>0</v>
      </c>
      <c r="T129" s="111">
        <v>0</v>
      </c>
    </row>
    <row r="130" spans="1:20" s="386" customFormat="1">
      <c r="A130" s="53"/>
      <c r="T130" s="340">
        <f>ROUND(SUM(S124:T129),2)</f>
        <v>0</v>
      </c>
    </row>
    <row r="131" spans="1:20" ht="15.6">
      <c r="B131" s="2" t="s">
        <v>11</v>
      </c>
      <c r="C131" s="50">
        <f>SUM(D131:H131)</f>
        <v>-108659.43754694135</v>
      </c>
      <c r="D131" s="244">
        <f>-D101</f>
        <v>764537.78326267947</v>
      </c>
      <c r="E131" s="244">
        <f>-E101-0.03</f>
        <v>-881118.99080962082</v>
      </c>
      <c r="F131" s="244"/>
      <c r="G131" s="245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6" customFormat="1" ht="16.2" thickBot="1">
      <c r="A132" s="53"/>
      <c r="B132" s="2" t="s">
        <v>229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6" customFormat="1" ht="15.6" thickTop="1">
      <c r="A133" s="53"/>
    </row>
    <row r="134" spans="1:20" s="386" customFormat="1">
      <c r="A134" s="53"/>
    </row>
    <row r="135" spans="1:20" s="386" customFormat="1" ht="15.6" thickBot="1">
      <c r="A135" s="53"/>
    </row>
    <row r="136" spans="1:20" s="386" customFormat="1" ht="16.2" thickBot="1">
      <c r="A136" s="58"/>
      <c r="Q136" s="338" t="s">
        <v>107</v>
      </c>
      <c r="R136" s="334"/>
      <c r="S136" s="334"/>
      <c r="T136" s="229"/>
    </row>
    <row r="137" spans="1:20" s="386" customFormat="1" ht="15.6">
      <c r="A137" s="58">
        <v>41578</v>
      </c>
      <c r="B137" s="59" t="s">
        <v>84</v>
      </c>
      <c r="C137" s="50">
        <f>SUM(D137:N137)</f>
        <v>-484520.52738299966</v>
      </c>
      <c r="D137" s="243">
        <v>-566000.77746000001</v>
      </c>
      <c r="E137" s="243">
        <v>81480.250077000353</v>
      </c>
      <c r="F137" s="244">
        <v>0</v>
      </c>
      <c r="G137" s="244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7" t="s">
        <v>81</v>
      </c>
      <c r="R137" s="348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6" customFormat="1" ht="15.6">
      <c r="A138" s="62"/>
      <c r="B138" s="59" t="s">
        <v>148</v>
      </c>
      <c r="C138" s="50">
        <f>SUM(D138:H138)</f>
        <v>0</v>
      </c>
      <c r="D138" s="244">
        <v>0</v>
      </c>
      <c r="E138" s="244">
        <v>0</v>
      </c>
      <c r="F138" s="244"/>
      <c r="G138" s="245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9" t="s">
        <v>11</v>
      </c>
      <c r="R138" s="350" t="s">
        <v>62</v>
      </c>
      <c r="S138" s="112">
        <f>-C131</f>
        <v>108659.43754694135</v>
      </c>
      <c r="T138" s="228">
        <v>0</v>
      </c>
    </row>
    <row r="139" spans="1:20" s="386" customFormat="1" ht="15.6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4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9" t="s">
        <v>11</v>
      </c>
      <c r="R139" s="350" t="s">
        <v>209</v>
      </c>
      <c r="S139" s="112">
        <v>0</v>
      </c>
      <c r="T139" s="228">
        <v>0</v>
      </c>
    </row>
    <row r="140" spans="1:20" s="386" customFormat="1" ht="15.6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42" t="s">
        <v>80</v>
      </c>
      <c r="R140" s="341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6" customFormat="1" ht="16.2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4" t="s">
        <v>154</v>
      </c>
      <c r="R141" s="341" t="s">
        <v>77</v>
      </c>
      <c r="S141" s="88">
        <v>0</v>
      </c>
      <c r="T141" s="89">
        <f>IF(-C140&lt;0,-C140,0)</f>
        <v>-52.13</v>
      </c>
    </row>
    <row r="142" spans="1:20" s="386" customFormat="1" ht="16.2" thickTop="1" thickBot="1">
      <c r="A142" s="53"/>
      <c r="Q142" s="345" t="s">
        <v>83</v>
      </c>
      <c r="R142" s="343" t="s">
        <v>78</v>
      </c>
      <c r="S142" s="118">
        <f>IF(-C140&gt;0,-C140,0)</f>
        <v>0</v>
      </c>
      <c r="T142" s="111">
        <v>0</v>
      </c>
    </row>
    <row r="143" spans="1:20" s="386" customFormat="1">
      <c r="A143" s="53"/>
      <c r="T143" s="340">
        <f>ROUND(SUM(S137:T142),2)</f>
        <v>0</v>
      </c>
    </row>
    <row r="144" spans="1:20" s="386" customFormat="1" ht="15.6" thickBot="1">
      <c r="A144" s="53"/>
    </row>
    <row r="145" spans="1:20" s="386" customFormat="1" ht="16.2" thickBot="1">
      <c r="A145" s="58"/>
      <c r="Q145" s="338" t="s">
        <v>107</v>
      </c>
      <c r="R145" s="334"/>
      <c r="S145" s="334"/>
      <c r="T145" s="229"/>
    </row>
    <row r="146" spans="1:20" s="386" customFormat="1" ht="15.6">
      <c r="A146" s="58">
        <f>EOMONTH(A141,1)</f>
        <v>41608</v>
      </c>
      <c r="B146" s="59" t="s">
        <v>84</v>
      </c>
      <c r="C146" s="50">
        <f>SUM(D146:N146)</f>
        <v>-593071.07474399754</v>
      </c>
      <c r="D146" s="243">
        <v>-244467.20447699772</v>
      </c>
      <c r="E146" s="243">
        <v>-348603.87026699982</v>
      </c>
      <c r="F146" s="244">
        <v>0</v>
      </c>
      <c r="G146" s="244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7" t="s">
        <v>81</v>
      </c>
      <c r="R146" s="348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6" customFormat="1" ht="15.6">
      <c r="A147" s="62"/>
      <c r="B147" s="59" t="s">
        <v>148</v>
      </c>
      <c r="C147" s="50">
        <f>SUM(D147:H147)</f>
        <v>2369.0025250000003</v>
      </c>
      <c r="D147" s="244">
        <v>2367.0300000000002</v>
      </c>
      <c r="E147" s="244">
        <v>0</v>
      </c>
      <c r="F147" s="244"/>
      <c r="G147" s="245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9" t="s">
        <v>11</v>
      </c>
      <c r="R147" s="350" t="s">
        <v>62</v>
      </c>
      <c r="S147" s="112">
        <v>0</v>
      </c>
      <c r="T147" s="228">
        <v>0</v>
      </c>
    </row>
    <row r="148" spans="1:20" s="386" customFormat="1" ht="15.6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4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9" t="s">
        <v>11</v>
      </c>
      <c r="R148" s="350" t="s">
        <v>209</v>
      </c>
      <c r="S148" s="112">
        <v>0</v>
      </c>
      <c r="T148" s="228">
        <v>0</v>
      </c>
    </row>
    <row r="149" spans="1:20" s="386" customFormat="1" ht="15.6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42" t="s">
        <v>80</v>
      </c>
      <c r="R149" s="341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6" customFormat="1" ht="16.2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4" t="s">
        <v>154</v>
      </c>
      <c r="R150" s="341" t="s">
        <v>77</v>
      </c>
      <c r="S150" s="88">
        <v>0</v>
      </c>
      <c r="T150" s="89">
        <f>IF(-C149&lt;0,-C149,0)</f>
        <v>0</v>
      </c>
    </row>
    <row r="151" spans="1:20" s="386" customFormat="1" ht="16.2" thickTop="1" thickBot="1">
      <c r="A151" s="53"/>
      <c r="Q151" s="345" t="s">
        <v>83</v>
      </c>
      <c r="R151" s="343" t="s">
        <v>78</v>
      </c>
      <c r="S151" s="118">
        <f>IF(-C149&gt;0,-C149,0)</f>
        <v>396.82</v>
      </c>
      <c r="T151" s="111">
        <v>0</v>
      </c>
    </row>
    <row r="152" spans="1:20" s="386" customFormat="1">
      <c r="A152" s="53"/>
      <c r="T152" s="340">
        <f>ROUND(SUM(S146:T151),2)</f>
        <v>0</v>
      </c>
    </row>
    <row r="153" spans="1:20" s="386" customFormat="1" ht="15.6" thickBot="1">
      <c r="A153" s="53"/>
    </row>
    <row r="154" spans="1:20" s="386" customFormat="1" ht="16.2" thickBot="1">
      <c r="A154" s="58"/>
      <c r="Q154" s="338" t="s">
        <v>240</v>
      </c>
      <c r="R154" s="334"/>
      <c r="S154" s="334"/>
      <c r="T154" s="229"/>
    </row>
    <row r="155" spans="1:20" s="386" customFormat="1" ht="15.6">
      <c r="A155" s="58">
        <f>EOMONTH(A150,1)</f>
        <v>41639</v>
      </c>
      <c r="B155" s="59" t="s">
        <v>84</v>
      </c>
      <c r="C155" s="50">
        <f>SUM(D155:N155)</f>
        <v>-711721.05968299962</v>
      </c>
      <c r="D155" s="243">
        <f>Jan!$J$55</f>
        <v>-74080.34529899992</v>
      </c>
      <c r="E155" s="243">
        <f>Jan!$K$55</f>
        <v>-637640.7143839997</v>
      </c>
      <c r="F155" s="244">
        <v>0</v>
      </c>
      <c r="G155" s="244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7" t="s">
        <v>81</v>
      </c>
      <c r="R155" s="348" t="s">
        <v>58</v>
      </c>
      <c r="S155" s="112">
        <f>IF((-C150+C159)&gt;0,(-C150+C159),0)</f>
        <v>0</v>
      </c>
      <c r="T155" s="117">
        <f>IF((-C150+C159)&lt;0,(-C150+C159),0)</f>
        <v>-712659.89968299982</v>
      </c>
    </row>
    <row r="156" spans="1:20" s="386" customFormat="1" ht="15.6">
      <c r="A156" s="62"/>
      <c r="B156" s="59" t="s">
        <v>236</v>
      </c>
      <c r="C156" s="50">
        <f>SUM(D156:H156)</f>
        <v>0</v>
      </c>
      <c r="D156" s="244">
        <v>0</v>
      </c>
      <c r="E156" s="244">
        <v>0</v>
      </c>
      <c r="F156" s="244"/>
      <c r="G156" s="245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9" t="s">
        <v>11</v>
      </c>
      <c r="R156" s="350" t="s">
        <v>62</v>
      </c>
      <c r="S156" s="112">
        <v>0</v>
      </c>
      <c r="T156" s="228">
        <v>0</v>
      </c>
    </row>
    <row r="157" spans="1:20" s="386" customFormat="1" ht="15.6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4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9" t="s">
        <v>11</v>
      </c>
      <c r="R157" s="350" t="s">
        <v>209</v>
      </c>
      <c r="S157" s="112">
        <v>0</v>
      </c>
      <c r="T157" s="228">
        <v>0</v>
      </c>
    </row>
    <row r="158" spans="1:20" s="386" customFormat="1" ht="15.6">
      <c r="A158" s="62"/>
      <c r="B158" s="59" t="s">
        <v>57</v>
      </c>
      <c r="C158" s="64">
        <f>SUM(D158:N158)</f>
        <v>-938.84</v>
      </c>
      <c r="D158" s="64"/>
      <c r="E158" s="64"/>
      <c r="F158" s="64"/>
      <c r="G158" s="64"/>
      <c r="H158" s="64">
        <f>ROUND(((C150)+(C155)/2)*(O158/12),2)</f>
        <v>-938.84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42" t="s">
        <v>80</v>
      </c>
      <c r="R158" s="341" t="s">
        <v>59</v>
      </c>
      <c r="S158" s="88">
        <f>IF((-C155-C157)&gt;0,(-C155-C157),0)</f>
        <v>711721.05968299962</v>
      </c>
      <c r="T158" s="89">
        <f>IF((-C155-C156-C157)&lt;0,(-C155-C156-C157),0)</f>
        <v>0</v>
      </c>
    </row>
    <row r="159" spans="1:20" s="386" customFormat="1" ht="16.2" thickBot="1">
      <c r="A159" s="104">
        <f>A155</f>
        <v>41639</v>
      </c>
      <c r="B159" s="50" t="s">
        <v>56</v>
      </c>
      <c r="C159" s="158">
        <f>SUM(C150:C158)</f>
        <v>-1483409.241437997</v>
      </c>
      <c r="D159" s="158">
        <f t="shared" ref="D159" si="22">SUM(D150:D158)</f>
        <v>-1941945.4457689973</v>
      </c>
      <c r="E159" s="158">
        <f t="shared" ref="E159" si="23">SUM(E150:E158)</f>
        <v>458875.85180600162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-339.6474750000001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4" t="s">
        <v>154</v>
      </c>
      <c r="R159" s="341" t="s">
        <v>77</v>
      </c>
      <c r="S159" s="88">
        <v>0</v>
      </c>
      <c r="T159" s="89">
        <f>IF(-C158&lt;0,-C158,0)</f>
        <v>0</v>
      </c>
    </row>
    <row r="160" spans="1:20" s="386" customFormat="1" ht="16.8" thickTop="1" thickBot="1">
      <c r="A160" s="53"/>
      <c r="B160" s="9" t="s">
        <v>249</v>
      </c>
      <c r="C160" s="386">
        <f>SUM(D160:H160)</f>
        <v>-487553.62</v>
      </c>
      <c r="D160" s="243"/>
      <c r="E160" s="243">
        <v>-481637.67</v>
      </c>
      <c r="F160" s="244"/>
      <c r="G160" s="244"/>
      <c r="H160" s="50">
        <v>-5915.95</v>
      </c>
      <c r="Q160" s="345" t="s">
        <v>83</v>
      </c>
      <c r="R160" s="343" t="s">
        <v>78</v>
      </c>
      <c r="S160" s="118">
        <f>IF(-C158&gt;0,-C158,0)</f>
        <v>938.84</v>
      </c>
      <c r="T160" s="111">
        <v>0</v>
      </c>
    </row>
    <row r="161" spans="1:20" s="386" customFormat="1" ht="15.6">
      <c r="A161" s="53"/>
      <c r="B161" s="9" t="s">
        <v>243</v>
      </c>
      <c r="C161" s="476">
        <f>SUM(C159:C160)</f>
        <v>-1970962.8614379968</v>
      </c>
      <c r="D161" s="476">
        <f>D160+D159</f>
        <v>-1941945.4457689973</v>
      </c>
      <c r="E161" s="476">
        <f>E160+E159</f>
        <v>-22761.818193998362</v>
      </c>
      <c r="F161" s="476">
        <f>F160+F159</f>
        <v>0</v>
      </c>
      <c r="G161" s="476">
        <f>G160+G159</f>
        <v>0</v>
      </c>
      <c r="H161" s="476">
        <f>H160+H159</f>
        <v>-6255.5974749999996</v>
      </c>
      <c r="I161" s="476"/>
      <c r="J161" s="476"/>
      <c r="K161" s="476"/>
      <c r="L161" s="476"/>
      <c r="M161" s="476">
        <f>M160+M159</f>
        <v>0</v>
      </c>
      <c r="N161" s="476">
        <f>N160+N159</f>
        <v>0</v>
      </c>
      <c r="S161" s="66"/>
      <c r="T161" s="340">
        <f>ROUND(SUM(S155:T160),2)</f>
        <v>0</v>
      </c>
    </row>
    <row r="162" spans="1:20" ht="16.2" thickBot="1">
      <c r="B162" s="9" t="s">
        <v>244</v>
      </c>
      <c r="C162" s="386" t="e">
        <f>_xll.Get_Balance("201312","YTD","USD","Total","A","","001","191010","GD","ID","DL")</f>
        <v>#VALUE!</v>
      </c>
      <c r="D162" s="386"/>
      <c r="E162" s="386"/>
      <c r="F162" s="386"/>
      <c r="G162" s="386"/>
      <c r="H162" s="386"/>
      <c r="M162" s="386"/>
      <c r="N162" s="386"/>
    </row>
    <row r="163" spans="1:20" ht="16.2" thickBot="1">
      <c r="B163" s="9" t="s">
        <v>245</v>
      </c>
      <c r="C163" s="158" t="e">
        <f>C161-C162</f>
        <v>#VALUE!</v>
      </c>
      <c r="D163" s="386"/>
      <c r="E163" s="386"/>
      <c r="F163" s="386"/>
      <c r="G163" s="386"/>
      <c r="H163" s="386"/>
      <c r="I163" s="386"/>
      <c r="J163" s="386"/>
      <c r="K163" s="386"/>
      <c r="L163" s="386"/>
      <c r="M163" s="386"/>
      <c r="N163" s="386"/>
      <c r="Q163" s="338" t="s">
        <v>241</v>
      </c>
      <c r="R163" s="334"/>
      <c r="S163" s="334"/>
      <c r="T163" s="229"/>
    </row>
    <row r="164" spans="1:20" ht="15.6" thickTop="1">
      <c r="D164" s="386"/>
      <c r="E164" s="386"/>
      <c r="F164" s="386"/>
      <c r="G164" s="386"/>
      <c r="H164" s="386"/>
      <c r="I164" s="386"/>
      <c r="J164" s="386"/>
      <c r="K164" s="386"/>
      <c r="L164" s="386"/>
      <c r="M164" s="386"/>
      <c r="N164" s="386"/>
      <c r="Q164" s="347" t="s">
        <v>81</v>
      </c>
      <c r="R164" s="348" t="s">
        <v>58</v>
      </c>
      <c r="S164" s="112">
        <v>0</v>
      </c>
      <c r="T164" s="117">
        <v>-1943728.32</v>
      </c>
    </row>
    <row r="165" spans="1:20">
      <c r="Q165" s="349" t="s">
        <v>11</v>
      </c>
      <c r="R165" s="350" t="s">
        <v>62</v>
      </c>
      <c r="S165" s="112">
        <v>0</v>
      </c>
      <c r="T165" s="228">
        <v>0</v>
      </c>
    </row>
    <row r="166" spans="1:20">
      <c r="Q166" s="349" t="s">
        <v>11</v>
      </c>
      <c r="R166" s="350" t="s">
        <v>209</v>
      </c>
      <c r="S166" s="112">
        <v>0</v>
      </c>
      <c r="T166" s="228">
        <v>0</v>
      </c>
    </row>
    <row r="167" spans="1:20">
      <c r="Q167" s="342" t="s">
        <v>80</v>
      </c>
      <c r="R167" s="341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4" t="s">
        <v>154</v>
      </c>
      <c r="R168" s="341" t="s">
        <v>77</v>
      </c>
      <c r="S168" s="88">
        <v>0</v>
      </c>
      <c r="T168" s="89">
        <f>IF(-C167&lt;0,-C167,0)</f>
        <v>0</v>
      </c>
    </row>
    <row r="169" spans="1:20" ht="15.6" thickBot="1">
      <c r="Q169" s="345" t="s">
        <v>83</v>
      </c>
      <c r="R169" s="343" t="s">
        <v>78</v>
      </c>
      <c r="S169" s="118">
        <v>1451.57</v>
      </c>
      <c r="T169" s="111">
        <v>0</v>
      </c>
    </row>
    <row r="170" spans="1:20">
      <c r="Q170" s="386"/>
      <c r="R170" s="386"/>
      <c r="S170" s="66"/>
      <c r="T170" s="340">
        <f>ROUND(SUM(S164:T169),2)</f>
        <v>0</v>
      </c>
    </row>
    <row r="171" spans="1:20" ht="15.6" thickBot="1"/>
    <row r="172" spans="1:20" ht="15.6" thickBot="1">
      <c r="Q172" s="338" t="s">
        <v>242</v>
      </c>
      <c r="R172" s="334"/>
      <c r="S172" s="334"/>
      <c r="T172" s="229"/>
    </row>
    <row r="173" spans="1:20">
      <c r="Q173" s="347" t="s">
        <v>81</v>
      </c>
      <c r="R173" s="348" t="s">
        <v>58</v>
      </c>
      <c r="S173" s="112">
        <f>T155-T164</f>
        <v>1231068.4203170002</v>
      </c>
      <c r="T173" s="117">
        <f>IF((-C168+C177)&lt;0,(-C168+C177),0)</f>
        <v>0</v>
      </c>
    </row>
    <row r="174" spans="1:20">
      <c r="Q174" s="349" t="s">
        <v>11</v>
      </c>
      <c r="R174" s="350" t="s">
        <v>62</v>
      </c>
      <c r="S174" s="112">
        <v>0</v>
      </c>
      <c r="T174" s="228">
        <v>0</v>
      </c>
    </row>
    <row r="175" spans="1:20">
      <c r="Q175" s="349" t="s">
        <v>11</v>
      </c>
      <c r="R175" s="350" t="s">
        <v>209</v>
      </c>
      <c r="S175" s="112">
        <v>0</v>
      </c>
      <c r="T175" s="228">
        <v>0</v>
      </c>
    </row>
    <row r="176" spans="1:20">
      <c r="Q176" s="342" t="s">
        <v>80</v>
      </c>
      <c r="R176" s="341" t="s">
        <v>59</v>
      </c>
      <c r="S176" s="88">
        <f>IF((-C173-C175)&gt;0,(-C173-C175),0)</f>
        <v>0</v>
      </c>
      <c r="T176" s="89">
        <f>S158-S167</f>
        <v>-1230555.6903170003</v>
      </c>
    </row>
    <row r="177" spans="17:20">
      <c r="Q177" s="344" t="s">
        <v>154</v>
      </c>
      <c r="R177" s="341" t="s">
        <v>77</v>
      </c>
      <c r="S177" s="88">
        <v>0</v>
      </c>
      <c r="T177" s="89">
        <f>IF(-C176&lt;0,-C176,0)</f>
        <v>0</v>
      </c>
    </row>
    <row r="178" spans="17:20" ht="15.6" thickBot="1">
      <c r="Q178" s="345" t="s">
        <v>83</v>
      </c>
      <c r="R178" s="343" t="s">
        <v>78</v>
      </c>
      <c r="S178" s="118">
        <f>IF(-C176&gt;0,-C176,0)</f>
        <v>0</v>
      </c>
      <c r="T178" s="111">
        <f>S160-S169</f>
        <v>-512.7299999999999</v>
      </c>
    </row>
    <row r="179" spans="17:20">
      <c r="Q179" s="386"/>
      <c r="R179" s="386"/>
      <c r="S179" s="66"/>
      <c r="T179" s="340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6640625" defaultRowHeight="15"/>
  <cols>
    <col min="1" max="1" width="11.44140625" style="53" customWidth="1"/>
    <col min="2" max="2" width="27.109375" style="333" customWidth="1"/>
    <col min="3" max="3" width="18.44140625" style="333" customWidth="1"/>
    <col min="4" max="4" width="19.109375" style="333" bestFit="1" customWidth="1"/>
    <col min="5" max="5" width="19.44140625" style="333" bestFit="1" customWidth="1"/>
    <col min="6" max="7" width="13.109375" style="333" customWidth="1"/>
    <col min="8" max="8" width="16.6640625" style="333" bestFit="1" customWidth="1"/>
    <col min="9" max="9" width="14.44140625" style="333" hidden="1" customWidth="1"/>
    <col min="10" max="10" width="13.33203125" style="333" hidden="1" customWidth="1"/>
    <col min="11" max="11" width="15.109375" style="333" hidden="1" customWidth="1"/>
    <col min="12" max="12" width="18.109375" style="333" hidden="1" customWidth="1"/>
    <col min="13" max="14" width="12.5546875" style="333" customWidth="1"/>
    <col min="15" max="15" width="11.33203125" style="333" customWidth="1"/>
    <col min="16" max="16" width="2.33203125" style="333" customWidth="1"/>
    <col min="17" max="17" width="26.88671875" style="333" customWidth="1"/>
    <col min="18" max="18" width="16.44140625" style="333" customWidth="1"/>
    <col min="19" max="19" width="17" style="333" customWidth="1"/>
    <col min="20" max="20" width="19.6640625" style="333" customWidth="1"/>
    <col min="21" max="16384" width="9.6640625" style="333"/>
  </cols>
  <sheetData>
    <row r="1" spans="1:20" ht="15.6">
      <c r="A1" s="51" t="s">
        <v>13</v>
      </c>
      <c r="M1" s="41"/>
    </row>
    <row r="2" spans="1:20" ht="15.6">
      <c r="A2" s="51" t="s">
        <v>46</v>
      </c>
    </row>
    <row r="3" spans="1:20" ht="15.6">
      <c r="A3" s="51" t="s">
        <v>203</v>
      </c>
    </row>
    <row r="4" spans="1:20" ht="15.6">
      <c r="A4" s="51" t="s">
        <v>204</v>
      </c>
    </row>
    <row r="5" spans="1:20">
      <c r="Q5" s="267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205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4" customFormat="1" ht="15.75" hidden="1" customHeight="1">
      <c r="A8" s="382"/>
      <c r="B8" s="249" t="s">
        <v>11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T8" s="376"/>
    </row>
    <row r="9" spans="1:20" s="384" customFormat="1" ht="16.5" hidden="1" customHeight="1" thickBot="1">
      <c r="A9" s="382"/>
      <c r="B9" s="249" t="s">
        <v>206</v>
      </c>
      <c r="C9" s="385">
        <v>-1550000</v>
      </c>
      <c r="D9" s="385">
        <f>-'ID Def 191010'!D10</f>
        <v>-883736.20005990437</v>
      </c>
      <c r="E9" s="385">
        <f>-'ID Def 191010'!E10</f>
        <v>-659271.7478600872</v>
      </c>
      <c r="F9" s="385">
        <v>0</v>
      </c>
      <c r="G9" s="385">
        <v>0</v>
      </c>
      <c r="H9" s="385">
        <f>-'ID Def 191010'!H10</f>
        <v>-6992.0520800084523</v>
      </c>
      <c r="I9" s="385">
        <v>0</v>
      </c>
      <c r="J9" s="385">
        <v>0</v>
      </c>
      <c r="K9" s="385">
        <v>0</v>
      </c>
      <c r="L9" s="385">
        <v>0</v>
      </c>
      <c r="M9" s="385">
        <v>0</v>
      </c>
      <c r="N9" s="385">
        <v>0</v>
      </c>
      <c r="T9" s="376"/>
    </row>
    <row r="10" spans="1:20" s="55" customFormat="1" ht="15.75" hidden="1" customHeight="1" thickTop="1" thickBot="1">
      <c r="A10" s="54"/>
    </row>
    <row r="11" spans="1:20" ht="15.75" hidden="1" customHeight="1" thickBot="1">
      <c r="Q11" s="338" t="s">
        <v>107</v>
      </c>
      <c r="R11" s="334"/>
      <c r="S11" s="334"/>
      <c r="T11" s="229"/>
    </row>
    <row r="12" spans="1:20" ht="15.75" hidden="1" customHeight="1">
      <c r="A12" s="58">
        <v>41183</v>
      </c>
      <c r="B12" s="59" t="s">
        <v>84</v>
      </c>
      <c r="C12" s="11">
        <v>0</v>
      </c>
      <c r="D12" s="250">
        <v>0</v>
      </c>
      <c r="E12" s="250">
        <v>0</v>
      </c>
      <c r="F12" s="251">
        <v>0</v>
      </c>
      <c r="G12" s="251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4" t="s">
        <v>211</v>
      </c>
      <c r="R12" s="395" t="s">
        <v>209</v>
      </c>
      <c r="S12" s="337">
        <f>IF(SUM(C12:C15)&gt;0,C12+C13+C15+C14,0)</f>
        <v>0</v>
      </c>
      <c r="T12" s="339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51"/>
      <c r="E13" s="251">
        <v>0</v>
      </c>
      <c r="F13" s="251"/>
      <c r="G13" s="252"/>
      <c r="H13" s="60"/>
      <c r="I13" s="50"/>
      <c r="J13" s="87"/>
      <c r="K13" s="87"/>
      <c r="L13" s="50"/>
      <c r="M13" s="50"/>
      <c r="N13" s="50"/>
      <c r="O13" s="106"/>
      <c r="P13" s="50"/>
      <c r="Q13" s="349" t="s">
        <v>11</v>
      </c>
      <c r="R13" s="350" t="s">
        <v>62</v>
      </c>
      <c r="S13" s="337">
        <v>0</v>
      </c>
      <c r="T13" s="339">
        <v>0</v>
      </c>
    </row>
    <row r="14" spans="1:20" ht="15.75" hidden="1" customHeight="1">
      <c r="A14" s="62"/>
      <c r="B14" s="59" t="s">
        <v>144</v>
      </c>
      <c r="C14" s="11">
        <v>0</v>
      </c>
      <c r="D14" s="249">
        <v>0</v>
      </c>
      <c r="E14" s="249"/>
      <c r="F14" s="249"/>
      <c r="G14" s="251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42" t="s">
        <v>80</v>
      </c>
      <c r="R14" s="341" t="s">
        <v>59</v>
      </c>
      <c r="S14" s="112">
        <f>IF(SUM(C12)&lt;0,-C12,0)</f>
        <v>0</v>
      </c>
      <c r="T14" s="339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4" t="s">
        <v>154</v>
      </c>
      <c r="R15" s="341" t="s">
        <v>77</v>
      </c>
      <c r="S15" s="346">
        <v>0</v>
      </c>
      <c r="T15" s="339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5" t="s">
        <v>83</v>
      </c>
      <c r="R16" s="343" t="s">
        <v>78</v>
      </c>
      <c r="S16" s="116">
        <f>IF(SUM(C15)&lt;0,-C15,0)</f>
        <v>1291.67</v>
      </c>
      <c r="T16" s="393">
        <v>0</v>
      </c>
    </row>
    <row r="17" spans="1:20" ht="16.5" hidden="1" customHeight="1" thickTop="1" thickBot="1">
      <c r="T17" s="340">
        <v>0</v>
      </c>
    </row>
    <row r="18" spans="1:20" s="386" customFormat="1" ht="15.75" hidden="1" customHeight="1" thickBot="1">
      <c r="A18" s="53"/>
      <c r="Q18" s="338" t="s">
        <v>107</v>
      </c>
      <c r="R18" s="334"/>
      <c r="S18" s="334"/>
      <c r="T18" s="229"/>
    </row>
    <row r="19" spans="1:20" s="386" customFormat="1" ht="15.75" hidden="1" customHeight="1">
      <c r="A19" s="58">
        <v>41214</v>
      </c>
      <c r="B19" s="59" t="s">
        <v>84</v>
      </c>
      <c r="C19" s="11">
        <f>SUM(D19:N19)</f>
        <v>0</v>
      </c>
      <c r="D19" s="250">
        <v>0</v>
      </c>
      <c r="E19" s="250">
        <v>0</v>
      </c>
      <c r="F19" s="251">
        <v>0</v>
      </c>
      <c r="G19" s="251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4" t="s">
        <v>211</v>
      </c>
      <c r="R19" s="395" t="s">
        <v>209</v>
      </c>
      <c r="S19" s="337">
        <f>IF(SUM(C19:C22)&gt;0,C19+C20+C22+C21,0)</f>
        <v>0</v>
      </c>
      <c r="T19" s="339">
        <f>IF(SUM(C19:C22)&lt;0,C19+C20+C22+C21,0)</f>
        <v>-1292.74</v>
      </c>
    </row>
    <row r="20" spans="1:20" s="386" customFormat="1" ht="15.75" hidden="1" customHeight="1">
      <c r="A20" s="62"/>
      <c r="B20" s="59" t="s">
        <v>148</v>
      </c>
      <c r="C20" s="11">
        <f>SUM(D20:N20)</f>
        <v>0</v>
      </c>
      <c r="D20" s="251"/>
      <c r="E20" s="251">
        <v>0</v>
      </c>
      <c r="F20" s="251"/>
      <c r="G20" s="252"/>
      <c r="H20" s="60"/>
      <c r="I20" s="50"/>
      <c r="J20" s="87"/>
      <c r="K20" s="87"/>
      <c r="L20" s="50"/>
      <c r="M20" s="50"/>
      <c r="N20" s="50"/>
      <c r="O20" s="106"/>
      <c r="P20" s="50"/>
      <c r="Q20" s="349" t="s">
        <v>11</v>
      </c>
      <c r="R20" s="350" t="s">
        <v>62</v>
      </c>
      <c r="S20" s="337">
        <v>0</v>
      </c>
      <c r="T20" s="339">
        <v>0</v>
      </c>
    </row>
    <row r="21" spans="1:20" s="386" customFormat="1" ht="15.75" hidden="1" customHeight="1">
      <c r="A21" s="62"/>
      <c r="B21" s="59" t="s">
        <v>144</v>
      </c>
      <c r="C21" s="11">
        <f>SUM(D21:N21)</f>
        <v>0</v>
      </c>
      <c r="D21" s="249">
        <v>0</v>
      </c>
      <c r="E21" s="249"/>
      <c r="F21" s="249"/>
      <c r="G21" s="251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42" t="s">
        <v>80</v>
      </c>
      <c r="R21" s="341" t="s">
        <v>59</v>
      </c>
      <c r="S21" s="112">
        <f>IF(SUM(C19)&lt;0,-C19,0)</f>
        <v>0</v>
      </c>
      <c r="T21" s="339">
        <f>IF(SUM(C19)&gt;0,-C19,0)</f>
        <v>0</v>
      </c>
    </row>
    <row r="22" spans="1:20" s="386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4" t="s">
        <v>154</v>
      </c>
      <c r="R22" s="341" t="s">
        <v>77</v>
      </c>
      <c r="S22" s="346">
        <v>0</v>
      </c>
      <c r="T22" s="339">
        <f>IF(SUM(C22)&gt;0,-C22,0)</f>
        <v>0</v>
      </c>
    </row>
    <row r="23" spans="1:20" s="386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5" t="s">
        <v>83</v>
      </c>
      <c r="R23" s="343" t="s">
        <v>78</v>
      </c>
      <c r="S23" s="116">
        <f>IF(SUM(C22)&lt;0,-C22,0)</f>
        <v>1292.74</v>
      </c>
      <c r="T23" s="393">
        <v>0</v>
      </c>
    </row>
    <row r="24" spans="1:20" s="386" customFormat="1" ht="16.5" hidden="1" customHeight="1" thickTop="1" thickBot="1">
      <c r="A24" s="53"/>
      <c r="T24" s="340">
        <v>0</v>
      </c>
    </row>
    <row r="25" spans="1:20" s="386" customFormat="1" ht="15.75" hidden="1" customHeight="1" thickBot="1">
      <c r="A25" s="53"/>
      <c r="Q25" s="338" t="s">
        <v>107</v>
      </c>
      <c r="R25" s="334"/>
      <c r="S25" s="334"/>
      <c r="T25" s="229"/>
    </row>
    <row r="26" spans="1:20" s="386" customFormat="1" ht="15.75" hidden="1" customHeight="1">
      <c r="A26" s="58">
        <v>41244</v>
      </c>
      <c r="B26" s="59" t="s">
        <v>84</v>
      </c>
      <c r="C26" s="11">
        <f>SUM(D26:N26)</f>
        <v>0</v>
      </c>
      <c r="D26" s="250">
        <v>0</v>
      </c>
      <c r="E26" s="250">
        <v>0</v>
      </c>
      <c r="F26" s="251">
        <v>0</v>
      </c>
      <c r="G26" s="251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4" t="s">
        <v>211</v>
      </c>
      <c r="R26" s="395" t="s">
        <v>209</v>
      </c>
      <c r="S26" s="337">
        <f>IF(SUM(C26:C29)&gt;0,C26+C27+C29+C28,0)</f>
        <v>0</v>
      </c>
      <c r="T26" s="339">
        <f>IF(SUM(C26:C29)&lt;0,C26+C27+C29+C28,0)</f>
        <v>-1293.82</v>
      </c>
    </row>
    <row r="27" spans="1:20" s="386" customFormat="1" ht="15.75" hidden="1" customHeight="1">
      <c r="A27" s="62"/>
      <c r="B27" s="59" t="s">
        <v>148</v>
      </c>
      <c r="C27" s="11">
        <f>SUM(D27:N27)</f>
        <v>0</v>
      </c>
      <c r="D27" s="251"/>
      <c r="E27" s="251">
        <v>0</v>
      </c>
      <c r="F27" s="251"/>
      <c r="G27" s="252"/>
      <c r="H27" s="60"/>
      <c r="I27" s="50"/>
      <c r="J27" s="87"/>
      <c r="K27" s="87"/>
      <c r="L27" s="50"/>
      <c r="M27" s="50"/>
      <c r="N27" s="50"/>
      <c r="O27" s="106"/>
      <c r="P27" s="50"/>
      <c r="Q27" s="349" t="s">
        <v>11</v>
      </c>
      <c r="R27" s="350" t="s">
        <v>62</v>
      </c>
      <c r="S27" s="337">
        <v>0</v>
      </c>
      <c r="T27" s="339">
        <v>0</v>
      </c>
    </row>
    <row r="28" spans="1:20" s="386" customFormat="1" ht="15.75" hidden="1" customHeight="1">
      <c r="A28" s="62"/>
      <c r="B28" s="59" t="s">
        <v>144</v>
      </c>
      <c r="C28" s="11">
        <f>SUM(D28:N28)</f>
        <v>0</v>
      </c>
      <c r="D28" s="249">
        <v>0</v>
      </c>
      <c r="E28" s="249"/>
      <c r="F28" s="249"/>
      <c r="G28" s="251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42" t="s">
        <v>80</v>
      </c>
      <c r="R28" s="341" t="s">
        <v>59</v>
      </c>
      <c r="S28" s="112">
        <f>IF(SUM(C26)&lt;0,-C26,0)</f>
        <v>0</v>
      </c>
      <c r="T28" s="339">
        <f>IF(SUM(C26)&gt;0,-C26,0)</f>
        <v>0</v>
      </c>
    </row>
    <row r="29" spans="1:20" s="386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4" t="s">
        <v>154</v>
      </c>
      <c r="R29" s="341" t="s">
        <v>77</v>
      </c>
      <c r="S29" s="346">
        <v>0</v>
      </c>
      <c r="T29" s="339">
        <f>IF(SUM(C29)&gt;0,-C29,0)</f>
        <v>0</v>
      </c>
    </row>
    <row r="30" spans="1:20" s="386" customFormat="1" ht="16.2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5" t="s">
        <v>83</v>
      </c>
      <c r="R30" s="343" t="s">
        <v>78</v>
      </c>
      <c r="S30" s="116">
        <f>IF(SUM(C29)&lt;0,-C29,0)</f>
        <v>1293.82</v>
      </c>
      <c r="T30" s="393">
        <v>0</v>
      </c>
    </row>
    <row r="31" spans="1:20" s="386" customFormat="1" ht="16.2" hidden="1" thickTop="1" thickBot="1">
      <c r="A31" s="53"/>
      <c r="T31" s="340">
        <v>0</v>
      </c>
    </row>
    <row r="32" spans="1:20" s="358" customFormat="1" ht="15.6" hidden="1" thickBot="1">
      <c r="A32" s="53"/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38" t="s">
        <v>107</v>
      </c>
      <c r="R32" s="334"/>
      <c r="S32" s="334"/>
      <c r="T32" s="229"/>
    </row>
    <row r="33" spans="1:20" s="358" customFormat="1" ht="15.6" hidden="1">
      <c r="A33" s="58">
        <v>41305</v>
      </c>
      <c r="B33" s="59" t="s">
        <v>84</v>
      </c>
      <c r="C33" s="11">
        <f>SUM(D33:N33)</f>
        <v>0</v>
      </c>
      <c r="D33" s="250">
        <v>0</v>
      </c>
      <c r="E33" s="250">
        <v>0</v>
      </c>
      <c r="F33" s="251">
        <v>0</v>
      </c>
      <c r="G33" s="251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4" t="s">
        <v>211</v>
      </c>
      <c r="R33" s="395" t="s">
        <v>209</v>
      </c>
      <c r="S33" s="337">
        <f>IF(SUM(C33:C36)&gt;0,C33+C34+C36+C35,0)</f>
        <v>0</v>
      </c>
      <c r="T33" s="339">
        <f>IF(SUM(C33:C36)&lt;0,C33+C34+C36+C35,0)</f>
        <v>-1294.9000000000001</v>
      </c>
    </row>
    <row r="34" spans="1:20" s="358" customFormat="1" ht="15.6" hidden="1">
      <c r="A34" s="62"/>
      <c r="B34" s="59" t="s">
        <v>148</v>
      </c>
      <c r="C34" s="11">
        <f>SUM(D34:N34)</f>
        <v>0</v>
      </c>
      <c r="D34" s="251"/>
      <c r="E34" s="251">
        <v>0</v>
      </c>
      <c r="F34" s="251"/>
      <c r="G34" s="252"/>
      <c r="H34" s="60"/>
      <c r="I34" s="50"/>
      <c r="J34" s="87"/>
      <c r="K34" s="87"/>
      <c r="L34" s="50"/>
      <c r="M34" s="50"/>
      <c r="N34" s="50"/>
      <c r="O34" s="106"/>
      <c r="P34" s="50"/>
      <c r="Q34" s="349" t="s">
        <v>11</v>
      </c>
      <c r="R34" s="350" t="s">
        <v>62</v>
      </c>
      <c r="S34" s="337">
        <v>0</v>
      </c>
      <c r="T34" s="339">
        <v>0</v>
      </c>
    </row>
    <row r="35" spans="1:20" s="358" customFormat="1" ht="15.6" hidden="1">
      <c r="A35" s="62"/>
      <c r="B35" s="59" t="s">
        <v>144</v>
      </c>
      <c r="C35" s="11">
        <f>SUM(D35:N35)</f>
        <v>0</v>
      </c>
      <c r="D35" s="249">
        <v>0</v>
      </c>
      <c r="E35" s="249"/>
      <c r="F35" s="249"/>
      <c r="G35" s="251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42" t="s">
        <v>80</v>
      </c>
      <c r="R35" s="341" t="s">
        <v>59</v>
      </c>
      <c r="S35" s="112">
        <f>IF(SUM(C33)&lt;0,-C33,0)</f>
        <v>0</v>
      </c>
      <c r="T35" s="339">
        <f>IF(SUM(C33)&gt;0,-C33,0)</f>
        <v>0</v>
      </c>
    </row>
    <row r="36" spans="1:20" s="358" customFormat="1" ht="15.6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4" t="s">
        <v>154</v>
      </c>
      <c r="R36" s="341" t="s">
        <v>77</v>
      </c>
      <c r="S36" s="346">
        <v>0</v>
      </c>
      <c r="T36" s="339">
        <f>IF(SUM(C36)&gt;0,-C36,0)</f>
        <v>0</v>
      </c>
    </row>
    <row r="37" spans="1:20" s="358" customFormat="1" ht="16.2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5" t="s">
        <v>83</v>
      </c>
      <c r="R37" s="343" t="s">
        <v>78</v>
      </c>
      <c r="S37" s="116">
        <f>IF(SUM(C36)&lt;0,-C36,0)</f>
        <v>1294.9000000000001</v>
      </c>
      <c r="T37" s="393">
        <v>0</v>
      </c>
    </row>
    <row r="38" spans="1:20" s="358" customFormat="1" ht="15.6" hidden="1" thickTop="1">
      <c r="A38" s="53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40">
        <v>0</v>
      </c>
    </row>
    <row r="39" spans="1:20" s="358" customFormat="1" ht="15.6" hidden="1" thickBot="1">
      <c r="A39" s="53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</row>
    <row r="40" spans="1:20" s="358" customFormat="1" ht="15.6" hidden="1" thickBot="1">
      <c r="A40" s="53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38" t="s">
        <v>107</v>
      </c>
      <c r="R40" s="334"/>
      <c r="S40" s="334"/>
      <c r="T40" s="229"/>
    </row>
    <row r="41" spans="1:20" s="358" customFormat="1" ht="15.6" hidden="1">
      <c r="A41" s="58">
        <v>41333</v>
      </c>
      <c r="B41" s="59" t="s">
        <v>84</v>
      </c>
      <c r="C41" s="11">
        <f>SUM(D41:N41)</f>
        <v>0</v>
      </c>
      <c r="D41" s="250">
        <v>0</v>
      </c>
      <c r="E41" s="250">
        <v>0</v>
      </c>
      <c r="F41" s="251">
        <v>0</v>
      </c>
      <c r="G41" s="251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4" t="s">
        <v>211</v>
      </c>
      <c r="R41" s="395" t="s">
        <v>209</v>
      </c>
      <c r="S41" s="337">
        <f>IF(SUM(C41:C44)&gt;0,C41+C42+C44+C43,0)</f>
        <v>0</v>
      </c>
      <c r="T41" s="339">
        <f>IF(SUM(C41:C44)&lt;0,C41+C42+C44+C43,0)</f>
        <v>-1295.98</v>
      </c>
    </row>
    <row r="42" spans="1:20" s="358" customFormat="1" ht="15.6" hidden="1">
      <c r="A42" s="62"/>
      <c r="B42" s="59" t="s">
        <v>148</v>
      </c>
      <c r="C42" s="11">
        <f>SUM(D42:N42)</f>
        <v>0</v>
      </c>
      <c r="D42" s="251"/>
      <c r="E42" s="251">
        <v>0</v>
      </c>
      <c r="F42" s="251"/>
      <c r="G42" s="252"/>
      <c r="H42" s="60"/>
      <c r="I42" s="50"/>
      <c r="J42" s="87"/>
      <c r="K42" s="87"/>
      <c r="L42" s="50"/>
      <c r="M42" s="50"/>
      <c r="N42" s="50"/>
      <c r="O42" s="106"/>
      <c r="P42" s="50"/>
      <c r="Q42" s="349" t="s">
        <v>11</v>
      </c>
      <c r="R42" s="350" t="s">
        <v>62</v>
      </c>
      <c r="S42" s="337">
        <v>0</v>
      </c>
      <c r="T42" s="339">
        <v>0</v>
      </c>
    </row>
    <row r="43" spans="1:20" s="358" customFormat="1" ht="15.6" hidden="1">
      <c r="A43" s="62"/>
      <c r="B43" s="59" t="s">
        <v>144</v>
      </c>
      <c r="C43" s="11">
        <f>SUM(D43:N43)</f>
        <v>0</v>
      </c>
      <c r="D43" s="249">
        <v>0</v>
      </c>
      <c r="E43" s="249"/>
      <c r="F43" s="249"/>
      <c r="G43" s="251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42" t="s">
        <v>80</v>
      </c>
      <c r="R43" s="341" t="s">
        <v>59</v>
      </c>
      <c r="S43" s="112">
        <f>IF(SUM(C41)&lt;0,-C41,0)</f>
        <v>0</v>
      </c>
      <c r="T43" s="339">
        <f>IF(SUM(C41)&gt;0,-C41,0)</f>
        <v>0</v>
      </c>
    </row>
    <row r="44" spans="1:20" s="358" customFormat="1" ht="15.6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4" t="s">
        <v>154</v>
      </c>
      <c r="R44" s="341" t="s">
        <v>77</v>
      </c>
      <c r="S44" s="346">
        <v>0</v>
      </c>
      <c r="T44" s="339">
        <f>IF(SUM(C44)&gt;0,-C44,0)</f>
        <v>0</v>
      </c>
    </row>
    <row r="45" spans="1:20" s="358" customFormat="1" ht="16.2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5" t="s">
        <v>83</v>
      </c>
      <c r="R45" s="343" t="s">
        <v>78</v>
      </c>
      <c r="S45" s="116">
        <f>IF(SUM(C44)&lt;0,-C44,0)</f>
        <v>1295.98</v>
      </c>
      <c r="T45" s="393">
        <v>0</v>
      </c>
    </row>
    <row r="46" spans="1:20" s="358" customFormat="1" ht="15.6" hidden="1" thickTop="1">
      <c r="A46" s="53"/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40">
        <v>0</v>
      </c>
    </row>
    <row r="47" spans="1:20" s="358" customFormat="1" ht="15.6" hidden="1" thickBot="1">
      <c r="A47" s="53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</row>
    <row r="48" spans="1:20" s="358" customFormat="1" ht="15.6" hidden="1" thickBot="1">
      <c r="A48" s="53"/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38" t="s">
        <v>107</v>
      </c>
      <c r="R48" s="334"/>
      <c r="S48" s="334"/>
      <c r="T48" s="229"/>
    </row>
    <row r="49" spans="1:20" s="358" customFormat="1" ht="15.6" hidden="1">
      <c r="A49" s="58">
        <v>41364</v>
      </c>
      <c r="B49" s="59" t="s">
        <v>84</v>
      </c>
      <c r="C49" s="11">
        <f>SUM(D49:N49)</f>
        <v>0</v>
      </c>
      <c r="D49" s="250">
        <v>0</v>
      </c>
      <c r="E49" s="250">
        <v>0</v>
      </c>
      <c r="F49" s="251">
        <v>0</v>
      </c>
      <c r="G49" s="251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4" t="s">
        <v>211</v>
      </c>
      <c r="R49" s="395" t="s">
        <v>209</v>
      </c>
      <c r="S49" s="337">
        <f>IF(SUM(C49:C52)&gt;0,C49+C50+C52+C51,0)</f>
        <v>0</v>
      </c>
      <c r="T49" s="339">
        <f>IF(SUM(C49:C52)&lt;0,C49+C50+C52+C51,0)</f>
        <v>-1297.06</v>
      </c>
    </row>
    <row r="50" spans="1:20" s="358" customFormat="1" ht="15.6" hidden="1">
      <c r="A50" s="62"/>
      <c r="B50" s="59" t="s">
        <v>148</v>
      </c>
      <c r="C50" s="11">
        <f>SUM(D50:N50)</f>
        <v>0</v>
      </c>
      <c r="D50" s="251"/>
      <c r="E50" s="251">
        <v>0</v>
      </c>
      <c r="F50" s="251"/>
      <c r="G50" s="252"/>
      <c r="H50" s="60"/>
      <c r="I50" s="50"/>
      <c r="J50" s="87"/>
      <c r="K50" s="87"/>
      <c r="L50" s="50"/>
      <c r="M50" s="50"/>
      <c r="N50" s="50"/>
      <c r="O50" s="106"/>
      <c r="P50" s="50"/>
      <c r="Q50" s="349" t="s">
        <v>11</v>
      </c>
      <c r="R50" s="350" t="s">
        <v>62</v>
      </c>
      <c r="S50" s="337">
        <v>0</v>
      </c>
      <c r="T50" s="339">
        <v>0</v>
      </c>
    </row>
    <row r="51" spans="1:20" s="358" customFormat="1" ht="15.6" hidden="1">
      <c r="A51" s="62"/>
      <c r="B51" s="59" t="s">
        <v>144</v>
      </c>
      <c r="C51" s="11">
        <f>SUM(D51:N51)</f>
        <v>0</v>
      </c>
      <c r="D51" s="249">
        <v>0</v>
      </c>
      <c r="E51" s="249"/>
      <c r="F51" s="249"/>
      <c r="G51" s="251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42" t="s">
        <v>80</v>
      </c>
      <c r="R51" s="341" t="s">
        <v>59</v>
      </c>
      <c r="S51" s="112">
        <f>IF(SUM(C49)&lt;0,-C49,0)</f>
        <v>0</v>
      </c>
      <c r="T51" s="339">
        <f>IF(SUM(C49)&gt;0,-C49,0)</f>
        <v>0</v>
      </c>
    </row>
    <row r="52" spans="1:20" s="358" customFormat="1" ht="15.6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4" t="s">
        <v>154</v>
      </c>
      <c r="R52" s="341" t="s">
        <v>77</v>
      </c>
      <c r="S52" s="346">
        <v>0</v>
      </c>
      <c r="T52" s="339">
        <f>IF(SUM(C52)&gt;0,-C52,0)</f>
        <v>0</v>
      </c>
    </row>
    <row r="53" spans="1:20" s="358" customFormat="1" ht="16.2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5" t="s">
        <v>83</v>
      </c>
      <c r="R53" s="343" t="s">
        <v>78</v>
      </c>
      <c r="S53" s="116">
        <f>IF(SUM(C52)&lt;0,-C52,0)</f>
        <v>1297.06</v>
      </c>
      <c r="T53" s="393">
        <v>0</v>
      </c>
    </row>
    <row r="54" spans="1:20" s="358" customFormat="1" ht="15.6" hidden="1" thickTop="1">
      <c r="A54" s="53"/>
      <c r="B54" s="386"/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40">
        <v>0</v>
      </c>
    </row>
    <row r="55" spans="1:20" s="358" customFormat="1" ht="15.6" hidden="1" thickBot="1">
      <c r="A55" s="53"/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</row>
    <row r="56" spans="1:20" s="358" customFormat="1" ht="15.6" hidden="1" thickBot="1">
      <c r="A56" s="53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38" t="s">
        <v>107</v>
      </c>
      <c r="R56" s="334"/>
      <c r="S56" s="334"/>
      <c r="T56" s="229"/>
    </row>
    <row r="57" spans="1:20" s="358" customFormat="1" ht="15.6" hidden="1">
      <c r="A57" s="58">
        <v>41394</v>
      </c>
      <c r="B57" s="59" t="s">
        <v>84</v>
      </c>
      <c r="C57" s="11">
        <f>SUM(D57:N57)</f>
        <v>0</v>
      </c>
      <c r="D57" s="250">
        <v>0</v>
      </c>
      <c r="E57" s="250">
        <v>0</v>
      </c>
      <c r="F57" s="251">
        <v>0</v>
      </c>
      <c r="G57" s="251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4" t="s">
        <v>211</v>
      </c>
      <c r="R57" s="395" t="s">
        <v>209</v>
      </c>
      <c r="S57" s="337">
        <f>IF(SUM(C57:C60)&gt;0,C57+C58+C60+C59,0)</f>
        <v>0</v>
      </c>
      <c r="T57" s="339">
        <f>IF(SUM(C57:C60)&lt;0,C57+C58+C60+C59,0)</f>
        <v>-1298.1400000000001</v>
      </c>
    </row>
    <row r="58" spans="1:20" s="358" customFormat="1" ht="15.6" hidden="1">
      <c r="A58" s="62"/>
      <c r="B58" s="59" t="s">
        <v>148</v>
      </c>
      <c r="C58" s="11">
        <f>SUM(D58:N58)</f>
        <v>0</v>
      </c>
      <c r="D58" s="251"/>
      <c r="E58" s="251">
        <v>0</v>
      </c>
      <c r="F58" s="251"/>
      <c r="G58" s="252"/>
      <c r="H58" s="60"/>
      <c r="I58" s="50"/>
      <c r="J58" s="87"/>
      <c r="K58" s="87"/>
      <c r="L58" s="50"/>
      <c r="M58" s="50"/>
      <c r="N58" s="50"/>
      <c r="O58" s="106"/>
      <c r="P58" s="50"/>
      <c r="Q58" s="349" t="s">
        <v>11</v>
      </c>
      <c r="R58" s="350" t="s">
        <v>62</v>
      </c>
      <c r="S58" s="337">
        <v>0</v>
      </c>
      <c r="T58" s="339">
        <v>0</v>
      </c>
    </row>
    <row r="59" spans="1:20" s="358" customFormat="1" ht="15.6" hidden="1">
      <c r="A59" s="62"/>
      <c r="B59" s="59" t="s">
        <v>144</v>
      </c>
      <c r="C59" s="11">
        <f>SUM(D59:N59)</f>
        <v>0</v>
      </c>
      <c r="D59" s="249">
        <v>0</v>
      </c>
      <c r="E59" s="249"/>
      <c r="F59" s="249"/>
      <c r="G59" s="251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42" t="s">
        <v>80</v>
      </c>
      <c r="R59" s="341" t="s">
        <v>59</v>
      </c>
      <c r="S59" s="112">
        <f>IF(SUM(C57)&lt;0,-C57,0)</f>
        <v>0</v>
      </c>
      <c r="T59" s="339">
        <f>IF(SUM(C57)&gt;0,-C57,0)</f>
        <v>0</v>
      </c>
    </row>
    <row r="60" spans="1:20" s="358" customFormat="1" ht="15.6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4" t="s">
        <v>154</v>
      </c>
      <c r="R60" s="341" t="s">
        <v>77</v>
      </c>
      <c r="S60" s="346">
        <v>0</v>
      </c>
      <c r="T60" s="339">
        <f>IF(SUM(C60)&gt;0,-C60,0)</f>
        <v>0</v>
      </c>
    </row>
    <row r="61" spans="1:20" s="358" customFormat="1" ht="16.2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5" t="s">
        <v>83</v>
      </c>
      <c r="R61" s="343" t="s">
        <v>78</v>
      </c>
      <c r="S61" s="116">
        <f>IF(SUM(C60)&lt;0,-C60,0)</f>
        <v>1298.1400000000001</v>
      </c>
      <c r="T61" s="393">
        <v>0</v>
      </c>
    </row>
    <row r="62" spans="1:20" s="358" customFormat="1" ht="15.6" hidden="1" thickTop="1">
      <c r="A62" s="53"/>
      <c r="B62" s="386"/>
      <c r="C62" s="387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40">
        <v>0</v>
      </c>
    </row>
    <row r="63" spans="1:20" s="358" customFormat="1" ht="15.6" hidden="1" thickBot="1">
      <c r="A63" s="53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</row>
    <row r="64" spans="1:20" s="358" customFormat="1" ht="15.6" hidden="1" thickBot="1">
      <c r="A64" s="53"/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38" t="s">
        <v>107</v>
      </c>
      <c r="R64" s="334"/>
      <c r="S64" s="334"/>
      <c r="T64" s="229"/>
    </row>
    <row r="65" spans="1:20" s="358" customFormat="1" ht="15.6" hidden="1">
      <c r="A65" s="58">
        <v>41425</v>
      </c>
      <c r="B65" s="59" t="s">
        <v>84</v>
      </c>
      <c r="C65" s="11">
        <f>SUM(D65:N65)</f>
        <v>0</v>
      </c>
      <c r="D65" s="250">
        <v>0</v>
      </c>
      <c r="E65" s="250">
        <v>0</v>
      </c>
      <c r="F65" s="251">
        <v>0</v>
      </c>
      <c r="G65" s="251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4" t="s">
        <v>211</v>
      </c>
      <c r="R65" s="395" t="s">
        <v>209</v>
      </c>
      <c r="S65" s="337">
        <f>IF(SUM(C65:C68)&gt;0,C65+C66+C68+C67,0)</f>
        <v>0</v>
      </c>
      <c r="T65" s="339">
        <f>IF(SUM(C65:C68)&lt;0,C65+C66+C68+C67,0)</f>
        <v>-1299.22</v>
      </c>
    </row>
    <row r="66" spans="1:20" s="358" customFormat="1" ht="15.6" hidden="1">
      <c r="A66" s="62"/>
      <c r="B66" s="59" t="s">
        <v>148</v>
      </c>
      <c r="C66" s="11">
        <f>SUM(D66:N66)</f>
        <v>0</v>
      </c>
      <c r="D66" s="251"/>
      <c r="E66" s="251">
        <v>0</v>
      </c>
      <c r="F66" s="251"/>
      <c r="G66" s="252"/>
      <c r="H66" s="60"/>
      <c r="I66" s="50"/>
      <c r="J66" s="87"/>
      <c r="K66" s="87"/>
      <c r="L66" s="50"/>
      <c r="M66" s="50"/>
      <c r="N66" s="50"/>
      <c r="O66" s="106"/>
      <c r="P66" s="50"/>
      <c r="Q66" s="349" t="s">
        <v>11</v>
      </c>
      <c r="R66" s="350" t="s">
        <v>62</v>
      </c>
      <c r="S66" s="337">
        <v>0</v>
      </c>
      <c r="T66" s="339">
        <v>0</v>
      </c>
    </row>
    <row r="67" spans="1:20" s="358" customFormat="1" ht="15.6" hidden="1">
      <c r="A67" s="62"/>
      <c r="B67" s="59" t="s">
        <v>144</v>
      </c>
      <c r="C67" s="11">
        <f>SUM(D67:N67)</f>
        <v>0</v>
      </c>
      <c r="D67" s="249">
        <v>0</v>
      </c>
      <c r="E67" s="249"/>
      <c r="F67" s="249"/>
      <c r="G67" s="251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42" t="s">
        <v>80</v>
      </c>
      <c r="R67" s="341" t="s">
        <v>59</v>
      </c>
      <c r="S67" s="112">
        <f>IF(SUM(C65)&lt;0,-C65,0)</f>
        <v>0</v>
      </c>
      <c r="T67" s="339">
        <f>IF(SUM(C65)&gt;0,-C65,0)</f>
        <v>0</v>
      </c>
    </row>
    <row r="68" spans="1:20" s="358" customFormat="1" ht="15.6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4" t="s">
        <v>154</v>
      </c>
      <c r="R68" s="341" t="s">
        <v>77</v>
      </c>
      <c r="S68" s="346">
        <v>0</v>
      </c>
      <c r="T68" s="339">
        <f>IF(SUM(C68)&gt;0,-C68,0)</f>
        <v>0</v>
      </c>
    </row>
    <row r="69" spans="1:20" s="358" customFormat="1" ht="16.2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5" t="s">
        <v>83</v>
      </c>
      <c r="R69" s="343" t="s">
        <v>78</v>
      </c>
      <c r="S69" s="116">
        <f>IF(SUM(C68)&lt;0,-C68,0)</f>
        <v>1299.22</v>
      </c>
      <c r="T69" s="393">
        <v>0</v>
      </c>
    </row>
    <row r="70" spans="1:20" s="358" customFormat="1" ht="15.6" hidden="1" thickTop="1">
      <c r="A70" s="53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40">
        <v>0</v>
      </c>
    </row>
    <row r="71" spans="1:20" s="358" customFormat="1" ht="15.6" hidden="1" thickBot="1">
      <c r="A71" s="53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</row>
    <row r="72" spans="1:20" s="358" customFormat="1" ht="15.6" hidden="1" thickBot="1">
      <c r="A72" s="53"/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38" t="s">
        <v>107</v>
      </c>
      <c r="R72" s="334"/>
      <c r="S72" s="334"/>
      <c r="T72" s="229"/>
    </row>
    <row r="73" spans="1:20" s="358" customFormat="1" ht="15.6" hidden="1">
      <c r="A73" s="58">
        <v>41426</v>
      </c>
      <c r="B73" s="59" t="s">
        <v>84</v>
      </c>
      <c r="C73" s="11">
        <f>SUM(D73:N73)</f>
        <v>0</v>
      </c>
      <c r="D73" s="250">
        <v>0</v>
      </c>
      <c r="E73" s="250">
        <v>0</v>
      </c>
      <c r="F73" s="251">
        <v>0</v>
      </c>
      <c r="G73" s="251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4" t="s">
        <v>211</v>
      </c>
      <c r="R73" s="395" t="s">
        <v>209</v>
      </c>
      <c r="S73" s="337">
        <f>IF(SUM(C73:C76)&gt;0,C73+C74+C76+C75,0)</f>
        <v>0</v>
      </c>
      <c r="T73" s="339">
        <f>IF(SUM(C73:C76)&lt;0,C73+C74+C76+C75,0)</f>
        <v>-1300.3</v>
      </c>
    </row>
    <row r="74" spans="1:20" s="358" customFormat="1" ht="15.6" hidden="1">
      <c r="A74" s="62"/>
      <c r="B74" s="59" t="s">
        <v>148</v>
      </c>
      <c r="C74" s="11">
        <f>SUM(D74:N74)</f>
        <v>0</v>
      </c>
      <c r="D74" s="251"/>
      <c r="E74" s="251">
        <v>0</v>
      </c>
      <c r="F74" s="251"/>
      <c r="G74" s="252"/>
      <c r="H74" s="60"/>
      <c r="I74" s="50"/>
      <c r="J74" s="87"/>
      <c r="K74" s="87"/>
      <c r="L74" s="50"/>
      <c r="M74" s="50"/>
      <c r="N74" s="50"/>
      <c r="O74" s="106"/>
      <c r="P74" s="50"/>
      <c r="Q74" s="349" t="s">
        <v>11</v>
      </c>
      <c r="R74" s="350" t="s">
        <v>62</v>
      </c>
      <c r="S74" s="337">
        <v>0</v>
      </c>
      <c r="T74" s="339">
        <v>0</v>
      </c>
    </row>
    <row r="75" spans="1:20" s="358" customFormat="1" ht="15.6" hidden="1">
      <c r="A75" s="62"/>
      <c r="B75" s="59" t="s">
        <v>144</v>
      </c>
      <c r="C75" s="11">
        <f>SUM(D75:N75)</f>
        <v>0</v>
      </c>
      <c r="D75" s="249">
        <v>0</v>
      </c>
      <c r="E75" s="249"/>
      <c r="F75" s="249"/>
      <c r="G75" s="251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42" t="s">
        <v>80</v>
      </c>
      <c r="R75" s="341" t="s">
        <v>59</v>
      </c>
      <c r="S75" s="112">
        <f>IF(SUM(C73)&lt;0,-C73,0)</f>
        <v>0</v>
      </c>
      <c r="T75" s="339">
        <f>IF(SUM(C73)&gt;0,-C73,0)</f>
        <v>0</v>
      </c>
    </row>
    <row r="76" spans="1:20" s="358" customFormat="1" ht="15.6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4" t="s">
        <v>154</v>
      </c>
      <c r="R76" s="341" t="s">
        <v>77</v>
      </c>
      <c r="S76" s="346">
        <v>0</v>
      </c>
      <c r="T76" s="339">
        <f>IF(SUM(C76)&gt;0,-C76,0)</f>
        <v>0</v>
      </c>
    </row>
    <row r="77" spans="1:20" s="358" customFormat="1" ht="16.2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5" t="s">
        <v>83</v>
      </c>
      <c r="R77" s="343" t="s">
        <v>78</v>
      </c>
      <c r="S77" s="116">
        <f>IF(SUM(C76)&lt;0,-C76,0)</f>
        <v>1300.3</v>
      </c>
      <c r="T77" s="393">
        <v>0</v>
      </c>
    </row>
    <row r="78" spans="1:20" s="358" customFormat="1" ht="15.6" thickTop="1">
      <c r="A78" s="53"/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40">
        <v>0</v>
      </c>
    </row>
    <row r="79" spans="1:20" s="358" customFormat="1" ht="16.2" thickBot="1">
      <c r="A79" s="366"/>
      <c r="B79" s="361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72"/>
      <c r="P79" s="318"/>
      <c r="Q79" s="373"/>
      <c r="R79" s="364"/>
      <c r="S79" s="371"/>
      <c r="T79" s="371"/>
    </row>
    <row r="80" spans="1:20" s="358" customFormat="1" ht="15.6" thickBot="1">
      <c r="A80" s="53"/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38" t="s">
        <v>107</v>
      </c>
      <c r="R80" s="334"/>
      <c r="S80" s="334"/>
      <c r="T80" s="229"/>
    </row>
    <row r="81" spans="1:20" s="358" customFormat="1" ht="15.6">
      <c r="A81" s="58">
        <v>41456</v>
      </c>
      <c r="B81" s="59" t="s">
        <v>84</v>
      </c>
      <c r="C81" s="11">
        <f>SUM(D81:N81)</f>
        <v>0</v>
      </c>
      <c r="D81" s="250">
        <v>0</v>
      </c>
      <c r="E81" s="250">
        <v>0</v>
      </c>
      <c r="F81" s="251">
        <v>0</v>
      </c>
      <c r="G81" s="251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4" t="s">
        <v>211</v>
      </c>
      <c r="R81" s="395" t="s">
        <v>209</v>
      </c>
      <c r="S81" s="337">
        <f>IF(SUM(C81:C84)&gt;0,C81+C82+C84+C83,0)</f>
        <v>0</v>
      </c>
      <c r="T81" s="339">
        <f>IF(SUM(C81:C84)&lt;0,C81+C82+C84+C83,0)</f>
        <v>-1301.3900000000001</v>
      </c>
    </row>
    <row r="82" spans="1:20" s="358" customFormat="1" ht="15.6">
      <c r="A82" s="62"/>
      <c r="B82" s="59" t="s">
        <v>148</v>
      </c>
      <c r="C82" s="11">
        <f>SUM(D82:N82)</f>
        <v>0</v>
      </c>
      <c r="D82" s="251"/>
      <c r="E82" s="251">
        <v>0</v>
      </c>
      <c r="F82" s="251"/>
      <c r="G82" s="252"/>
      <c r="H82" s="60"/>
      <c r="I82" s="50"/>
      <c r="J82" s="87"/>
      <c r="K82" s="87"/>
      <c r="L82" s="50"/>
      <c r="M82" s="50"/>
      <c r="N82" s="50"/>
      <c r="O82" s="106"/>
      <c r="P82" s="50"/>
      <c r="Q82" s="349" t="s">
        <v>11</v>
      </c>
      <c r="R82" s="350" t="s">
        <v>62</v>
      </c>
      <c r="S82" s="337">
        <v>0</v>
      </c>
      <c r="T82" s="339">
        <v>0</v>
      </c>
    </row>
    <row r="83" spans="1:20" s="358" customFormat="1" ht="15.6">
      <c r="A83" s="62"/>
      <c r="B83" s="59" t="s">
        <v>144</v>
      </c>
      <c r="C83" s="11">
        <f>SUM(D83:N83)</f>
        <v>0</v>
      </c>
      <c r="D83" s="249">
        <v>0</v>
      </c>
      <c r="E83" s="249"/>
      <c r="F83" s="249"/>
      <c r="G83" s="251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42" t="s">
        <v>80</v>
      </c>
      <c r="R83" s="341" t="s">
        <v>59</v>
      </c>
      <c r="S83" s="112">
        <f>IF(SUM(C81)&lt;0,-C81,0)</f>
        <v>0</v>
      </c>
      <c r="T83" s="339">
        <f>IF(SUM(C81)&gt;0,-C81,0)</f>
        <v>0</v>
      </c>
    </row>
    <row r="84" spans="1:20" s="358" customFormat="1" ht="15.6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4" t="s">
        <v>154</v>
      </c>
      <c r="R84" s="341" t="s">
        <v>77</v>
      </c>
      <c r="S84" s="346">
        <v>0</v>
      </c>
      <c r="T84" s="339">
        <f>IF(SUM(C84)&gt;0,-C84,0)</f>
        <v>0</v>
      </c>
    </row>
    <row r="85" spans="1:20" s="358" customFormat="1" ht="16.2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5" t="s">
        <v>83</v>
      </c>
      <c r="R85" s="343" t="s">
        <v>78</v>
      </c>
      <c r="S85" s="116">
        <f>IF(SUM(C84)&lt;0,-C84,0)</f>
        <v>1301.3900000000001</v>
      </c>
      <c r="T85" s="393">
        <v>0</v>
      </c>
    </row>
    <row r="86" spans="1:20" s="358" customFormat="1" ht="15.6" thickTop="1">
      <c r="A86" s="53"/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40">
        <v>0</v>
      </c>
    </row>
    <row r="87" spans="1:20" s="358" customFormat="1" ht="16.2" thickBot="1">
      <c r="A87" s="366"/>
      <c r="B87" s="361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72"/>
      <c r="P87" s="318"/>
      <c r="Q87" s="373"/>
      <c r="R87" s="364"/>
      <c r="S87" s="371"/>
      <c r="T87" s="371"/>
    </row>
    <row r="88" spans="1:20" s="358" customFormat="1" ht="15.6" thickBot="1">
      <c r="A88" s="53"/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38" t="s">
        <v>107</v>
      </c>
      <c r="R88" s="334"/>
      <c r="S88" s="334"/>
      <c r="T88" s="229"/>
    </row>
    <row r="89" spans="1:20" s="358" customFormat="1" ht="15.6">
      <c r="A89" s="58">
        <v>41487</v>
      </c>
      <c r="B89" s="59" t="s">
        <v>84</v>
      </c>
      <c r="C89" s="11">
        <f>SUM(D89:N89)</f>
        <v>0</v>
      </c>
      <c r="D89" s="250">
        <v>0</v>
      </c>
      <c r="E89" s="250">
        <v>0</v>
      </c>
      <c r="F89" s="251">
        <v>0</v>
      </c>
      <c r="G89" s="251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4" t="s">
        <v>211</v>
      </c>
      <c r="R89" s="395" t="s">
        <v>209</v>
      </c>
      <c r="S89" s="337">
        <f>IF(SUM(C89:C92)&gt;0,C89+C90+C92+C91,0)</f>
        <v>0</v>
      </c>
      <c r="T89" s="339">
        <f>IF(SUM(C89:C92)&lt;0,C89+C90+C92+C91,0)</f>
        <v>-1302.47</v>
      </c>
    </row>
    <row r="90" spans="1:20" s="358" customFormat="1" ht="15.6">
      <c r="A90" s="62"/>
      <c r="B90" s="59" t="s">
        <v>148</v>
      </c>
      <c r="C90" s="11">
        <f>SUM(D90:N90)</f>
        <v>0</v>
      </c>
      <c r="D90" s="251"/>
      <c r="E90" s="251">
        <v>0</v>
      </c>
      <c r="F90" s="251"/>
      <c r="G90" s="252"/>
      <c r="H90" s="60"/>
      <c r="I90" s="50"/>
      <c r="J90" s="87"/>
      <c r="K90" s="87"/>
      <c r="L90" s="50"/>
      <c r="M90" s="50"/>
      <c r="N90" s="50"/>
      <c r="O90" s="106"/>
      <c r="P90" s="50"/>
      <c r="Q90" s="349" t="s">
        <v>11</v>
      </c>
      <c r="R90" s="350" t="s">
        <v>62</v>
      </c>
      <c r="S90" s="337">
        <v>0</v>
      </c>
      <c r="T90" s="339">
        <v>0</v>
      </c>
    </row>
    <row r="91" spans="1:20" s="358" customFormat="1" ht="15.6">
      <c r="A91" s="62"/>
      <c r="B91" s="59" t="s">
        <v>144</v>
      </c>
      <c r="C91" s="11">
        <f>SUM(D91:N91)</f>
        <v>0</v>
      </c>
      <c r="D91" s="249">
        <v>0</v>
      </c>
      <c r="E91" s="249"/>
      <c r="F91" s="249"/>
      <c r="G91" s="251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42" t="s">
        <v>80</v>
      </c>
      <c r="R91" s="341" t="s">
        <v>59</v>
      </c>
      <c r="S91" s="112">
        <f>IF(SUM(C89)&lt;0,-C89,0)</f>
        <v>0</v>
      </c>
      <c r="T91" s="339">
        <f>IF(SUM(C89)&gt;0,-C89,0)</f>
        <v>0</v>
      </c>
    </row>
    <row r="92" spans="1:20" s="358" customFormat="1" ht="15.6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4" t="s">
        <v>154</v>
      </c>
      <c r="R92" s="341" t="s">
        <v>77</v>
      </c>
      <c r="S92" s="346">
        <v>0</v>
      </c>
      <c r="T92" s="339">
        <f>IF(SUM(C92)&gt;0,-C92,0)</f>
        <v>0</v>
      </c>
    </row>
    <row r="93" spans="1:20" s="358" customFormat="1" ht="16.2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5" t="s">
        <v>83</v>
      </c>
      <c r="R93" s="343" t="s">
        <v>78</v>
      </c>
      <c r="S93" s="116">
        <f>IF(SUM(C92)&lt;0,-C92,0)</f>
        <v>1302.47</v>
      </c>
      <c r="T93" s="393">
        <v>0</v>
      </c>
    </row>
    <row r="94" spans="1:20" s="358" customFormat="1" ht="15.6" thickTop="1">
      <c r="A94" s="53"/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40">
        <f>SUM(S89:T93)</f>
        <v>0</v>
      </c>
    </row>
    <row r="95" spans="1:20" s="358" customFormat="1" ht="16.2" thickBot="1">
      <c r="A95" s="374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73"/>
      <c r="R95" s="375"/>
      <c r="S95" s="371"/>
      <c r="T95" s="371"/>
    </row>
    <row r="96" spans="1:20" s="358" customFormat="1" ht="15.6" thickBot="1">
      <c r="A96" s="53"/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38" t="s">
        <v>107</v>
      </c>
      <c r="R96" s="334"/>
      <c r="S96" s="334"/>
      <c r="T96" s="229"/>
    </row>
    <row r="97" spans="1:20" s="358" customFormat="1" ht="15.6">
      <c r="A97" s="58">
        <v>41518</v>
      </c>
      <c r="B97" s="59" t="s">
        <v>84</v>
      </c>
      <c r="C97" s="11">
        <f>SUM(D97:N97)</f>
        <v>0</v>
      </c>
      <c r="D97" s="250">
        <v>0</v>
      </c>
      <c r="E97" s="250">
        <v>0</v>
      </c>
      <c r="F97" s="251">
        <v>0</v>
      </c>
      <c r="G97" s="251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4" t="s">
        <v>211</v>
      </c>
      <c r="R97" s="395" t="s">
        <v>209</v>
      </c>
      <c r="S97" s="337">
        <f>IF(SUM(C97:C100)&gt;0,C97+C98+C100+C99,0)</f>
        <v>0</v>
      </c>
      <c r="T97" s="339">
        <f>IF(SUM(C97:C100)&lt;0,C97+C98+C100+C99,0)</f>
        <v>-1303.56</v>
      </c>
    </row>
    <row r="98" spans="1:20" s="358" customFormat="1" ht="15.6">
      <c r="A98" s="62"/>
      <c r="B98" s="59" t="s">
        <v>148</v>
      </c>
      <c r="C98" s="11">
        <f>SUM(D98:N98)</f>
        <v>0</v>
      </c>
      <c r="D98" s="251"/>
      <c r="E98" s="251">
        <v>0</v>
      </c>
      <c r="F98" s="251"/>
      <c r="G98" s="252"/>
      <c r="H98" s="60"/>
      <c r="I98" s="50"/>
      <c r="J98" s="87"/>
      <c r="K98" s="87"/>
      <c r="L98" s="50"/>
      <c r="M98" s="50"/>
      <c r="N98" s="50"/>
      <c r="O98" s="106"/>
      <c r="P98" s="50"/>
      <c r="Q98" s="349" t="s">
        <v>11</v>
      </c>
      <c r="R98" s="350" t="s">
        <v>62</v>
      </c>
      <c r="S98" s="337">
        <v>0</v>
      </c>
      <c r="T98" s="339">
        <v>0</v>
      </c>
    </row>
    <row r="99" spans="1:20" s="358" customFormat="1" ht="15.6">
      <c r="A99" s="62"/>
      <c r="B99" s="59" t="s">
        <v>144</v>
      </c>
      <c r="C99" s="11">
        <f>SUM(D99:N99)</f>
        <v>0</v>
      </c>
      <c r="D99" s="249">
        <v>0</v>
      </c>
      <c r="E99" s="249"/>
      <c r="F99" s="249"/>
      <c r="G99" s="251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2" t="s">
        <v>80</v>
      </c>
      <c r="R99" s="341" t="s">
        <v>59</v>
      </c>
      <c r="S99" s="112">
        <f>IF(SUM(C97)&lt;0,-C97,0)</f>
        <v>0</v>
      </c>
      <c r="T99" s="339">
        <f>IF(SUM(C97)&gt;0,-C97,0)</f>
        <v>0</v>
      </c>
    </row>
    <row r="100" spans="1:20" s="358" customFormat="1" ht="15.6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4" t="s">
        <v>154</v>
      </c>
      <c r="R100" s="341" t="s">
        <v>77</v>
      </c>
      <c r="S100" s="346">
        <v>0</v>
      </c>
      <c r="T100" s="339">
        <f>IF(SUM(C100)&gt;0,-C100,0)</f>
        <v>0</v>
      </c>
    </row>
    <row r="101" spans="1:20" s="358" customFormat="1" ht="16.2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5" t="s">
        <v>83</v>
      </c>
      <c r="R101" s="343" t="s">
        <v>78</v>
      </c>
      <c r="S101" s="116">
        <f>IF(SUM(C100)&lt;0,-C100,0)</f>
        <v>1303.56</v>
      </c>
      <c r="T101" s="393">
        <v>0</v>
      </c>
    </row>
    <row r="102" spans="1:20" s="358" customFormat="1" ht="15.6" thickTop="1">
      <c r="A102" s="53"/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340">
        <f>SUM(S97:T101)</f>
        <v>0</v>
      </c>
    </row>
    <row r="103" spans="1:20" s="412" customFormat="1" ht="15.6">
      <c r="A103" s="461"/>
      <c r="B103" s="390" t="s">
        <v>226</v>
      </c>
      <c r="T103" s="437"/>
    </row>
    <row r="104" spans="1:20" s="358" customFormat="1">
      <c r="A104" s="357"/>
      <c r="T104" s="371"/>
    </row>
    <row r="105" spans="1:20" s="358" customFormat="1">
      <c r="A105" s="357"/>
      <c r="Q105" s="359"/>
      <c r="T105" s="371"/>
    </row>
    <row r="106" spans="1:20" s="358" customFormat="1" ht="15.6">
      <c r="A106" s="360"/>
      <c r="B106" s="361"/>
      <c r="C106" s="318"/>
      <c r="D106" s="354"/>
      <c r="E106" s="354"/>
      <c r="F106" s="355"/>
      <c r="G106" s="355"/>
      <c r="H106" s="318"/>
      <c r="I106" s="318"/>
      <c r="J106" s="318"/>
      <c r="K106" s="318"/>
      <c r="L106" s="318"/>
      <c r="M106" s="318"/>
      <c r="N106" s="318"/>
      <c r="O106" s="362"/>
      <c r="P106" s="318"/>
      <c r="Q106" s="363"/>
      <c r="R106" s="364"/>
      <c r="S106" s="365"/>
      <c r="T106" s="371"/>
    </row>
    <row r="107" spans="1:20" s="358" customFormat="1" ht="15.6">
      <c r="A107" s="366"/>
      <c r="B107" s="361"/>
      <c r="C107" s="318"/>
      <c r="D107" s="355"/>
      <c r="E107" s="355"/>
      <c r="F107" s="355"/>
      <c r="G107" s="356"/>
      <c r="H107" s="355"/>
      <c r="I107" s="318"/>
      <c r="J107" s="356"/>
      <c r="K107" s="356"/>
      <c r="L107" s="318"/>
      <c r="M107" s="318"/>
      <c r="N107" s="318"/>
      <c r="O107" s="362"/>
      <c r="P107" s="318"/>
      <c r="Q107" s="367"/>
      <c r="R107" s="368"/>
      <c r="S107" s="365"/>
      <c r="T107" s="371"/>
    </row>
    <row r="108" spans="1:20" s="358" customFormat="1" ht="15.6">
      <c r="A108" s="366"/>
      <c r="B108" s="361"/>
      <c r="C108" s="318"/>
      <c r="D108" s="318"/>
      <c r="E108" s="318"/>
      <c r="F108" s="318"/>
      <c r="G108" s="355"/>
      <c r="H108" s="369"/>
      <c r="I108" s="318"/>
      <c r="J108" s="356"/>
      <c r="K108" s="318"/>
      <c r="L108" s="318"/>
      <c r="M108" s="318"/>
      <c r="N108" s="318"/>
      <c r="O108" s="362"/>
      <c r="P108" s="318"/>
      <c r="Q108" s="370"/>
      <c r="R108" s="364"/>
      <c r="S108" s="371"/>
      <c r="T108" s="371"/>
    </row>
    <row r="109" spans="1:20" s="358" customFormat="1" ht="15.6">
      <c r="A109" s="366"/>
      <c r="B109" s="361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72"/>
      <c r="P109" s="318"/>
      <c r="Q109" s="373"/>
      <c r="R109" s="364"/>
      <c r="S109" s="371"/>
      <c r="T109" s="371"/>
    </row>
    <row r="110" spans="1:20" s="358" customFormat="1" ht="15.6">
      <c r="A110" s="374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73"/>
      <c r="R110" s="375"/>
      <c r="S110" s="371"/>
      <c r="T110" s="371"/>
    </row>
    <row r="111" spans="1:20" s="358" customFormat="1">
      <c r="A111" s="357"/>
      <c r="T111" s="371"/>
    </row>
    <row r="112" spans="1:20" s="358" customFormat="1">
      <c r="A112" s="357"/>
      <c r="T112" s="371"/>
    </row>
    <row r="113" spans="1:20" s="358" customFormat="1">
      <c r="A113" s="357"/>
      <c r="Q113" s="359"/>
      <c r="T113" s="371"/>
    </row>
    <row r="114" spans="1:20" s="358" customFormat="1" ht="15.6">
      <c r="A114" s="360"/>
      <c r="B114" s="361"/>
      <c r="C114" s="318"/>
      <c r="D114" s="354"/>
      <c r="E114" s="354"/>
      <c r="F114" s="355"/>
      <c r="G114" s="355"/>
      <c r="H114" s="318"/>
      <c r="I114" s="318"/>
      <c r="J114" s="318"/>
      <c r="K114" s="318"/>
      <c r="L114" s="318"/>
      <c r="M114" s="318"/>
      <c r="N114" s="318"/>
      <c r="O114" s="362"/>
      <c r="P114" s="318"/>
      <c r="Q114" s="363"/>
      <c r="R114" s="364"/>
      <c r="S114" s="365"/>
      <c r="T114" s="371"/>
    </row>
    <row r="115" spans="1:20" s="358" customFormat="1" ht="15.6">
      <c r="A115" s="366"/>
      <c r="B115" s="361"/>
      <c r="C115" s="318"/>
      <c r="D115" s="355"/>
      <c r="E115" s="355"/>
      <c r="F115" s="355"/>
      <c r="G115" s="356"/>
      <c r="H115" s="355"/>
      <c r="I115" s="318"/>
      <c r="J115" s="356"/>
      <c r="K115" s="356"/>
      <c r="L115" s="318"/>
      <c r="M115" s="318"/>
      <c r="N115" s="318"/>
      <c r="O115" s="362"/>
      <c r="P115" s="318"/>
      <c r="Q115" s="367"/>
      <c r="R115" s="368"/>
      <c r="S115" s="365"/>
      <c r="T115" s="371"/>
    </row>
    <row r="116" spans="1:20" s="358" customFormat="1" ht="15.6">
      <c r="A116" s="366"/>
      <c r="B116" s="361"/>
      <c r="C116" s="318"/>
      <c r="D116" s="318"/>
      <c r="E116" s="318"/>
      <c r="F116" s="318"/>
      <c r="G116" s="355"/>
      <c r="H116" s="369"/>
      <c r="I116" s="318"/>
      <c r="J116" s="356"/>
      <c r="K116" s="318"/>
      <c r="L116" s="318"/>
      <c r="M116" s="318"/>
      <c r="N116" s="318"/>
      <c r="O116" s="362"/>
      <c r="P116" s="318"/>
      <c r="Q116" s="370"/>
      <c r="R116" s="364"/>
      <c r="S116" s="371"/>
      <c r="T116" s="371"/>
    </row>
    <row r="117" spans="1:20" s="358" customFormat="1" ht="15.6">
      <c r="A117" s="366"/>
      <c r="B117" s="361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72"/>
      <c r="P117" s="318"/>
      <c r="Q117" s="373"/>
      <c r="R117" s="364"/>
      <c r="S117" s="371"/>
      <c r="T117" s="371"/>
    </row>
    <row r="118" spans="1:20" s="358" customFormat="1" ht="15.6">
      <c r="A118" s="374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73"/>
      <c r="R118" s="375"/>
      <c r="S118" s="371"/>
      <c r="T118" s="371"/>
    </row>
    <row r="119" spans="1:20" s="358" customFormat="1" ht="15.6">
      <c r="A119" s="374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73"/>
      <c r="R119" s="375"/>
      <c r="S119" s="371"/>
      <c r="T119" s="371"/>
    </row>
    <row r="120" spans="1:20" s="358" customFormat="1" ht="15.6">
      <c r="A120" s="374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73"/>
      <c r="R120" s="375"/>
      <c r="S120" s="371"/>
      <c r="T120" s="371"/>
    </row>
    <row r="121" spans="1:20" s="358" customFormat="1">
      <c r="A121" s="357"/>
      <c r="Q121" s="359"/>
      <c r="T121" s="371"/>
    </row>
    <row r="122" spans="1:20" s="358" customFormat="1" ht="15.6">
      <c r="A122" s="360"/>
      <c r="B122" s="361"/>
      <c r="C122" s="318"/>
      <c r="D122" s="354"/>
      <c r="E122" s="354"/>
      <c r="F122" s="355"/>
      <c r="G122" s="355"/>
      <c r="H122" s="318"/>
      <c r="I122" s="318"/>
      <c r="J122" s="318"/>
      <c r="K122" s="318"/>
      <c r="L122" s="318"/>
      <c r="M122" s="318"/>
      <c r="N122" s="318"/>
      <c r="O122" s="362"/>
      <c r="P122" s="318"/>
      <c r="Q122" s="363"/>
      <c r="R122" s="364"/>
      <c r="S122" s="365"/>
      <c r="T122" s="371"/>
    </row>
    <row r="123" spans="1:20" s="358" customFormat="1" ht="15.6">
      <c r="A123" s="366"/>
      <c r="B123" s="361"/>
      <c r="C123" s="318"/>
      <c r="D123" s="355"/>
      <c r="E123" s="355"/>
      <c r="F123" s="355"/>
      <c r="G123" s="356"/>
      <c r="H123" s="355"/>
      <c r="I123" s="318"/>
      <c r="J123" s="356"/>
      <c r="K123" s="356"/>
      <c r="L123" s="318"/>
      <c r="M123" s="318"/>
      <c r="N123" s="318"/>
      <c r="O123" s="362"/>
      <c r="P123" s="318"/>
      <c r="Q123" s="367"/>
      <c r="R123" s="368"/>
      <c r="S123" s="365"/>
      <c r="T123" s="371"/>
    </row>
    <row r="124" spans="1:20" s="358" customFormat="1" ht="15.6">
      <c r="A124" s="366"/>
      <c r="B124" s="361"/>
      <c r="C124" s="318"/>
      <c r="D124" s="318"/>
      <c r="E124" s="318"/>
      <c r="F124" s="318"/>
      <c r="G124" s="355"/>
      <c r="H124" s="369"/>
      <c r="I124" s="318"/>
      <c r="J124" s="356"/>
      <c r="K124" s="318"/>
      <c r="L124" s="318"/>
      <c r="M124" s="318"/>
      <c r="N124" s="318"/>
      <c r="O124" s="362"/>
      <c r="P124" s="318"/>
      <c r="Q124" s="370"/>
      <c r="R124" s="364"/>
      <c r="S124" s="371"/>
      <c r="T124" s="371"/>
    </row>
    <row r="125" spans="1:20" s="358" customFormat="1" ht="15.6">
      <c r="A125" s="366"/>
      <c r="B125" s="361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  <c r="O125" s="372"/>
      <c r="P125" s="318"/>
      <c r="Q125" s="373"/>
      <c r="R125" s="364"/>
      <c r="S125" s="371"/>
      <c r="T125" s="371"/>
    </row>
    <row r="126" spans="1:20" s="358" customFormat="1" ht="15.6">
      <c r="A126" s="374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73"/>
      <c r="R126" s="375"/>
      <c r="S126" s="371"/>
      <c r="T126" s="371"/>
    </row>
    <row r="127" spans="1:20" s="358" customFormat="1" ht="15.6">
      <c r="A127" s="374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18"/>
      <c r="P127" s="318"/>
      <c r="Q127" s="373"/>
      <c r="R127" s="375"/>
      <c r="S127" s="371"/>
      <c r="T127" s="371"/>
    </row>
    <row r="128" spans="1:20" s="358" customFormat="1" ht="15.6">
      <c r="A128" s="374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77"/>
      <c r="N128" s="378"/>
      <c r="O128" s="379"/>
      <c r="P128" s="318"/>
      <c r="Q128" s="373"/>
      <c r="R128" s="375"/>
      <c r="S128" s="371"/>
      <c r="T128" s="371"/>
    </row>
    <row r="129" spans="1:20" s="358" customFormat="1" ht="15.6">
      <c r="A129" s="374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77"/>
      <c r="N129" s="378"/>
      <c r="P129" s="318"/>
      <c r="Q129" s="373"/>
      <c r="R129" s="375"/>
      <c r="S129" s="371"/>
      <c r="T129" s="371"/>
    </row>
    <row r="130" spans="1:20" s="358" customFormat="1" ht="15.6">
      <c r="A130" s="374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77"/>
      <c r="N130" s="378"/>
      <c r="P130" s="318"/>
      <c r="Q130" s="373"/>
      <c r="R130" s="375"/>
      <c r="S130" s="371"/>
      <c r="T130" s="371"/>
    </row>
    <row r="131" spans="1:20" s="358" customFormat="1" ht="15.6">
      <c r="A131" s="374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73"/>
      <c r="R131" s="375"/>
      <c r="S131" s="371"/>
      <c r="T131" s="371"/>
    </row>
    <row r="132" spans="1:20" s="358" customFormat="1">
      <c r="A132" s="357"/>
      <c r="Q132" s="359"/>
      <c r="T132" s="371"/>
    </row>
    <row r="133" spans="1:20" s="358" customFormat="1" ht="15.6">
      <c r="A133" s="360"/>
      <c r="B133" s="361"/>
      <c r="C133" s="318"/>
      <c r="D133" s="354"/>
      <c r="E133" s="354"/>
      <c r="F133" s="355"/>
      <c r="G133" s="355"/>
      <c r="H133" s="318"/>
      <c r="I133" s="318"/>
      <c r="J133" s="318"/>
      <c r="K133" s="318"/>
      <c r="L133" s="318"/>
      <c r="M133" s="318"/>
      <c r="N133" s="318"/>
      <c r="O133" s="362"/>
      <c r="P133" s="318"/>
      <c r="Q133" s="363"/>
      <c r="R133" s="364"/>
      <c r="S133" s="365"/>
      <c r="T133" s="371"/>
    </row>
    <row r="134" spans="1:20" s="358" customFormat="1" ht="15.6">
      <c r="A134" s="366"/>
      <c r="B134" s="361"/>
      <c r="C134" s="318"/>
      <c r="D134" s="355"/>
      <c r="E134" s="355"/>
      <c r="F134" s="355"/>
      <c r="G134" s="356"/>
      <c r="H134" s="355"/>
      <c r="I134" s="318"/>
      <c r="J134" s="356"/>
      <c r="K134" s="356"/>
      <c r="L134" s="318"/>
      <c r="M134" s="318"/>
      <c r="N134" s="318"/>
      <c r="O134" s="362"/>
      <c r="P134" s="318"/>
      <c r="Q134" s="367"/>
      <c r="R134" s="368"/>
      <c r="S134" s="365"/>
      <c r="T134" s="371"/>
    </row>
    <row r="135" spans="1:20" s="358" customFormat="1" ht="15.6">
      <c r="A135" s="366"/>
      <c r="B135" s="361"/>
      <c r="C135" s="318"/>
      <c r="D135" s="318"/>
      <c r="E135" s="318"/>
      <c r="F135" s="318"/>
      <c r="G135" s="355"/>
      <c r="H135" s="369"/>
      <c r="I135" s="318"/>
      <c r="J135" s="356"/>
      <c r="K135" s="318"/>
      <c r="L135" s="318"/>
      <c r="M135" s="318"/>
      <c r="N135" s="318"/>
      <c r="O135" s="362"/>
      <c r="P135" s="318"/>
      <c r="Q135" s="370"/>
      <c r="R135" s="364"/>
      <c r="S135" s="371"/>
      <c r="T135" s="371"/>
    </row>
    <row r="136" spans="1:20" s="358" customFormat="1" ht="15.6">
      <c r="A136" s="366"/>
      <c r="B136" s="361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72"/>
      <c r="P136" s="318"/>
      <c r="Q136" s="373"/>
      <c r="R136" s="364"/>
      <c r="S136" s="371"/>
      <c r="T136" s="371"/>
    </row>
    <row r="137" spans="1:20" s="358" customFormat="1" ht="15.6">
      <c r="A137" s="374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73"/>
      <c r="R137" s="375"/>
      <c r="S137" s="371"/>
      <c r="T137" s="371"/>
    </row>
    <row r="138" spans="1:20" s="358" customFormat="1">
      <c r="A138" s="357"/>
      <c r="T138" s="371"/>
    </row>
    <row r="139" spans="1:20" s="358" customFormat="1">
      <c r="A139" s="357"/>
      <c r="Q139" s="359"/>
      <c r="T139" s="371"/>
    </row>
    <row r="140" spans="1:20" s="358" customFormat="1">
      <c r="A140" s="357"/>
      <c r="Q140" s="363"/>
      <c r="R140" s="364"/>
      <c r="S140" s="380"/>
      <c r="T140" s="371"/>
    </row>
    <row r="141" spans="1:20" s="358" customFormat="1">
      <c r="A141" s="357"/>
      <c r="Q141" s="367"/>
      <c r="R141" s="368"/>
      <c r="S141" s="380"/>
      <c r="T141" s="371"/>
    </row>
    <row r="142" spans="1:20" s="358" customFormat="1">
      <c r="A142" s="357"/>
      <c r="Q142" s="370"/>
      <c r="R142" s="364"/>
      <c r="S142" s="363"/>
      <c r="T142" s="371"/>
    </row>
    <row r="143" spans="1:20" s="358" customFormat="1">
      <c r="A143" s="357"/>
      <c r="Q143" s="373"/>
      <c r="R143" s="364"/>
      <c r="S143" s="363"/>
      <c r="T143" s="371"/>
    </row>
    <row r="144" spans="1:20" s="358" customFormat="1">
      <c r="A144" s="357"/>
      <c r="Q144" s="373"/>
      <c r="R144" s="375"/>
      <c r="S144" s="363"/>
      <c r="T144" s="371"/>
    </row>
    <row r="145" spans="1:20" s="358" customFormat="1">
      <c r="A145" s="357"/>
      <c r="T145" s="371"/>
    </row>
    <row r="146" spans="1:20" s="358" customFormat="1">
      <c r="A146" s="357"/>
      <c r="Q146" s="359"/>
      <c r="T146" s="371"/>
    </row>
    <row r="147" spans="1:20" s="358" customFormat="1">
      <c r="A147" s="357"/>
      <c r="Q147" s="363"/>
      <c r="R147" s="364"/>
      <c r="S147" s="365"/>
      <c r="T147" s="371"/>
    </row>
    <row r="148" spans="1:20" s="358" customFormat="1">
      <c r="A148" s="357"/>
      <c r="Q148" s="367"/>
      <c r="R148" s="368"/>
      <c r="S148" s="365"/>
      <c r="T148" s="371"/>
    </row>
    <row r="149" spans="1:20" s="358" customFormat="1">
      <c r="A149" s="357"/>
      <c r="Q149" s="370"/>
      <c r="R149" s="364"/>
      <c r="S149" s="371"/>
      <c r="T149" s="371"/>
    </row>
    <row r="150" spans="1:20" s="358" customFormat="1">
      <c r="A150" s="357"/>
      <c r="N150" s="381"/>
      <c r="Q150" s="373"/>
      <c r="R150" s="364"/>
      <c r="S150" s="371"/>
      <c r="T150" s="371"/>
    </row>
    <row r="151" spans="1:20" s="358" customFormat="1">
      <c r="A151" s="357"/>
      <c r="Q151" s="373"/>
      <c r="R151" s="375"/>
      <c r="S151" s="371"/>
      <c r="T151" s="371"/>
    </row>
    <row r="152" spans="1:20" s="358" customFormat="1">
      <c r="A152" s="357"/>
      <c r="T152" s="371"/>
    </row>
    <row r="153" spans="1:20" s="358" customFormat="1">
      <c r="A153" s="357"/>
      <c r="Q153" s="359"/>
      <c r="T153" s="371"/>
    </row>
    <row r="154" spans="1:20" s="358" customFormat="1" ht="15.6">
      <c r="A154" s="360"/>
      <c r="B154" s="361"/>
      <c r="C154" s="318"/>
      <c r="D154" s="354"/>
      <c r="E154" s="354"/>
      <c r="F154" s="355"/>
      <c r="G154" s="355"/>
      <c r="H154" s="318"/>
      <c r="I154" s="318"/>
      <c r="J154" s="318"/>
      <c r="K154" s="318"/>
      <c r="L154" s="318"/>
      <c r="M154" s="318"/>
      <c r="N154" s="318"/>
      <c r="O154" s="362"/>
      <c r="P154" s="318"/>
      <c r="Q154" s="363"/>
      <c r="R154" s="364"/>
      <c r="S154" s="365"/>
      <c r="T154" s="371"/>
    </row>
    <row r="155" spans="1:20" s="358" customFormat="1" ht="15.6">
      <c r="A155" s="366"/>
      <c r="B155" s="361"/>
      <c r="C155" s="318"/>
      <c r="D155" s="355"/>
      <c r="E155" s="355"/>
      <c r="F155" s="355"/>
      <c r="G155" s="356"/>
      <c r="H155" s="355"/>
      <c r="I155" s="318"/>
      <c r="J155" s="356"/>
      <c r="K155" s="356"/>
      <c r="L155" s="318"/>
      <c r="M155" s="318"/>
      <c r="N155" s="318"/>
      <c r="O155" s="362"/>
      <c r="P155" s="318"/>
      <c r="Q155" s="367"/>
      <c r="R155" s="368"/>
      <c r="S155" s="365"/>
      <c r="T155" s="371"/>
    </row>
    <row r="156" spans="1:20" s="358" customFormat="1" ht="15.6">
      <c r="A156" s="366"/>
      <c r="B156" s="361"/>
      <c r="C156" s="318"/>
      <c r="D156" s="318"/>
      <c r="E156" s="318"/>
      <c r="F156" s="318"/>
      <c r="G156" s="355"/>
      <c r="H156" s="369"/>
      <c r="I156" s="318"/>
      <c r="J156" s="356"/>
      <c r="K156" s="318"/>
      <c r="L156" s="318"/>
      <c r="M156" s="318"/>
      <c r="N156" s="318"/>
      <c r="O156" s="362"/>
      <c r="P156" s="318"/>
      <c r="Q156" s="370"/>
      <c r="R156" s="364"/>
      <c r="S156" s="371"/>
      <c r="T156" s="371"/>
    </row>
    <row r="157" spans="1:20" s="358" customFormat="1" ht="15.6">
      <c r="A157" s="366"/>
      <c r="B157" s="361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72"/>
      <c r="P157" s="318"/>
      <c r="Q157" s="373"/>
      <c r="R157" s="364"/>
      <c r="S157" s="371"/>
      <c r="T157" s="371"/>
    </row>
    <row r="158" spans="1:20" s="358" customFormat="1" ht="15.6">
      <c r="A158" s="374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73"/>
      <c r="R158" s="375"/>
      <c r="S158" s="371"/>
      <c r="T158" s="371"/>
    </row>
    <row r="159" spans="1:20" s="358" customFormat="1">
      <c r="A159" s="357"/>
      <c r="T159" s="371"/>
    </row>
    <row r="160" spans="1:20" s="358" customFormat="1">
      <c r="A160" s="357"/>
      <c r="Q160" s="359"/>
      <c r="T160" s="371"/>
    </row>
    <row r="161" spans="1:20" s="358" customFormat="1" ht="15.6">
      <c r="A161" s="360"/>
      <c r="B161" s="361"/>
      <c r="C161" s="318"/>
      <c r="D161" s="354"/>
      <c r="E161" s="354"/>
      <c r="F161" s="355"/>
      <c r="G161" s="355"/>
      <c r="H161" s="318"/>
      <c r="I161" s="318"/>
      <c r="J161" s="318"/>
      <c r="K161" s="318"/>
      <c r="L161" s="318"/>
      <c r="M161" s="318"/>
      <c r="N161" s="318"/>
      <c r="O161" s="362"/>
      <c r="P161" s="318"/>
      <c r="Q161" s="363"/>
      <c r="R161" s="364"/>
      <c r="S161" s="365"/>
      <c r="T161" s="371"/>
    </row>
    <row r="162" spans="1:20" s="358" customFormat="1" ht="15.6">
      <c r="A162" s="366"/>
      <c r="B162" s="361"/>
      <c r="C162" s="318"/>
      <c r="D162" s="355"/>
      <c r="E162" s="355"/>
      <c r="F162" s="355"/>
      <c r="G162" s="356"/>
      <c r="H162" s="355"/>
      <c r="I162" s="318"/>
      <c r="J162" s="356"/>
      <c r="K162" s="356"/>
      <c r="L162" s="318"/>
      <c r="M162" s="318"/>
      <c r="N162" s="318"/>
      <c r="O162" s="362"/>
      <c r="P162" s="318"/>
      <c r="Q162" s="367"/>
      <c r="R162" s="368"/>
      <c r="S162" s="365"/>
      <c r="T162" s="371"/>
    </row>
    <row r="163" spans="1:20" s="358" customFormat="1" ht="15.6">
      <c r="A163" s="366"/>
      <c r="B163" s="361"/>
      <c r="C163" s="318"/>
      <c r="D163" s="318"/>
      <c r="E163" s="318"/>
      <c r="F163" s="318"/>
      <c r="G163" s="355"/>
      <c r="H163" s="369"/>
      <c r="I163" s="318"/>
      <c r="J163" s="356"/>
      <c r="K163" s="318"/>
      <c r="L163" s="318"/>
      <c r="M163" s="318"/>
      <c r="N163" s="318"/>
      <c r="O163" s="362"/>
      <c r="P163" s="318"/>
      <c r="Q163" s="370"/>
      <c r="R163" s="364"/>
      <c r="S163" s="371"/>
      <c r="T163" s="371"/>
    </row>
    <row r="164" spans="1:20" s="358" customFormat="1" ht="15.6">
      <c r="A164" s="366"/>
      <c r="B164" s="361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72"/>
      <c r="P164" s="318"/>
      <c r="Q164" s="373"/>
      <c r="R164" s="364"/>
      <c r="S164" s="371"/>
      <c r="T164" s="371"/>
    </row>
    <row r="165" spans="1:20" s="358" customFormat="1" ht="15.6">
      <c r="A165" s="374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73"/>
      <c r="R165" s="375"/>
      <c r="S165" s="371"/>
      <c r="T165" s="371"/>
    </row>
    <row r="166" spans="1:20" s="358" customFormat="1">
      <c r="A166" s="357"/>
      <c r="T166" s="371"/>
    </row>
    <row r="167" spans="1:20" s="358" customFormat="1" ht="15.6">
      <c r="A167" s="360"/>
      <c r="Q167" s="359"/>
      <c r="T167" s="371"/>
    </row>
    <row r="168" spans="1:20" s="358" customFormat="1" ht="15.6">
      <c r="A168" s="360"/>
      <c r="B168" s="361"/>
      <c r="C168" s="318"/>
      <c r="D168" s="354"/>
      <c r="E168" s="354"/>
      <c r="F168" s="355"/>
      <c r="G168" s="355"/>
      <c r="H168" s="318"/>
      <c r="I168" s="318"/>
      <c r="J168" s="318"/>
      <c r="K168" s="318"/>
      <c r="L168" s="318"/>
      <c r="M168" s="318"/>
      <c r="N168" s="318"/>
      <c r="O168" s="362"/>
      <c r="P168" s="318"/>
      <c r="Q168" s="363"/>
      <c r="R168" s="364"/>
      <c r="S168" s="365"/>
      <c r="T168" s="371"/>
    </row>
    <row r="169" spans="1:20" s="358" customFormat="1" ht="15.6">
      <c r="A169" s="366"/>
      <c r="B169" s="361"/>
      <c r="C169" s="318"/>
      <c r="D169" s="355"/>
      <c r="E169" s="355"/>
      <c r="F169" s="355"/>
      <c r="G169" s="356"/>
      <c r="H169" s="355"/>
      <c r="I169" s="318"/>
      <c r="J169" s="356"/>
      <c r="K169" s="356"/>
      <c r="L169" s="318"/>
      <c r="M169" s="318"/>
      <c r="N169" s="318"/>
      <c r="O169" s="362"/>
      <c r="P169" s="318"/>
      <c r="Q169" s="367"/>
      <c r="R169" s="368"/>
      <c r="S169" s="365"/>
      <c r="T169" s="371"/>
    </row>
    <row r="170" spans="1:20" s="358" customFormat="1" ht="15.6">
      <c r="A170" s="366"/>
      <c r="B170" s="361"/>
      <c r="C170" s="318"/>
      <c r="D170" s="318"/>
      <c r="E170" s="318"/>
      <c r="F170" s="318"/>
      <c r="G170" s="355"/>
      <c r="H170" s="369"/>
      <c r="I170" s="318"/>
      <c r="J170" s="356"/>
      <c r="K170" s="318"/>
      <c r="L170" s="318"/>
      <c r="M170" s="318"/>
      <c r="N170" s="318"/>
      <c r="O170" s="362"/>
      <c r="P170" s="318"/>
      <c r="Q170" s="370"/>
      <c r="R170" s="364"/>
      <c r="S170" s="371"/>
      <c r="T170" s="371"/>
    </row>
    <row r="171" spans="1:20" s="358" customFormat="1" ht="15.6">
      <c r="A171" s="366"/>
      <c r="B171" s="361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72"/>
      <c r="P171" s="318"/>
      <c r="Q171" s="373"/>
      <c r="R171" s="364"/>
      <c r="S171" s="371"/>
      <c r="T171" s="371"/>
    </row>
    <row r="172" spans="1:20" s="358" customFormat="1" ht="15.6">
      <c r="A172" s="374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73"/>
      <c r="R172" s="375"/>
      <c r="S172" s="371"/>
      <c r="T172" s="371"/>
    </row>
    <row r="173" spans="1:20" s="358" customFormat="1">
      <c r="A173" s="357"/>
      <c r="T173" s="371"/>
    </row>
    <row r="174" spans="1:20" s="358" customFormat="1" ht="15.6">
      <c r="A174" s="360"/>
      <c r="Q174" s="359"/>
      <c r="T174" s="371"/>
    </row>
    <row r="175" spans="1:20" s="358" customFormat="1" ht="15.6">
      <c r="A175" s="360"/>
      <c r="B175" s="361"/>
      <c r="C175" s="318"/>
      <c r="D175" s="354"/>
      <c r="E175" s="354"/>
      <c r="F175" s="355"/>
      <c r="G175" s="355"/>
      <c r="H175" s="318"/>
      <c r="I175" s="318"/>
      <c r="J175" s="318"/>
      <c r="K175" s="318"/>
      <c r="L175" s="318"/>
      <c r="M175" s="318"/>
      <c r="N175" s="318"/>
      <c r="O175" s="362"/>
      <c r="P175" s="318"/>
      <c r="Q175" s="363"/>
      <c r="R175" s="364"/>
      <c r="S175" s="365"/>
      <c r="T175" s="371"/>
    </row>
    <row r="176" spans="1:20" s="358" customFormat="1" ht="15.6">
      <c r="A176" s="366"/>
      <c r="B176" s="361"/>
      <c r="C176" s="318"/>
      <c r="D176" s="355"/>
      <c r="E176" s="355"/>
      <c r="F176" s="355"/>
      <c r="G176" s="356"/>
      <c r="H176" s="355"/>
      <c r="I176" s="318"/>
      <c r="J176" s="356"/>
      <c r="K176" s="356"/>
      <c r="L176" s="318"/>
      <c r="M176" s="318"/>
      <c r="N176" s="318"/>
      <c r="O176" s="362"/>
      <c r="P176" s="318"/>
      <c r="Q176" s="367"/>
      <c r="R176" s="368"/>
      <c r="S176" s="365"/>
      <c r="T176" s="371"/>
    </row>
    <row r="177" spans="1:20" s="358" customFormat="1" ht="15.6">
      <c r="A177" s="366"/>
      <c r="B177" s="361"/>
      <c r="C177" s="318"/>
      <c r="D177" s="318"/>
      <c r="E177" s="318"/>
      <c r="F177" s="318"/>
      <c r="G177" s="355"/>
      <c r="H177" s="369"/>
      <c r="I177" s="318"/>
      <c r="J177" s="356"/>
      <c r="K177" s="318"/>
      <c r="L177" s="318"/>
      <c r="M177" s="318"/>
      <c r="N177" s="318"/>
      <c r="O177" s="362"/>
      <c r="P177" s="318"/>
      <c r="Q177" s="370"/>
      <c r="R177" s="364"/>
      <c r="S177" s="371"/>
      <c r="T177" s="371"/>
    </row>
    <row r="178" spans="1:20" s="358" customFormat="1" ht="15.6">
      <c r="A178" s="366"/>
      <c r="B178" s="361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318"/>
      <c r="O178" s="372"/>
      <c r="P178" s="318"/>
      <c r="Q178" s="373"/>
      <c r="R178" s="364"/>
      <c r="S178" s="371"/>
      <c r="T178" s="371"/>
    </row>
    <row r="179" spans="1:20" s="358" customFormat="1" ht="15.6">
      <c r="A179" s="374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73"/>
      <c r="R179" s="375"/>
      <c r="S179" s="371"/>
      <c r="T179" s="371"/>
    </row>
    <row r="180" spans="1:20" s="358" customFormat="1">
      <c r="A180" s="357"/>
      <c r="T180" s="371"/>
    </row>
    <row r="181" spans="1:20" s="358" customFormat="1">
      <c r="A181" s="357"/>
      <c r="T181" s="371"/>
    </row>
    <row r="182" spans="1:20" s="358" customFormat="1">
      <c r="A182" s="357"/>
      <c r="T182" s="371"/>
    </row>
    <row r="183" spans="1:20" s="358" customFormat="1">
      <c r="A183" s="357"/>
      <c r="T183" s="371"/>
    </row>
    <row r="184" spans="1:20" s="358" customFormat="1">
      <c r="A184" s="357"/>
      <c r="T184" s="371"/>
    </row>
    <row r="185" spans="1:20" s="358" customFormat="1">
      <c r="A185" s="357"/>
      <c r="T185" s="371"/>
    </row>
    <row r="186" spans="1:20" s="358" customFormat="1">
      <c r="A186" s="357"/>
      <c r="T186" s="371"/>
    </row>
    <row r="187" spans="1:20" s="358" customFormat="1">
      <c r="A187" s="357"/>
      <c r="T187" s="371"/>
    </row>
    <row r="188" spans="1:20" s="358" customFormat="1">
      <c r="A188" s="357"/>
      <c r="T188" s="371"/>
    </row>
    <row r="189" spans="1:20" s="358" customFormat="1">
      <c r="A189" s="357"/>
      <c r="T189" s="371"/>
    </row>
    <row r="190" spans="1:20" s="358" customFormat="1">
      <c r="A190" s="357"/>
      <c r="T190" s="371"/>
    </row>
    <row r="191" spans="1:20" s="358" customFormat="1">
      <c r="A191" s="357"/>
      <c r="T191" s="371"/>
    </row>
    <row r="192" spans="1:20" s="358" customFormat="1">
      <c r="A192" s="357"/>
      <c r="T192" s="371"/>
    </row>
    <row r="193" spans="1:20" s="358" customFormat="1">
      <c r="A193" s="357"/>
      <c r="T193" s="371"/>
    </row>
    <row r="194" spans="1:20" s="358" customFormat="1">
      <c r="A194" s="357"/>
      <c r="T194" s="371"/>
    </row>
    <row r="195" spans="1:20" s="358" customFormat="1">
      <c r="A195" s="357"/>
      <c r="T195" s="371"/>
    </row>
    <row r="196" spans="1:20" s="358" customFormat="1">
      <c r="A196" s="357"/>
      <c r="T196" s="371"/>
    </row>
    <row r="197" spans="1:20" s="358" customFormat="1">
      <c r="A197" s="357"/>
      <c r="T197" s="371"/>
    </row>
    <row r="198" spans="1:20" s="358" customFormat="1">
      <c r="A198" s="357"/>
      <c r="T198" s="371"/>
    </row>
    <row r="199" spans="1:20" s="358" customFormat="1">
      <c r="A199" s="357"/>
      <c r="T199" s="371"/>
    </row>
    <row r="200" spans="1:20" s="358" customFormat="1">
      <c r="A200" s="357"/>
      <c r="T200" s="371"/>
    </row>
    <row r="201" spans="1:20" s="358" customFormat="1">
      <c r="A201" s="357"/>
      <c r="T201" s="371"/>
    </row>
    <row r="202" spans="1:20" s="358" customFormat="1">
      <c r="A202" s="357"/>
      <c r="T202" s="371"/>
    </row>
    <row r="203" spans="1:20" s="358" customFormat="1">
      <c r="A203" s="357"/>
      <c r="T203" s="371"/>
    </row>
    <row r="204" spans="1:20" s="358" customFormat="1">
      <c r="A204" s="357"/>
      <c r="T204" s="371"/>
    </row>
    <row r="205" spans="1:20" s="358" customFormat="1">
      <c r="A205" s="357"/>
      <c r="T205" s="371"/>
    </row>
    <row r="206" spans="1:20" s="358" customFormat="1">
      <c r="A206" s="357"/>
      <c r="T206" s="371"/>
    </row>
    <row r="207" spans="1:20" s="358" customFormat="1">
      <c r="A207" s="357"/>
      <c r="T207" s="371"/>
    </row>
    <row r="208" spans="1:20" s="358" customFormat="1">
      <c r="A208" s="357"/>
      <c r="T208" s="371"/>
    </row>
    <row r="209" spans="1:20" s="358" customFormat="1">
      <c r="A209" s="357"/>
      <c r="T209" s="371"/>
    </row>
    <row r="210" spans="1:20" s="358" customFormat="1">
      <c r="A210" s="357"/>
      <c r="T210" s="371"/>
    </row>
    <row r="211" spans="1:20" s="358" customFormat="1">
      <c r="A211" s="357"/>
      <c r="T211" s="371"/>
    </row>
    <row r="212" spans="1:20" s="358" customFormat="1">
      <c r="A212" s="357"/>
      <c r="T212" s="371"/>
    </row>
    <row r="213" spans="1:20" s="358" customFormat="1">
      <c r="A213" s="357"/>
      <c r="T213" s="371"/>
    </row>
    <row r="214" spans="1:20" s="358" customFormat="1">
      <c r="A214" s="357"/>
      <c r="T214" s="371"/>
    </row>
    <row r="215" spans="1:20" s="358" customFormat="1">
      <c r="A215" s="357"/>
      <c r="T215" s="371"/>
    </row>
    <row r="216" spans="1:20" s="358" customFormat="1">
      <c r="A216" s="357"/>
      <c r="T216" s="371"/>
    </row>
    <row r="217" spans="1:20" s="358" customFormat="1">
      <c r="A217" s="357"/>
      <c r="T217" s="371"/>
    </row>
    <row r="218" spans="1:20" s="358" customFormat="1">
      <c r="A218" s="357"/>
      <c r="T218" s="371"/>
    </row>
    <row r="219" spans="1:20" s="358" customFormat="1">
      <c r="A219" s="357"/>
      <c r="T219" s="371"/>
    </row>
    <row r="220" spans="1:20" s="358" customFormat="1">
      <c r="A220" s="357"/>
      <c r="T220" s="371"/>
    </row>
    <row r="221" spans="1:20" s="358" customFormat="1">
      <c r="A221" s="357"/>
      <c r="T221" s="371"/>
    </row>
    <row r="222" spans="1:20" s="358" customFormat="1">
      <c r="A222" s="357"/>
      <c r="T222" s="371"/>
    </row>
    <row r="223" spans="1:20" s="358" customFormat="1">
      <c r="A223" s="357"/>
      <c r="T223" s="371"/>
    </row>
    <row r="224" spans="1:20" s="358" customFormat="1">
      <c r="A224" s="357"/>
      <c r="T224" s="371"/>
    </row>
    <row r="225" spans="1:20" s="358" customFormat="1">
      <c r="A225" s="357"/>
      <c r="T225" s="371"/>
    </row>
    <row r="226" spans="1:20" s="358" customFormat="1">
      <c r="A226" s="357"/>
      <c r="T226" s="371"/>
    </row>
    <row r="227" spans="1:20" s="358" customFormat="1">
      <c r="A227" s="357"/>
      <c r="T227" s="371"/>
    </row>
    <row r="228" spans="1:20" s="358" customFormat="1">
      <c r="A228" s="357"/>
      <c r="T228" s="371"/>
    </row>
    <row r="229" spans="1:20" s="358" customFormat="1">
      <c r="A229" s="357"/>
      <c r="T229" s="371"/>
    </row>
    <row r="230" spans="1:20" s="358" customFormat="1">
      <c r="A230" s="357"/>
      <c r="T230" s="371"/>
    </row>
    <row r="231" spans="1:20" s="358" customFormat="1">
      <c r="A231" s="357"/>
      <c r="T231" s="371"/>
    </row>
    <row r="232" spans="1:20" s="358" customFormat="1">
      <c r="A232" s="357"/>
      <c r="T232" s="371"/>
    </row>
    <row r="233" spans="1:20" s="358" customFormat="1">
      <c r="A233" s="357"/>
      <c r="T233" s="371"/>
    </row>
    <row r="234" spans="1:20" s="358" customFormat="1">
      <c r="A234" s="357"/>
      <c r="T234" s="371"/>
    </row>
    <row r="235" spans="1:20" s="358" customFormat="1">
      <c r="A235" s="357"/>
      <c r="T235" s="371"/>
    </row>
    <row r="236" spans="1:20" s="358" customFormat="1">
      <c r="A236" s="357"/>
      <c r="T236" s="371"/>
    </row>
    <row r="237" spans="1:20" s="358" customFormat="1">
      <c r="A237" s="357"/>
      <c r="T237" s="371"/>
    </row>
    <row r="238" spans="1:20" s="358" customFormat="1">
      <c r="A238" s="357"/>
      <c r="T238" s="371"/>
    </row>
    <row r="239" spans="1:20" s="358" customFormat="1">
      <c r="A239" s="357"/>
      <c r="T239" s="371"/>
    </row>
    <row r="240" spans="1:20" s="358" customFormat="1">
      <c r="A240" s="357"/>
      <c r="T240" s="371"/>
    </row>
    <row r="241" spans="1:20" s="358" customFormat="1">
      <c r="A241" s="357"/>
      <c r="T241" s="371"/>
    </row>
    <row r="242" spans="1:20" s="358" customFormat="1">
      <c r="A242" s="357"/>
      <c r="T242" s="371"/>
    </row>
    <row r="243" spans="1:20" s="358" customFormat="1">
      <c r="A243" s="357"/>
      <c r="T243" s="371"/>
    </row>
    <row r="244" spans="1:20" s="358" customFormat="1">
      <c r="A244" s="357"/>
      <c r="T244" s="371"/>
    </row>
    <row r="245" spans="1:20" s="358" customFormat="1">
      <c r="A245" s="357"/>
      <c r="T245" s="371"/>
    </row>
    <row r="246" spans="1:20" s="358" customFormat="1">
      <c r="A246" s="357"/>
      <c r="T246" s="371"/>
    </row>
    <row r="247" spans="1:20" s="358" customFormat="1">
      <c r="A247" s="357"/>
      <c r="T247" s="371"/>
    </row>
    <row r="248" spans="1:20" s="358" customFormat="1">
      <c r="A248" s="357"/>
      <c r="T248" s="371"/>
    </row>
    <row r="249" spans="1:20" s="358" customFormat="1">
      <c r="A249" s="357"/>
      <c r="T249" s="371"/>
    </row>
    <row r="250" spans="1:20" s="358" customFormat="1">
      <c r="A250" s="357"/>
      <c r="T250" s="371"/>
    </row>
    <row r="251" spans="1:20" s="358" customFormat="1">
      <c r="A251" s="357"/>
      <c r="T251" s="371"/>
    </row>
    <row r="252" spans="1:20" s="358" customFormat="1">
      <c r="A252" s="357"/>
      <c r="T252" s="371"/>
    </row>
    <row r="253" spans="1:20" s="358" customFormat="1">
      <c r="A253" s="357"/>
      <c r="T253" s="371"/>
    </row>
    <row r="254" spans="1:20" s="358" customFormat="1">
      <c r="A254" s="357"/>
      <c r="T254" s="371"/>
    </row>
    <row r="255" spans="1:20" s="358" customFormat="1">
      <c r="A255" s="357"/>
      <c r="T255" s="371"/>
    </row>
    <row r="256" spans="1:20" s="358" customFormat="1">
      <c r="A256" s="357"/>
      <c r="T256" s="371"/>
    </row>
    <row r="257" spans="1:20" s="358" customFormat="1">
      <c r="A257" s="357"/>
      <c r="T257" s="371"/>
    </row>
    <row r="258" spans="1:20" s="358" customFormat="1">
      <c r="A258" s="357"/>
      <c r="T258" s="371"/>
    </row>
    <row r="259" spans="1:20" s="358" customFormat="1">
      <c r="A259" s="357"/>
      <c r="T259" s="371"/>
    </row>
    <row r="260" spans="1:20" s="358" customFormat="1">
      <c r="A260" s="357"/>
      <c r="T260" s="371"/>
    </row>
    <row r="261" spans="1:20" s="358" customFormat="1">
      <c r="A261" s="357"/>
      <c r="T261" s="371"/>
    </row>
    <row r="262" spans="1:20" s="358" customFormat="1">
      <c r="A262" s="357"/>
      <c r="T262" s="371"/>
    </row>
    <row r="263" spans="1:20" s="358" customFormat="1">
      <c r="A263" s="357"/>
      <c r="T263" s="371"/>
    </row>
    <row r="264" spans="1:20" s="358" customFormat="1">
      <c r="A264" s="357"/>
      <c r="T264" s="371"/>
    </row>
    <row r="265" spans="1:20" s="358" customFormat="1">
      <c r="A265" s="357"/>
      <c r="T265" s="371"/>
    </row>
    <row r="266" spans="1:20" s="358" customFormat="1">
      <c r="A266" s="357"/>
      <c r="T266" s="371"/>
    </row>
    <row r="267" spans="1:20" s="358" customFormat="1">
      <c r="A267" s="357"/>
      <c r="T267" s="371"/>
    </row>
    <row r="268" spans="1:20" s="358" customFormat="1">
      <c r="A268" s="357"/>
      <c r="T268" s="371"/>
    </row>
    <row r="269" spans="1:20" s="358" customFormat="1">
      <c r="A269" s="357"/>
      <c r="T269" s="371"/>
    </row>
    <row r="270" spans="1:20" s="358" customFormat="1">
      <c r="A270" s="357"/>
      <c r="T270" s="371"/>
    </row>
    <row r="271" spans="1:20" s="358" customFormat="1">
      <c r="A271" s="357"/>
      <c r="T271" s="371"/>
    </row>
    <row r="272" spans="1:20" s="358" customFormat="1">
      <c r="A272" s="357"/>
      <c r="T272" s="371"/>
    </row>
    <row r="273" spans="1:20" s="358" customFormat="1">
      <c r="A273" s="357"/>
      <c r="T273" s="371"/>
    </row>
    <row r="274" spans="1:20" s="358" customFormat="1">
      <c r="A274" s="357"/>
      <c r="T274" s="371"/>
    </row>
    <row r="275" spans="1:20" s="358" customFormat="1">
      <c r="A275" s="357"/>
      <c r="T275" s="371"/>
    </row>
    <row r="276" spans="1:20" s="358" customFormat="1">
      <c r="A276" s="357"/>
      <c r="T276" s="371"/>
    </row>
    <row r="277" spans="1:20" s="358" customFormat="1">
      <c r="A277" s="357"/>
      <c r="T277" s="371"/>
    </row>
    <row r="278" spans="1:20" s="358" customFormat="1">
      <c r="A278" s="357"/>
      <c r="T278" s="371"/>
    </row>
    <row r="279" spans="1:20" s="358" customFormat="1">
      <c r="A279" s="357"/>
      <c r="T279" s="371"/>
    </row>
    <row r="280" spans="1:20" s="358" customFormat="1">
      <c r="A280" s="357"/>
      <c r="T280" s="371"/>
    </row>
    <row r="281" spans="1:20" s="358" customFormat="1">
      <c r="A281" s="357"/>
      <c r="T281" s="371"/>
    </row>
    <row r="282" spans="1:20" s="358" customFormat="1">
      <c r="A282" s="357"/>
      <c r="T282" s="371"/>
    </row>
    <row r="283" spans="1:20" s="358" customFormat="1">
      <c r="A283" s="357"/>
      <c r="T283" s="371"/>
    </row>
    <row r="284" spans="1:20" s="358" customFormat="1">
      <c r="A284" s="357"/>
      <c r="T284" s="371"/>
    </row>
    <row r="285" spans="1:20" s="358" customFormat="1">
      <c r="A285" s="357"/>
      <c r="T285" s="371"/>
    </row>
    <row r="286" spans="1:20" s="358" customFormat="1">
      <c r="A286" s="357"/>
      <c r="T286" s="371"/>
    </row>
    <row r="287" spans="1:20" s="358" customFormat="1">
      <c r="A287" s="357"/>
      <c r="T287" s="371"/>
    </row>
    <row r="288" spans="1:20" s="358" customFormat="1">
      <c r="A288" s="357"/>
      <c r="T288" s="371"/>
    </row>
    <row r="289" spans="1:20" s="358" customFormat="1">
      <c r="A289" s="357"/>
      <c r="T289" s="371"/>
    </row>
    <row r="290" spans="1:20" s="358" customFormat="1">
      <c r="A290" s="357"/>
      <c r="T290" s="371"/>
    </row>
    <row r="291" spans="1:20" s="358" customFormat="1">
      <c r="A291" s="357"/>
      <c r="T291" s="371"/>
    </row>
    <row r="292" spans="1:20" s="358" customFormat="1">
      <c r="A292" s="357"/>
      <c r="T292" s="371"/>
    </row>
    <row r="293" spans="1:20" s="358" customFormat="1">
      <c r="A293" s="357"/>
      <c r="T293" s="371"/>
    </row>
    <row r="294" spans="1:20" s="358" customFormat="1">
      <c r="A294" s="357"/>
      <c r="T294" s="371"/>
    </row>
    <row r="295" spans="1:20" s="358" customFormat="1">
      <c r="A295" s="357"/>
      <c r="T295" s="371"/>
    </row>
    <row r="296" spans="1:20" s="358" customFormat="1">
      <c r="A296" s="357"/>
      <c r="T296" s="371"/>
    </row>
    <row r="297" spans="1:20" s="358" customFormat="1">
      <c r="A297" s="357"/>
      <c r="T297" s="371"/>
    </row>
    <row r="298" spans="1:20" s="358" customFormat="1">
      <c r="A298" s="357"/>
      <c r="T298" s="371"/>
    </row>
    <row r="299" spans="1:20" s="358" customFormat="1">
      <c r="A299" s="357"/>
      <c r="T299" s="371"/>
    </row>
    <row r="300" spans="1:20">
      <c r="T300" s="371"/>
    </row>
    <row r="301" spans="1:20">
      <c r="T301" s="371"/>
    </row>
    <row r="302" spans="1:20">
      <c r="T302" s="371"/>
    </row>
    <row r="303" spans="1:20">
      <c r="T303" s="371"/>
    </row>
    <row r="304" spans="1:20">
      <c r="T304" s="371"/>
    </row>
    <row r="305" spans="20:20">
      <c r="T305" s="371"/>
    </row>
    <row r="306" spans="20:20">
      <c r="T306" s="371"/>
    </row>
    <row r="307" spans="20:20">
      <c r="T307" s="371"/>
    </row>
    <row r="308" spans="20:20">
      <c r="T308" s="371"/>
    </row>
    <row r="309" spans="20:20">
      <c r="T309" s="371"/>
    </row>
    <row r="310" spans="20:20">
      <c r="T310" s="371"/>
    </row>
    <row r="311" spans="20:20">
      <c r="T311" s="371"/>
    </row>
    <row r="312" spans="20:20">
      <c r="T312" s="371"/>
    </row>
    <row r="313" spans="20:20">
      <c r="T313" s="371"/>
    </row>
    <row r="314" spans="20:20">
      <c r="T314" s="371"/>
    </row>
    <row r="315" spans="20:20">
      <c r="T315" s="371"/>
    </row>
    <row r="316" spans="20:20">
      <c r="T316" s="371"/>
    </row>
    <row r="317" spans="20:20">
      <c r="T317" s="371"/>
    </row>
    <row r="318" spans="20:20">
      <c r="T318" s="371"/>
    </row>
    <row r="319" spans="20:20">
      <c r="T319" s="371"/>
    </row>
    <row r="320" spans="20:20">
      <c r="T320" s="371"/>
    </row>
    <row r="321" spans="20:20">
      <c r="T321" s="371"/>
    </row>
    <row r="322" spans="20:20">
      <c r="T322" s="371"/>
    </row>
    <row r="323" spans="20:20">
      <c r="T323" s="371"/>
    </row>
    <row r="324" spans="20:20">
      <c r="T324" s="371"/>
    </row>
    <row r="325" spans="20:20">
      <c r="T325" s="371"/>
    </row>
    <row r="326" spans="20:20">
      <c r="T326" s="371"/>
    </row>
    <row r="327" spans="20:20">
      <c r="T327" s="371"/>
    </row>
    <row r="328" spans="20:20">
      <c r="T328" s="371"/>
    </row>
    <row r="329" spans="20:20">
      <c r="T329" s="371"/>
    </row>
    <row r="330" spans="20:20">
      <c r="T330" s="371"/>
    </row>
    <row r="331" spans="20:20">
      <c r="T331" s="371"/>
    </row>
    <row r="332" spans="20:20">
      <c r="T332" s="371"/>
    </row>
    <row r="333" spans="20:20">
      <c r="T333" s="371"/>
    </row>
    <row r="334" spans="20:20">
      <c r="T334" s="371"/>
    </row>
    <row r="335" spans="20:20">
      <c r="T335" s="371"/>
    </row>
    <row r="336" spans="20:20">
      <c r="T336" s="371"/>
    </row>
    <row r="337" spans="20:20">
      <c r="T337" s="371"/>
    </row>
    <row r="338" spans="20:20">
      <c r="T338" s="371"/>
    </row>
    <row r="339" spans="20:20">
      <c r="T339" s="371"/>
    </row>
    <row r="340" spans="20:20">
      <c r="T340" s="371"/>
    </row>
    <row r="341" spans="20:20">
      <c r="T341" s="371"/>
    </row>
    <row r="342" spans="20:20">
      <c r="T342" s="371"/>
    </row>
    <row r="343" spans="20:20">
      <c r="T343" s="371"/>
    </row>
    <row r="344" spans="20:20">
      <c r="T344" s="371"/>
    </row>
    <row r="345" spans="20:20">
      <c r="T345" s="371"/>
    </row>
    <row r="346" spans="20:20">
      <c r="T346" s="371"/>
    </row>
    <row r="347" spans="20:20">
      <c r="T347" s="371"/>
    </row>
    <row r="348" spans="20:20">
      <c r="T348" s="371"/>
    </row>
    <row r="349" spans="20:20">
      <c r="T349" s="371"/>
    </row>
    <row r="350" spans="20:20">
      <c r="T350" s="371"/>
    </row>
    <row r="351" spans="20:20">
      <c r="T351" s="371"/>
    </row>
    <row r="352" spans="20:20">
      <c r="T352" s="371"/>
    </row>
    <row r="353" spans="20:20">
      <c r="T353" s="371"/>
    </row>
    <row r="354" spans="20:20">
      <c r="T354" s="371"/>
    </row>
    <row r="355" spans="20:20">
      <c r="T355" s="371"/>
    </row>
    <row r="356" spans="20:20">
      <c r="T356" s="371"/>
    </row>
    <row r="357" spans="20:20">
      <c r="T357" s="371"/>
    </row>
    <row r="358" spans="20:20">
      <c r="T358" s="371"/>
    </row>
    <row r="359" spans="20:20">
      <c r="T359" s="371"/>
    </row>
    <row r="360" spans="20:20">
      <c r="T360" s="371"/>
    </row>
    <row r="361" spans="20:20">
      <c r="T361" s="371"/>
    </row>
    <row r="362" spans="20:20">
      <c r="T362" s="371"/>
    </row>
    <row r="363" spans="20:20">
      <c r="T363" s="371"/>
    </row>
    <row r="364" spans="20:20">
      <c r="T364" s="371"/>
    </row>
    <row r="365" spans="20:20">
      <c r="T365" s="371"/>
    </row>
    <row r="366" spans="20:20">
      <c r="T366" s="371"/>
    </row>
    <row r="367" spans="20:20">
      <c r="T367" s="371"/>
    </row>
    <row r="368" spans="20:20">
      <c r="T368" s="371"/>
    </row>
    <row r="369" spans="20:20">
      <c r="T369" s="371"/>
    </row>
    <row r="370" spans="20:20">
      <c r="T370" s="371"/>
    </row>
    <row r="371" spans="20:20">
      <c r="T371" s="371"/>
    </row>
    <row r="372" spans="20:20">
      <c r="T372" s="371"/>
    </row>
    <row r="373" spans="20:20">
      <c r="T373" s="371"/>
    </row>
    <row r="374" spans="20:20">
      <c r="T374" s="371"/>
    </row>
    <row r="375" spans="20:20">
      <c r="T375" s="371"/>
    </row>
    <row r="376" spans="20:20">
      <c r="T376" s="371"/>
    </row>
    <row r="377" spans="20:20">
      <c r="T377" s="371"/>
    </row>
    <row r="378" spans="20:20">
      <c r="T378" s="371"/>
    </row>
    <row r="379" spans="20:20">
      <c r="T379" s="371"/>
    </row>
    <row r="380" spans="20:20">
      <c r="T380" s="371"/>
    </row>
    <row r="381" spans="20:20">
      <c r="T381" s="371"/>
    </row>
    <row r="382" spans="20:20">
      <c r="T382" s="371"/>
    </row>
    <row r="383" spans="20:20">
      <c r="T383" s="371"/>
    </row>
    <row r="384" spans="20:20">
      <c r="T384" s="371"/>
    </row>
    <row r="385" spans="20:20">
      <c r="T385" s="371"/>
    </row>
    <row r="386" spans="20:20">
      <c r="T386" s="371"/>
    </row>
    <row r="387" spans="20:20">
      <c r="T387" s="371"/>
    </row>
    <row r="388" spans="20:20">
      <c r="T388" s="371"/>
    </row>
    <row r="389" spans="20:20">
      <c r="T389" s="371"/>
    </row>
    <row r="390" spans="20:20">
      <c r="T390" s="371"/>
    </row>
    <row r="391" spans="20:20">
      <c r="T391" s="371"/>
    </row>
    <row r="392" spans="20:20">
      <c r="T392" s="371"/>
    </row>
    <row r="393" spans="20:20">
      <c r="T393" s="371"/>
    </row>
    <row r="394" spans="20:20">
      <c r="T394" s="371"/>
    </row>
    <row r="395" spans="20:20">
      <c r="T395" s="371"/>
    </row>
    <row r="396" spans="20:20">
      <c r="T396" s="371"/>
    </row>
    <row r="397" spans="20:20">
      <c r="T397" s="371"/>
    </row>
    <row r="398" spans="20:20">
      <c r="T398" s="371"/>
    </row>
    <row r="399" spans="20:20">
      <c r="T399" s="371"/>
    </row>
    <row r="400" spans="20:20">
      <c r="T400" s="371"/>
    </row>
    <row r="401" spans="20:20">
      <c r="T401" s="371"/>
    </row>
    <row r="402" spans="20:20">
      <c r="T402" s="371"/>
    </row>
    <row r="403" spans="20:20">
      <c r="T403" s="371"/>
    </row>
    <row r="404" spans="20:20">
      <c r="T404" s="371"/>
    </row>
    <row r="405" spans="20:20">
      <c r="T405" s="371"/>
    </row>
    <row r="406" spans="20:20">
      <c r="T406" s="371"/>
    </row>
    <row r="407" spans="20:20">
      <c r="T407" s="371"/>
    </row>
    <row r="408" spans="20:20">
      <c r="T408" s="371"/>
    </row>
    <row r="409" spans="20:20">
      <c r="T409" s="371"/>
    </row>
    <row r="410" spans="20:20">
      <c r="T410" s="371"/>
    </row>
    <row r="411" spans="20:20">
      <c r="T411" s="371"/>
    </row>
    <row r="412" spans="20:20">
      <c r="T412" s="371"/>
    </row>
    <row r="413" spans="20:20">
      <c r="T413" s="371"/>
    </row>
    <row r="414" spans="20:20">
      <c r="T414" s="371"/>
    </row>
    <row r="415" spans="20:20">
      <c r="T415" s="371"/>
    </row>
    <row r="416" spans="20:20">
      <c r="T416" s="371"/>
    </row>
    <row r="417" spans="20:20">
      <c r="T417" s="371"/>
    </row>
    <row r="418" spans="20:20">
      <c r="T418" s="371"/>
    </row>
    <row r="419" spans="20:20">
      <c r="T419" s="371"/>
    </row>
    <row r="420" spans="20:20">
      <c r="T420" s="371"/>
    </row>
    <row r="421" spans="20:20">
      <c r="T421" s="371"/>
    </row>
    <row r="422" spans="20:20">
      <c r="T422" s="371"/>
    </row>
    <row r="423" spans="20:20">
      <c r="T423" s="371"/>
    </row>
    <row r="424" spans="20:20">
      <c r="T424" s="371"/>
    </row>
    <row r="425" spans="20:20">
      <c r="T425" s="371"/>
    </row>
    <row r="426" spans="20:20">
      <c r="T426" s="371"/>
    </row>
    <row r="427" spans="20:20">
      <c r="T427" s="371"/>
    </row>
    <row r="428" spans="20:20">
      <c r="T428" s="371"/>
    </row>
    <row r="429" spans="20:20">
      <c r="T429" s="371"/>
    </row>
    <row r="430" spans="20:20">
      <c r="T430" s="371"/>
    </row>
    <row r="431" spans="20:20">
      <c r="T431" s="371"/>
    </row>
    <row r="432" spans="20:20">
      <c r="T432" s="371"/>
    </row>
    <row r="433" spans="20:20">
      <c r="T433" s="371"/>
    </row>
    <row r="434" spans="20:20">
      <c r="T434" s="371"/>
    </row>
    <row r="435" spans="20:20">
      <c r="T435" s="371"/>
    </row>
    <row r="436" spans="20:20">
      <c r="T436" s="371"/>
    </row>
    <row r="437" spans="20:20">
      <c r="T437" s="371"/>
    </row>
    <row r="438" spans="20:20">
      <c r="T438" s="371"/>
    </row>
    <row r="439" spans="20:20">
      <c r="T439" s="371"/>
    </row>
    <row r="440" spans="20:20">
      <c r="T440" s="371"/>
    </row>
    <row r="441" spans="20:20">
      <c r="T441" s="371"/>
    </row>
    <row r="442" spans="20:20">
      <c r="T442" s="371"/>
    </row>
    <row r="443" spans="20:20">
      <c r="T443" s="371"/>
    </row>
    <row r="444" spans="20:20">
      <c r="T444" s="371"/>
    </row>
    <row r="445" spans="20:20">
      <c r="T445" s="371"/>
    </row>
    <row r="446" spans="20:20">
      <c r="T446" s="371"/>
    </row>
    <row r="447" spans="20:20">
      <c r="T447" s="371"/>
    </row>
    <row r="448" spans="20:20">
      <c r="T448" s="371"/>
    </row>
    <row r="449" spans="20:20">
      <c r="T449" s="371"/>
    </row>
    <row r="1145" spans="3:3">
      <c r="C1145" s="333">
        <v>-2130</v>
      </c>
    </row>
    <row r="1153" spans="3:3">
      <c r="C1153" s="333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09375" defaultRowHeight="14.4"/>
  <cols>
    <col min="1" max="1" width="29.88671875" style="277" customWidth="1"/>
    <col min="2" max="2" width="6.88671875" style="277" bestFit="1" customWidth="1"/>
    <col min="3" max="3" width="15.88671875" style="277" bestFit="1" customWidth="1"/>
    <col min="4" max="4" width="14.88671875" style="277" bestFit="1" customWidth="1"/>
    <col min="5" max="5" width="16.109375" style="277" bestFit="1" customWidth="1"/>
    <col min="6" max="6" width="9.109375" style="277"/>
    <col min="7" max="7" width="36.33203125" style="277" bestFit="1" customWidth="1"/>
    <col min="8" max="8" width="17.5546875" style="277" bestFit="1" customWidth="1"/>
    <col min="9" max="10" width="15.109375" style="277" bestFit="1" customWidth="1"/>
    <col min="11" max="16384" width="9.109375" style="277"/>
  </cols>
  <sheetData>
    <row r="1" spans="1:10" ht="15.6">
      <c r="A1" s="276" t="s">
        <v>202</v>
      </c>
    </row>
    <row r="2" spans="1:10" ht="15.6">
      <c r="A2" s="449"/>
    </row>
    <row r="3" spans="1:10" ht="15.6">
      <c r="A3" s="276"/>
    </row>
    <row r="4" spans="1:10" ht="15.6" hidden="1">
      <c r="A4" s="292"/>
      <c r="B4" s="292"/>
      <c r="C4" s="286" t="s">
        <v>1</v>
      </c>
      <c r="D4" s="310">
        <v>41274</v>
      </c>
      <c r="E4" s="311">
        <v>280640.39010999998</v>
      </c>
    </row>
    <row r="5" spans="1:10" ht="15" hidden="1" thickBot="1"/>
    <row r="6" spans="1:10" ht="15.6" hidden="1">
      <c r="A6" s="619" t="s">
        <v>197</v>
      </c>
      <c r="B6" s="620"/>
      <c r="C6" s="620"/>
      <c r="D6" s="620"/>
      <c r="E6" s="621"/>
      <c r="G6" s="292"/>
      <c r="H6" s="292"/>
      <c r="I6" s="292"/>
    </row>
    <row r="7" spans="1:10" ht="15.6" hidden="1">
      <c r="A7" s="220">
        <v>41305</v>
      </c>
      <c r="B7" s="278"/>
      <c r="C7" s="279" t="s">
        <v>101</v>
      </c>
      <c r="D7" s="280"/>
      <c r="E7" s="281"/>
    </row>
    <row r="8" spans="1:10" ht="16.2" hidden="1" thickBot="1">
      <c r="A8" s="282"/>
      <c r="B8" s="283"/>
      <c r="C8" s="284" t="s">
        <v>21</v>
      </c>
      <c r="D8" s="284" t="s">
        <v>22</v>
      </c>
      <c r="E8" s="285" t="s">
        <v>23</v>
      </c>
    </row>
    <row r="9" spans="1:10" ht="15.6" hidden="1">
      <c r="A9" s="286" t="s">
        <v>24</v>
      </c>
      <c r="B9" s="287">
        <v>101</v>
      </c>
      <c r="C9" s="288">
        <v>22136409</v>
      </c>
      <c r="D9" s="289">
        <v>-2.1900000000000001E-3</v>
      </c>
      <c r="E9" s="290">
        <f>C9*D9</f>
        <v>-48478.735710000001</v>
      </c>
    </row>
    <row r="10" spans="1:10" ht="16.2" hidden="1" thickBot="1">
      <c r="A10" s="286" t="s">
        <v>24</v>
      </c>
      <c r="B10" s="287">
        <v>111</v>
      </c>
      <c r="C10" s="288">
        <v>7525225</v>
      </c>
      <c r="D10" s="289">
        <v>-2.1900000000000001E-3</v>
      </c>
      <c r="E10" s="290">
        <f t="shared" ref="E10:E16" si="0">C10*D10</f>
        <v>-16480.242750000001</v>
      </c>
      <c r="G10" s="291">
        <f>A7</f>
        <v>41305</v>
      </c>
      <c r="H10" s="292"/>
      <c r="I10" s="292"/>
      <c r="J10" s="292"/>
    </row>
    <row r="11" spans="1:10" ht="16.2" hidden="1" thickBot="1">
      <c r="A11" s="286" t="s">
        <v>24</v>
      </c>
      <c r="B11" s="287">
        <v>112</v>
      </c>
      <c r="C11" s="288">
        <v>0</v>
      </c>
      <c r="D11" s="289">
        <v>-2.1900000000000001E-3</v>
      </c>
      <c r="E11" s="290">
        <f t="shared" si="0"/>
        <v>0</v>
      </c>
      <c r="G11" s="293" t="s">
        <v>25</v>
      </c>
      <c r="H11" s="294"/>
      <c r="I11" s="295" t="s">
        <v>18</v>
      </c>
      <c r="J11" s="295" t="s">
        <v>19</v>
      </c>
    </row>
    <row r="12" spans="1:10" ht="15.6" hidden="1">
      <c r="A12" s="286" t="s">
        <v>24</v>
      </c>
      <c r="B12" s="287">
        <v>121</v>
      </c>
      <c r="C12" s="288">
        <v>606431</v>
      </c>
      <c r="D12" s="289">
        <v>-2.1900000000000001E-3</v>
      </c>
      <c r="E12" s="290">
        <f t="shared" si="0"/>
        <v>-1328.0838900000001</v>
      </c>
      <c r="G12" s="296" t="s">
        <v>97</v>
      </c>
      <c r="H12" s="297" t="s">
        <v>26</v>
      </c>
      <c r="I12" s="298">
        <f>-E17</f>
        <v>67542.528509999989</v>
      </c>
      <c r="J12" s="299">
        <v>0</v>
      </c>
    </row>
    <row r="13" spans="1:10" ht="16.2" hidden="1" thickBot="1">
      <c r="A13" s="286" t="s">
        <v>24</v>
      </c>
      <c r="B13" s="287">
        <v>122</v>
      </c>
      <c r="C13" s="288">
        <v>85748</v>
      </c>
      <c r="D13" s="289">
        <v>-2.1900000000000001E-3</v>
      </c>
      <c r="E13" s="290">
        <f t="shared" si="0"/>
        <v>-187.78812000000002</v>
      </c>
      <c r="G13" s="300" t="s">
        <v>198</v>
      </c>
      <c r="H13" s="301" t="s">
        <v>199</v>
      </c>
      <c r="I13" s="302">
        <v>0</v>
      </c>
      <c r="J13" s="303">
        <f>-I12</f>
        <v>-67542.528509999989</v>
      </c>
    </row>
    <row r="14" spans="1:10" ht="15.6" hidden="1">
      <c r="A14" s="286" t="s">
        <v>24</v>
      </c>
      <c r="B14" s="287">
        <v>131</v>
      </c>
      <c r="C14" s="288">
        <v>0</v>
      </c>
      <c r="D14" s="289">
        <v>-2.1900000000000001E-3</v>
      </c>
      <c r="E14" s="290">
        <f t="shared" si="0"/>
        <v>0</v>
      </c>
      <c r="G14" s="292"/>
      <c r="H14" s="292"/>
      <c r="I14" s="292"/>
      <c r="J14" s="304">
        <f>SUM(I12:J13)</f>
        <v>0</v>
      </c>
    </row>
    <row r="15" spans="1:10" ht="15.6" hidden="1">
      <c r="A15" s="286" t="s">
        <v>24</v>
      </c>
      <c r="B15" s="287">
        <v>132</v>
      </c>
      <c r="C15" s="288">
        <v>151236</v>
      </c>
      <c r="D15" s="289">
        <v>-2.1900000000000001E-3</v>
      </c>
      <c r="E15" s="290">
        <f t="shared" si="0"/>
        <v>-331.20684</v>
      </c>
    </row>
    <row r="16" spans="1:10" ht="15.6" hidden="1">
      <c r="A16" s="286" t="s">
        <v>24</v>
      </c>
      <c r="B16" s="287">
        <v>146</v>
      </c>
      <c r="C16" s="288">
        <v>3682356</v>
      </c>
      <c r="D16" s="289">
        <v>-2.0000000000000001E-4</v>
      </c>
      <c r="E16" s="305">
        <f t="shared" si="0"/>
        <v>-736.47120000000007</v>
      </c>
    </row>
    <row r="17" spans="1:10" ht="16.2" hidden="1" thickBot="1">
      <c r="A17" s="286" t="s">
        <v>200</v>
      </c>
      <c r="B17" s="287"/>
      <c r="C17" s="306">
        <f>SUM(C9:C16)</f>
        <v>34187405</v>
      </c>
      <c r="D17" s="307"/>
      <c r="E17" s="308">
        <f>SUM(E9:E16)</f>
        <v>-67542.528509999989</v>
      </c>
    </row>
    <row r="18" spans="1:10" ht="16.2" hidden="1" thickTop="1">
      <c r="A18" s="286"/>
      <c r="B18" s="287"/>
      <c r="C18" s="312">
        <v>34187405</v>
      </c>
      <c r="D18" s="307"/>
      <c r="E18" s="308"/>
    </row>
    <row r="19" spans="1:10" ht="15.6" hidden="1">
      <c r="A19" s="286"/>
      <c r="B19" s="287"/>
      <c r="C19" s="309">
        <f>C18-C17</f>
        <v>0</v>
      </c>
      <c r="D19" s="307"/>
      <c r="E19" s="308"/>
    </row>
    <row r="20" spans="1:10" ht="15.6" hidden="1">
      <c r="A20" s="292"/>
      <c r="B20" s="292"/>
      <c r="C20" s="286" t="s">
        <v>1</v>
      </c>
      <c r="D20" s="310">
        <f>A7</f>
        <v>41305</v>
      </c>
      <c r="E20" s="311">
        <f>E4+E17</f>
        <v>213097.8616</v>
      </c>
    </row>
    <row r="21" spans="1:10" ht="15" hidden="1" thickBot="1"/>
    <row r="22" spans="1:10" ht="15.6" hidden="1">
      <c r="A22" s="619" t="s">
        <v>197</v>
      </c>
      <c r="B22" s="620"/>
      <c r="C22" s="620"/>
      <c r="D22" s="620"/>
      <c r="E22" s="621"/>
      <c r="G22" s="292"/>
      <c r="H22" s="292"/>
      <c r="I22" s="292"/>
    </row>
    <row r="23" spans="1:10" ht="15.6" hidden="1">
      <c r="A23" s="220">
        <v>41333</v>
      </c>
      <c r="B23" s="278"/>
      <c r="C23" s="279" t="s">
        <v>101</v>
      </c>
      <c r="D23" s="280"/>
      <c r="E23" s="281"/>
    </row>
    <row r="24" spans="1:10" ht="16.2" hidden="1" thickBot="1">
      <c r="A24" s="282"/>
      <c r="B24" s="283"/>
      <c r="C24" s="284" t="s">
        <v>21</v>
      </c>
      <c r="D24" s="284" t="s">
        <v>22</v>
      </c>
      <c r="E24" s="285" t="s">
        <v>23</v>
      </c>
    </row>
    <row r="25" spans="1:10" ht="15.6" hidden="1">
      <c r="A25" s="286" t="s">
        <v>24</v>
      </c>
      <c r="B25" s="287">
        <v>101</v>
      </c>
      <c r="C25" s="288">
        <v>16585315</v>
      </c>
      <c r="D25" s="289">
        <v>-2.1900000000000001E-3</v>
      </c>
      <c r="E25" s="290">
        <v>-36321.839850000004</v>
      </c>
    </row>
    <row r="26" spans="1:10" ht="16.2" hidden="1" thickBot="1">
      <c r="A26" s="286" t="s">
        <v>24</v>
      </c>
      <c r="B26" s="287">
        <v>111</v>
      </c>
      <c r="C26" s="288">
        <v>5716465</v>
      </c>
      <c r="D26" s="289">
        <v>-2.1900000000000001E-3</v>
      </c>
      <c r="E26" s="290">
        <v>-12519.058350000001</v>
      </c>
      <c r="G26" s="291">
        <f>A23</f>
        <v>41333</v>
      </c>
      <c r="H26" s="292"/>
      <c r="I26" s="292"/>
      <c r="J26" s="292"/>
    </row>
    <row r="27" spans="1:10" ht="16.2" hidden="1" thickBot="1">
      <c r="A27" s="286" t="s">
        <v>24</v>
      </c>
      <c r="B27" s="287">
        <v>112</v>
      </c>
      <c r="C27" s="288">
        <v>0</v>
      </c>
      <c r="D27" s="289">
        <v>-2.1900000000000001E-3</v>
      </c>
      <c r="E27" s="290">
        <v>0</v>
      </c>
      <c r="G27" s="293" t="s">
        <v>25</v>
      </c>
      <c r="H27" s="294"/>
      <c r="I27" s="295" t="s">
        <v>18</v>
      </c>
      <c r="J27" s="295" t="s">
        <v>19</v>
      </c>
    </row>
    <row r="28" spans="1:10" ht="15.6" hidden="1">
      <c r="A28" s="286" t="s">
        <v>24</v>
      </c>
      <c r="B28" s="287">
        <v>121</v>
      </c>
      <c r="C28" s="288">
        <v>416479</v>
      </c>
      <c r="D28" s="289">
        <v>-2.1900000000000001E-3</v>
      </c>
      <c r="E28" s="290">
        <v>-912.08901000000003</v>
      </c>
      <c r="G28" s="296" t="s">
        <v>97</v>
      </c>
      <c r="H28" s="297" t="s">
        <v>26</v>
      </c>
      <c r="I28" s="298">
        <f>-E33</f>
        <v>50910.051820000008</v>
      </c>
      <c r="J28" s="299">
        <v>0</v>
      </c>
    </row>
    <row r="29" spans="1:10" ht="16.2" hidden="1" thickBot="1">
      <c r="A29" s="286" t="s">
        <v>24</v>
      </c>
      <c r="B29" s="287">
        <v>122</v>
      </c>
      <c r="C29" s="288">
        <v>94568</v>
      </c>
      <c r="D29" s="289">
        <v>-2.1900000000000001E-3</v>
      </c>
      <c r="E29" s="290">
        <v>-207.10392000000002</v>
      </c>
      <c r="G29" s="300" t="s">
        <v>198</v>
      </c>
      <c r="H29" s="301" t="s">
        <v>199</v>
      </c>
      <c r="I29" s="302">
        <v>0</v>
      </c>
      <c r="J29" s="303">
        <f>-I28</f>
        <v>-50910.051820000008</v>
      </c>
    </row>
    <row r="30" spans="1:10" ht="15.6" hidden="1">
      <c r="A30" s="286" t="s">
        <v>24</v>
      </c>
      <c r="B30" s="287">
        <v>131</v>
      </c>
      <c r="C30" s="288">
        <v>0</v>
      </c>
      <c r="D30" s="289">
        <v>-2.1900000000000001E-3</v>
      </c>
      <c r="E30" s="290">
        <v>0</v>
      </c>
      <c r="G30" s="292"/>
      <c r="H30" s="292"/>
      <c r="I30" s="292"/>
      <c r="J30" s="304">
        <f>SUM(I28:J29)</f>
        <v>0</v>
      </c>
    </row>
    <row r="31" spans="1:10" ht="15.6" hidden="1">
      <c r="A31" s="286" t="s">
        <v>24</v>
      </c>
      <c r="B31" s="287">
        <v>132</v>
      </c>
      <c r="C31" s="288">
        <v>172051</v>
      </c>
      <c r="D31" s="289">
        <v>-2.1900000000000001E-3</v>
      </c>
      <c r="E31" s="290">
        <v>-376.79169000000002</v>
      </c>
    </row>
    <row r="32" spans="1:10" ht="15.6" hidden="1">
      <c r="A32" s="286" t="s">
        <v>24</v>
      </c>
      <c r="B32" s="287">
        <v>146</v>
      </c>
      <c r="C32" s="288">
        <v>2865845</v>
      </c>
      <c r="D32" s="289">
        <v>-2.0000000000000001E-4</v>
      </c>
      <c r="E32" s="305">
        <v>-573.16899999999998</v>
      </c>
    </row>
    <row r="33" spans="1:10" ht="16.2" hidden="1" thickBot="1">
      <c r="A33" s="286" t="s">
        <v>200</v>
      </c>
      <c r="B33" s="287"/>
      <c r="C33" s="306">
        <f>SUM(C25:C32)</f>
        <v>25850723</v>
      </c>
      <c r="D33" s="307"/>
      <c r="E33" s="308">
        <f>SUM(E25:E32)</f>
        <v>-50910.051820000008</v>
      </c>
    </row>
    <row r="34" spans="1:10" ht="16.2" hidden="1" thickTop="1">
      <c r="A34" s="286"/>
      <c r="B34" s="287"/>
      <c r="C34" s="312">
        <v>25850723</v>
      </c>
      <c r="D34" s="307"/>
      <c r="E34" s="308"/>
    </row>
    <row r="35" spans="1:10" ht="15.6" hidden="1">
      <c r="A35" s="286"/>
      <c r="B35" s="287"/>
      <c r="C35" s="309">
        <f>C34-C33</f>
        <v>0</v>
      </c>
      <c r="D35" s="307"/>
      <c r="E35" s="308"/>
    </row>
    <row r="36" spans="1:10" ht="15.6" hidden="1">
      <c r="A36" s="292"/>
      <c r="B36" s="292"/>
      <c r="C36" s="286" t="s">
        <v>1</v>
      </c>
      <c r="D36" s="310">
        <f>A23</f>
        <v>41333</v>
      </c>
      <c r="E36" s="311">
        <f>E20+E33</f>
        <v>162187.80978000001</v>
      </c>
    </row>
    <row r="37" spans="1:10" ht="15" hidden="1" thickBot="1"/>
    <row r="38" spans="1:10" ht="15.6" hidden="1">
      <c r="A38" s="619" t="s">
        <v>197</v>
      </c>
      <c r="B38" s="620"/>
      <c r="C38" s="620"/>
      <c r="D38" s="620"/>
      <c r="E38" s="621"/>
      <c r="G38" s="292"/>
      <c r="H38" s="292"/>
      <c r="I38" s="292"/>
    </row>
    <row r="39" spans="1:10" ht="15.6" hidden="1">
      <c r="A39" s="220">
        <v>41364</v>
      </c>
      <c r="B39" s="278"/>
      <c r="C39" s="279" t="s">
        <v>101</v>
      </c>
      <c r="D39" s="280"/>
      <c r="E39" s="281"/>
    </row>
    <row r="40" spans="1:10" ht="16.2" hidden="1" thickBot="1">
      <c r="A40" s="282"/>
      <c r="B40" s="283"/>
      <c r="C40" s="284" t="s">
        <v>21</v>
      </c>
      <c r="D40" s="284" t="s">
        <v>22</v>
      </c>
      <c r="E40" s="285" t="s">
        <v>23</v>
      </c>
    </row>
    <row r="41" spans="1:10" ht="15.6" hidden="1">
      <c r="A41" s="286" t="s">
        <v>24</v>
      </c>
      <c r="B41" s="287">
        <v>101</v>
      </c>
      <c r="C41" s="288">
        <v>12776328</v>
      </c>
      <c r="D41" s="289">
        <v>-2.1900000000000001E-3</v>
      </c>
      <c r="E41" s="290">
        <v>-27980.158320000002</v>
      </c>
    </row>
    <row r="42" spans="1:10" ht="16.2" hidden="1" thickBot="1">
      <c r="A42" s="286" t="s">
        <v>24</v>
      </c>
      <c r="B42" s="287">
        <v>111</v>
      </c>
      <c r="C42" s="288">
        <v>4890087</v>
      </c>
      <c r="D42" s="289">
        <v>-2.1900000000000001E-3</v>
      </c>
      <c r="E42" s="290">
        <v>-10709.29053</v>
      </c>
      <c r="G42" s="291">
        <f>A39</f>
        <v>41364</v>
      </c>
      <c r="H42" s="292"/>
      <c r="I42" s="292"/>
      <c r="J42" s="292"/>
    </row>
    <row r="43" spans="1:10" ht="16.2" hidden="1" thickBot="1">
      <c r="A43" s="286" t="s">
        <v>24</v>
      </c>
      <c r="B43" s="287">
        <v>112</v>
      </c>
      <c r="C43" s="288">
        <v>0</v>
      </c>
      <c r="D43" s="289">
        <v>-2.1900000000000001E-3</v>
      </c>
      <c r="E43" s="290">
        <v>0</v>
      </c>
      <c r="G43" s="293" t="s">
        <v>25</v>
      </c>
      <c r="H43" s="294"/>
      <c r="I43" s="295" t="s">
        <v>18</v>
      </c>
      <c r="J43" s="295" t="s">
        <v>19</v>
      </c>
    </row>
    <row r="44" spans="1:10" ht="15.6" hidden="1">
      <c r="A44" s="286" t="s">
        <v>24</v>
      </c>
      <c r="B44" s="287">
        <v>121</v>
      </c>
      <c r="C44" s="288">
        <v>526218</v>
      </c>
      <c r="D44" s="289">
        <v>-2.1900000000000001E-3</v>
      </c>
      <c r="E44" s="290">
        <v>-1152.41742</v>
      </c>
      <c r="G44" s="296" t="s">
        <v>97</v>
      </c>
      <c r="H44" s="297" t="s">
        <v>26</v>
      </c>
      <c r="I44" s="298">
        <f>-E49</f>
        <v>40849.65926</v>
      </c>
      <c r="J44" s="299">
        <v>0</v>
      </c>
    </row>
    <row r="45" spans="1:10" ht="16.2" hidden="1" thickBot="1">
      <c r="A45" s="286" t="s">
        <v>24</v>
      </c>
      <c r="B45" s="287">
        <v>122</v>
      </c>
      <c r="C45" s="288">
        <v>71767</v>
      </c>
      <c r="D45" s="289">
        <v>-2.1900000000000001E-3</v>
      </c>
      <c r="E45" s="290">
        <v>-157.16973000000002</v>
      </c>
      <c r="G45" s="300" t="s">
        <v>198</v>
      </c>
      <c r="H45" s="301" t="s">
        <v>199</v>
      </c>
      <c r="I45" s="302">
        <v>0</v>
      </c>
      <c r="J45" s="303">
        <f>-I44</f>
        <v>-40849.65926</v>
      </c>
    </row>
    <row r="46" spans="1:10" ht="15.6" hidden="1">
      <c r="A46" s="286" t="s">
        <v>24</v>
      </c>
      <c r="B46" s="287">
        <v>131</v>
      </c>
      <c r="C46" s="288">
        <v>0</v>
      </c>
      <c r="D46" s="289">
        <v>-2.1900000000000001E-3</v>
      </c>
      <c r="E46" s="290">
        <v>0</v>
      </c>
      <c r="G46" s="292"/>
      <c r="H46" s="292"/>
      <c r="I46" s="292"/>
      <c r="J46" s="304">
        <f>SUM(I44:J45)</f>
        <v>0</v>
      </c>
    </row>
    <row r="47" spans="1:10" ht="15.6" hidden="1">
      <c r="A47" s="286" t="s">
        <v>24</v>
      </c>
      <c r="B47" s="287">
        <v>132</v>
      </c>
      <c r="C47" s="288">
        <v>135254</v>
      </c>
      <c r="D47" s="289">
        <v>-2.1900000000000001E-3</v>
      </c>
      <c r="E47" s="290">
        <v>-296.20625999999999</v>
      </c>
    </row>
    <row r="48" spans="1:10" ht="15.6" hidden="1">
      <c r="A48" s="286" t="s">
        <v>24</v>
      </c>
      <c r="B48" s="287">
        <v>146</v>
      </c>
      <c r="C48" s="288">
        <v>2772085</v>
      </c>
      <c r="D48" s="289">
        <v>-2.0000000000000001E-4</v>
      </c>
      <c r="E48" s="305">
        <v>-554.41700000000003</v>
      </c>
    </row>
    <row r="49" spans="1:10" ht="16.2" hidden="1" thickBot="1">
      <c r="A49" s="286" t="s">
        <v>200</v>
      </c>
      <c r="B49" s="287"/>
      <c r="C49" s="306">
        <f>SUM(C41:C48)</f>
        <v>21171739</v>
      </c>
      <c r="D49" s="307"/>
      <c r="E49" s="308">
        <f>SUM(E41:E48)</f>
        <v>-40849.65926</v>
      </c>
    </row>
    <row r="50" spans="1:10" ht="16.2" hidden="1" thickTop="1">
      <c r="A50" s="286"/>
      <c r="B50" s="287"/>
      <c r="C50" s="312">
        <v>21171739</v>
      </c>
      <c r="D50" s="307"/>
      <c r="E50" s="308"/>
    </row>
    <row r="51" spans="1:10" ht="15.6" hidden="1">
      <c r="A51" s="286"/>
      <c r="B51" s="287"/>
      <c r="C51" s="309">
        <f>C50-C49</f>
        <v>0</v>
      </c>
      <c r="D51" s="307"/>
      <c r="E51" s="308"/>
    </row>
    <row r="52" spans="1:10" ht="15.6" hidden="1">
      <c r="A52" s="292"/>
      <c r="B52" s="292"/>
      <c r="C52" s="286" t="s">
        <v>1</v>
      </c>
      <c r="D52" s="310">
        <f>A39</f>
        <v>41364</v>
      </c>
      <c r="E52" s="311">
        <f>E36+E49</f>
        <v>121338.15052000001</v>
      </c>
    </row>
    <row r="53" spans="1:10" ht="15" hidden="1" thickBot="1"/>
    <row r="54" spans="1:10" ht="15.6" hidden="1">
      <c r="A54" s="619" t="s">
        <v>197</v>
      </c>
      <c r="B54" s="620"/>
      <c r="C54" s="620"/>
      <c r="D54" s="620"/>
      <c r="E54" s="621"/>
      <c r="G54" s="292"/>
      <c r="H54" s="292"/>
      <c r="I54" s="292"/>
    </row>
    <row r="55" spans="1:10" ht="15.6" hidden="1">
      <c r="A55" s="220">
        <v>41394</v>
      </c>
      <c r="B55" s="278"/>
      <c r="C55" s="279" t="s">
        <v>101</v>
      </c>
      <c r="D55" s="280"/>
      <c r="E55" s="281"/>
    </row>
    <row r="56" spans="1:10" ht="16.2" hidden="1" thickBot="1">
      <c r="A56" s="282"/>
      <c r="B56" s="283"/>
      <c r="C56" s="284" t="s">
        <v>21</v>
      </c>
      <c r="D56" s="284" t="s">
        <v>22</v>
      </c>
      <c r="E56" s="285" t="s">
        <v>23</v>
      </c>
    </row>
    <row r="57" spans="1:10" ht="15.6" hidden="1">
      <c r="A57" s="286" t="s">
        <v>24</v>
      </c>
      <c r="B57" s="287">
        <v>101</v>
      </c>
      <c r="C57" s="288">
        <v>8689955</v>
      </c>
      <c r="D57" s="289">
        <v>-2.1900000000000001E-3</v>
      </c>
      <c r="E57" s="290">
        <v>-19031.00145</v>
      </c>
    </row>
    <row r="58" spans="1:10" ht="16.2" hidden="1" thickBot="1">
      <c r="A58" s="286" t="s">
        <v>24</v>
      </c>
      <c r="B58" s="287">
        <v>111</v>
      </c>
      <c r="C58" s="288">
        <v>3665435</v>
      </c>
      <c r="D58" s="289">
        <v>-2.1900000000000001E-3</v>
      </c>
      <c r="E58" s="290">
        <v>-8027.3026500000005</v>
      </c>
      <c r="G58" s="291">
        <f>A55</f>
        <v>41394</v>
      </c>
      <c r="H58" s="292"/>
      <c r="I58" s="292"/>
      <c r="J58" s="292"/>
    </row>
    <row r="59" spans="1:10" ht="16.2" hidden="1" thickBot="1">
      <c r="A59" s="286" t="s">
        <v>24</v>
      </c>
      <c r="B59" s="287">
        <v>112</v>
      </c>
      <c r="C59" s="288">
        <v>0</v>
      </c>
      <c r="D59" s="289">
        <v>-2.1900000000000001E-3</v>
      </c>
      <c r="E59" s="290">
        <v>0</v>
      </c>
      <c r="G59" s="293" t="s">
        <v>25</v>
      </c>
      <c r="H59" s="294"/>
      <c r="I59" s="295" t="s">
        <v>18</v>
      </c>
      <c r="J59" s="295" t="s">
        <v>19</v>
      </c>
    </row>
    <row r="60" spans="1:10" ht="15.6" hidden="1">
      <c r="A60" s="286" t="s">
        <v>24</v>
      </c>
      <c r="B60" s="287">
        <v>121</v>
      </c>
      <c r="C60" s="288">
        <v>375679</v>
      </c>
      <c r="D60" s="289">
        <v>-2.1900000000000001E-3</v>
      </c>
      <c r="E60" s="290">
        <v>-822.73701000000005</v>
      </c>
      <c r="G60" s="296" t="s">
        <v>97</v>
      </c>
      <c r="H60" s="297" t="s">
        <v>26</v>
      </c>
      <c r="I60" s="298">
        <f>-E65</f>
        <v>28792.572810000001</v>
      </c>
      <c r="J60" s="299">
        <v>0</v>
      </c>
    </row>
    <row r="61" spans="1:10" ht="16.2" hidden="1" thickBot="1">
      <c r="A61" s="286" t="s">
        <v>24</v>
      </c>
      <c r="B61" s="287">
        <v>122</v>
      </c>
      <c r="C61" s="288">
        <v>67054</v>
      </c>
      <c r="D61" s="289">
        <v>-2.1900000000000001E-3</v>
      </c>
      <c r="E61" s="290">
        <v>-146.84826000000001</v>
      </c>
      <c r="G61" s="300" t="s">
        <v>198</v>
      </c>
      <c r="H61" s="301" t="s">
        <v>199</v>
      </c>
      <c r="I61" s="302">
        <v>0</v>
      </c>
      <c r="J61" s="303">
        <f>-I60</f>
        <v>-28792.572810000001</v>
      </c>
    </row>
    <row r="62" spans="1:10" ht="15.6" hidden="1">
      <c r="A62" s="286" t="s">
        <v>24</v>
      </c>
      <c r="B62" s="287">
        <v>131</v>
      </c>
      <c r="C62" s="288">
        <v>0</v>
      </c>
      <c r="D62" s="289">
        <v>-2.1900000000000001E-3</v>
      </c>
      <c r="E62" s="290">
        <v>0</v>
      </c>
      <c r="G62" s="292"/>
      <c r="H62" s="292"/>
      <c r="I62" s="292"/>
      <c r="J62" s="304">
        <f>SUM(I60:J61)</f>
        <v>0</v>
      </c>
    </row>
    <row r="63" spans="1:10" ht="15.6" hidden="1">
      <c r="A63" s="286" t="s">
        <v>24</v>
      </c>
      <c r="B63" s="287">
        <v>132</v>
      </c>
      <c r="C63" s="288">
        <v>126416</v>
      </c>
      <c r="D63" s="289">
        <v>-2.1900000000000001E-3</v>
      </c>
      <c r="E63" s="290">
        <v>-276.85104000000001</v>
      </c>
    </row>
    <row r="64" spans="1:10" ht="15.6" hidden="1">
      <c r="A64" s="286" t="s">
        <v>24</v>
      </c>
      <c r="B64" s="287">
        <v>146</v>
      </c>
      <c r="C64" s="288">
        <v>2439162</v>
      </c>
      <c r="D64" s="289">
        <v>-2.0000000000000001E-4</v>
      </c>
      <c r="E64" s="305">
        <v>-487.83240000000001</v>
      </c>
    </row>
    <row r="65" spans="1:10" ht="16.2" hidden="1" thickBot="1">
      <c r="A65" s="286" t="s">
        <v>200</v>
      </c>
      <c r="B65" s="287"/>
      <c r="C65" s="306">
        <f>SUM(C57:C64)</f>
        <v>15363701</v>
      </c>
      <c r="D65" s="307"/>
      <c r="E65" s="308">
        <f>SUM(E57:E64)</f>
        <v>-28792.572810000001</v>
      </c>
    </row>
    <row r="66" spans="1:10" ht="16.2" hidden="1" thickTop="1">
      <c r="A66" s="286"/>
      <c r="B66" s="287"/>
      <c r="C66" s="312">
        <v>15363701</v>
      </c>
      <c r="D66" s="307"/>
      <c r="E66" s="308"/>
    </row>
    <row r="67" spans="1:10" ht="15.6" hidden="1">
      <c r="A67" s="286"/>
      <c r="B67" s="287"/>
      <c r="C67" s="309">
        <f>C66-C65</f>
        <v>0</v>
      </c>
      <c r="D67" s="307"/>
      <c r="E67" s="308"/>
    </row>
    <row r="68" spans="1:10" ht="15.6" hidden="1">
      <c r="A68" s="292"/>
      <c r="B68" s="292"/>
      <c r="C68" s="286" t="s">
        <v>1</v>
      </c>
      <c r="D68" s="310">
        <f>A55</f>
        <v>41394</v>
      </c>
      <c r="E68" s="311">
        <f>E52+E65</f>
        <v>92545.577710000012</v>
      </c>
      <c r="G68" s="387"/>
    </row>
    <row r="69" spans="1:10" ht="15" hidden="1" thickBot="1"/>
    <row r="70" spans="1:10" ht="15.6" hidden="1">
      <c r="A70" s="619" t="s">
        <v>197</v>
      </c>
      <c r="B70" s="620"/>
      <c r="C70" s="620"/>
      <c r="D70" s="620"/>
      <c r="E70" s="621"/>
      <c r="G70" s="292"/>
      <c r="H70" s="292"/>
      <c r="I70" s="292"/>
    </row>
    <row r="71" spans="1:10" ht="15.6" hidden="1">
      <c r="A71" s="220">
        <v>41425</v>
      </c>
      <c r="B71" s="278"/>
      <c r="C71" s="279" t="s">
        <v>101</v>
      </c>
      <c r="D71" s="280"/>
      <c r="E71" s="281"/>
    </row>
    <row r="72" spans="1:10" ht="16.2" hidden="1" thickBot="1">
      <c r="A72" s="282"/>
      <c r="B72" s="283"/>
      <c r="C72" s="284" t="s">
        <v>21</v>
      </c>
      <c r="D72" s="284" t="s">
        <v>22</v>
      </c>
      <c r="E72" s="285" t="s">
        <v>23</v>
      </c>
    </row>
    <row r="73" spans="1:10" ht="15.6" hidden="1">
      <c r="A73" s="286" t="s">
        <v>24</v>
      </c>
      <c r="B73" s="287">
        <v>101</v>
      </c>
      <c r="C73" s="288">
        <v>4182901</v>
      </c>
      <c r="D73" s="289">
        <v>-2.1900000000000001E-3</v>
      </c>
      <c r="E73" s="290">
        <v>-9160.5531900000005</v>
      </c>
    </row>
    <row r="74" spans="1:10" ht="16.2" hidden="1" thickBot="1">
      <c r="A74" s="286" t="s">
        <v>24</v>
      </c>
      <c r="B74" s="287">
        <v>111</v>
      </c>
      <c r="C74" s="288">
        <v>1970725</v>
      </c>
      <c r="D74" s="289">
        <v>-2.1900000000000001E-3</v>
      </c>
      <c r="E74" s="290">
        <v>-4315.8877499999999</v>
      </c>
      <c r="G74" s="291">
        <f>A71</f>
        <v>41425</v>
      </c>
      <c r="H74" s="292"/>
      <c r="I74" s="292"/>
      <c r="J74" s="292"/>
    </row>
    <row r="75" spans="1:10" ht="16.2" hidden="1" thickBot="1">
      <c r="A75" s="286" t="s">
        <v>24</v>
      </c>
      <c r="B75" s="287">
        <v>112</v>
      </c>
      <c r="C75" s="288">
        <v>0</v>
      </c>
      <c r="D75" s="289">
        <v>-2.1900000000000001E-3</v>
      </c>
      <c r="E75" s="290">
        <v>0</v>
      </c>
      <c r="G75" s="293" t="s">
        <v>25</v>
      </c>
      <c r="H75" s="294"/>
      <c r="I75" s="295" t="s">
        <v>18</v>
      </c>
      <c r="J75" s="295" t="s">
        <v>19</v>
      </c>
    </row>
    <row r="76" spans="1:10" ht="15.6" hidden="1">
      <c r="A76" s="286" t="s">
        <v>24</v>
      </c>
      <c r="B76" s="287">
        <v>121</v>
      </c>
      <c r="C76" s="288">
        <v>339319</v>
      </c>
      <c r="D76" s="289">
        <v>-2.1900000000000001E-3</v>
      </c>
      <c r="E76" s="290">
        <v>-743.10861</v>
      </c>
      <c r="G76" s="296" t="s">
        <v>97</v>
      </c>
      <c r="H76" s="297" t="s">
        <v>26</v>
      </c>
      <c r="I76" s="298">
        <f>-E81</f>
        <v>14976.37256</v>
      </c>
      <c r="J76" s="299">
        <v>0</v>
      </c>
    </row>
    <row r="77" spans="1:10" ht="16.2" hidden="1" thickBot="1">
      <c r="A77" s="286" t="s">
        <v>24</v>
      </c>
      <c r="B77" s="287">
        <v>122</v>
      </c>
      <c r="C77" s="288">
        <v>57247</v>
      </c>
      <c r="D77" s="289">
        <v>-2.1900000000000001E-3</v>
      </c>
      <c r="E77" s="290">
        <v>-125.37093</v>
      </c>
      <c r="G77" s="300" t="s">
        <v>198</v>
      </c>
      <c r="H77" s="301" t="s">
        <v>199</v>
      </c>
      <c r="I77" s="302">
        <v>0</v>
      </c>
      <c r="J77" s="303">
        <f>-I76</f>
        <v>-14976.37256</v>
      </c>
    </row>
    <row r="78" spans="1:10" ht="15.6" hidden="1">
      <c r="A78" s="286" t="s">
        <v>24</v>
      </c>
      <c r="B78" s="287">
        <v>131</v>
      </c>
      <c r="C78" s="288">
        <v>0</v>
      </c>
      <c r="D78" s="289">
        <v>-2.1900000000000001E-3</v>
      </c>
      <c r="E78" s="290">
        <v>0</v>
      </c>
      <c r="G78" s="292"/>
      <c r="H78" s="292"/>
      <c r="I78" s="292"/>
      <c r="J78" s="304">
        <f>SUM(I76:J77)</f>
        <v>0</v>
      </c>
    </row>
    <row r="79" spans="1:10" ht="15.6" hidden="1">
      <c r="A79" s="286" t="s">
        <v>24</v>
      </c>
      <c r="B79" s="287">
        <v>132</v>
      </c>
      <c r="C79" s="288">
        <v>107592</v>
      </c>
      <c r="D79" s="289">
        <v>-2.1900000000000001E-3</v>
      </c>
      <c r="E79" s="290">
        <v>-235.62648000000002</v>
      </c>
    </row>
    <row r="80" spans="1:10" ht="15.6" hidden="1">
      <c r="A80" s="286" t="s">
        <v>24</v>
      </c>
      <c r="B80" s="287">
        <v>146</v>
      </c>
      <c r="C80" s="288">
        <v>1979128</v>
      </c>
      <c r="D80" s="289">
        <v>-2.0000000000000001E-4</v>
      </c>
      <c r="E80" s="305">
        <v>-395.82560000000001</v>
      </c>
    </row>
    <row r="81" spans="1:10" ht="16.2" hidden="1" thickBot="1">
      <c r="A81" s="286" t="s">
        <v>200</v>
      </c>
      <c r="B81" s="287"/>
      <c r="C81" s="306">
        <f>SUM(C73:C80)</f>
        <v>8636912</v>
      </c>
      <c r="D81" s="307"/>
      <c r="E81" s="308">
        <f>SUM(E73:E80)</f>
        <v>-14976.37256</v>
      </c>
    </row>
    <row r="82" spans="1:10" ht="16.2" hidden="1" thickTop="1">
      <c r="A82" s="286"/>
      <c r="B82" s="287"/>
      <c r="C82" s="312">
        <v>8636912</v>
      </c>
      <c r="D82" s="307"/>
      <c r="E82" s="308"/>
    </row>
    <row r="83" spans="1:10" ht="15.6" hidden="1">
      <c r="A83" s="286"/>
      <c r="B83" s="287"/>
      <c r="C83" s="309">
        <f>C82-C81</f>
        <v>0</v>
      </c>
      <c r="D83" s="307"/>
      <c r="E83" s="308"/>
    </row>
    <row r="84" spans="1:10" ht="15.6">
      <c r="A84" s="292"/>
      <c r="B84" s="292"/>
      <c r="C84" s="286" t="s">
        <v>1</v>
      </c>
      <c r="D84" s="310">
        <f>EOMONTH(D68,1)</f>
        <v>41425</v>
      </c>
      <c r="E84" s="311">
        <f>E68+E81</f>
        <v>77569.205150000009</v>
      </c>
    </row>
    <row r="85" spans="1:10" ht="15" thickBot="1"/>
    <row r="86" spans="1:10" ht="15.6">
      <c r="A86" s="619" t="s">
        <v>197</v>
      </c>
      <c r="B86" s="620"/>
      <c r="C86" s="620"/>
      <c r="D86" s="620"/>
      <c r="E86" s="621"/>
      <c r="G86" s="292"/>
      <c r="H86" s="292"/>
      <c r="I86" s="292"/>
    </row>
    <row r="87" spans="1:10" ht="15.6">
      <c r="A87" s="220">
        <v>41426</v>
      </c>
      <c r="B87" s="278"/>
      <c r="C87" s="279" t="s">
        <v>101</v>
      </c>
      <c r="D87" s="280"/>
      <c r="E87" s="281"/>
    </row>
    <row r="88" spans="1:10" ht="16.2" thickBot="1">
      <c r="A88" s="282"/>
      <c r="B88" s="283"/>
      <c r="C88" s="284" t="s">
        <v>21</v>
      </c>
      <c r="D88" s="284" t="s">
        <v>22</v>
      </c>
      <c r="E88" s="285" t="s">
        <v>23</v>
      </c>
    </row>
    <row r="89" spans="1:10" ht="15.6">
      <c r="A89" s="286" t="s">
        <v>24</v>
      </c>
      <c r="B89" s="287">
        <v>101</v>
      </c>
      <c r="C89" s="288">
        <v>2800295</v>
      </c>
      <c r="D89" s="289">
        <v>-2.1900000000000001E-3</v>
      </c>
      <c r="E89" s="290">
        <v>-6132.6460500000003</v>
      </c>
    </row>
    <row r="90" spans="1:10" ht="16.2" thickBot="1">
      <c r="A90" s="286" t="s">
        <v>24</v>
      </c>
      <c r="B90" s="287">
        <v>111</v>
      </c>
      <c r="C90" s="288">
        <v>1678252</v>
      </c>
      <c r="D90" s="289">
        <v>-2.1900000000000001E-3</v>
      </c>
      <c r="E90" s="290">
        <v>-3675.3718800000001</v>
      </c>
      <c r="G90" s="291">
        <f>A87</f>
        <v>41426</v>
      </c>
      <c r="H90" s="292"/>
      <c r="I90" s="292"/>
      <c r="J90" s="292"/>
    </row>
    <row r="91" spans="1:10" ht="16.2" thickBot="1">
      <c r="A91" s="286" t="s">
        <v>24</v>
      </c>
      <c r="B91" s="287">
        <v>112</v>
      </c>
      <c r="C91" s="288">
        <v>0</v>
      </c>
      <c r="D91" s="289">
        <v>-2.1900000000000001E-3</v>
      </c>
      <c r="E91" s="290">
        <v>0</v>
      </c>
      <c r="G91" s="293" t="s">
        <v>25</v>
      </c>
      <c r="H91" s="294"/>
      <c r="I91" s="295" t="s">
        <v>18</v>
      </c>
      <c r="J91" s="295" t="s">
        <v>19</v>
      </c>
    </row>
    <row r="92" spans="1:10" ht="15.6">
      <c r="A92" s="286" t="s">
        <v>24</v>
      </c>
      <c r="B92" s="287">
        <v>121</v>
      </c>
      <c r="C92" s="288">
        <v>339158</v>
      </c>
      <c r="D92" s="289">
        <v>-2.1900000000000001E-3</v>
      </c>
      <c r="E92" s="290">
        <v>-742.75602000000003</v>
      </c>
      <c r="G92" s="296" t="s">
        <v>97</v>
      </c>
      <c r="H92" s="297" t="s">
        <v>26</v>
      </c>
      <c r="I92" s="298">
        <f>-E97</f>
        <v>11131.53289</v>
      </c>
      <c r="J92" s="299">
        <v>0</v>
      </c>
    </row>
    <row r="93" spans="1:10" ht="16.2" thickBot="1">
      <c r="A93" s="286" t="s">
        <v>24</v>
      </c>
      <c r="B93" s="287">
        <v>122</v>
      </c>
      <c r="C93" s="288">
        <v>42891</v>
      </c>
      <c r="D93" s="289">
        <v>-2.1900000000000001E-3</v>
      </c>
      <c r="E93" s="290">
        <v>-93.931290000000004</v>
      </c>
      <c r="G93" s="300" t="s">
        <v>198</v>
      </c>
      <c r="H93" s="301" t="s">
        <v>199</v>
      </c>
      <c r="I93" s="302">
        <v>0</v>
      </c>
      <c r="J93" s="303">
        <f>-I92</f>
        <v>-11131.53289</v>
      </c>
    </row>
    <row r="94" spans="1:10" ht="15.6">
      <c r="A94" s="286" t="s">
        <v>24</v>
      </c>
      <c r="B94" s="287">
        <v>131</v>
      </c>
      <c r="C94" s="288">
        <v>0</v>
      </c>
      <c r="D94" s="289">
        <v>-2.1900000000000001E-3</v>
      </c>
      <c r="E94" s="290">
        <v>0</v>
      </c>
      <c r="G94" s="292"/>
      <c r="H94" s="292"/>
      <c r="I94" s="292"/>
      <c r="J94" s="304">
        <f>SUM(I92:J93)</f>
        <v>0</v>
      </c>
    </row>
    <row r="95" spans="1:10" ht="15.6">
      <c r="A95" s="286" t="s">
        <v>24</v>
      </c>
      <c r="B95" s="287">
        <v>132</v>
      </c>
      <c r="C95" s="288">
        <v>77535</v>
      </c>
      <c r="D95" s="289">
        <v>-2.1900000000000001E-3</v>
      </c>
      <c r="E95" s="290">
        <v>-169.80165</v>
      </c>
    </row>
    <row r="96" spans="1:10" ht="15.6">
      <c r="A96" s="286" t="s">
        <v>24</v>
      </c>
      <c r="B96" s="287">
        <v>146</v>
      </c>
      <c r="C96" s="288">
        <v>1585130</v>
      </c>
      <c r="D96" s="289">
        <v>-2.0000000000000001E-4</v>
      </c>
      <c r="E96" s="305">
        <v>-317.02600000000001</v>
      </c>
    </row>
    <row r="97" spans="1:10" ht="16.2" thickBot="1">
      <c r="A97" s="286" t="s">
        <v>200</v>
      </c>
      <c r="B97" s="287"/>
      <c r="C97" s="306">
        <f>SUM(C89:C96)</f>
        <v>6523261</v>
      </c>
      <c r="D97" s="307"/>
      <c r="E97" s="308">
        <f>SUM(E89:E96)</f>
        <v>-11131.53289</v>
      </c>
    </row>
    <row r="98" spans="1:10" ht="16.2" thickTop="1">
      <c r="A98" s="286"/>
      <c r="B98" s="287"/>
      <c r="C98" s="312">
        <v>6523261</v>
      </c>
      <c r="D98" s="307"/>
      <c r="E98" s="308"/>
    </row>
    <row r="99" spans="1:10" ht="15.6">
      <c r="A99" s="286"/>
      <c r="B99" s="287"/>
      <c r="C99" s="309">
        <f>C98-C97</f>
        <v>0</v>
      </c>
      <c r="D99" s="307"/>
      <c r="E99" s="308"/>
    </row>
    <row r="100" spans="1:10" ht="15.6">
      <c r="A100" s="292"/>
      <c r="B100" s="292"/>
      <c r="C100" s="286" t="s">
        <v>1</v>
      </c>
      <c r="D100" s="310">
        <f>EOMONTH(D84,1)</f>
        <v>41455</v>
      </c>
      <c r="E100" s="311">
        <f>E84+E97</f>
        <v>66437.672260000007</v>
      </c>
    </row>
    <row r="101" spans="1:10" ht="15" thickBot="1"/>
    <row r="102" spans="1:10" ht="15.6">
      <c r="A102" s="619" t="s">
        <v>197</v>
      </c>
      <c r="B102" s="620"/>
      <c r="C102" s="620"/>
      <c r="D102" s="620"/>
      <c r="E102" s="621"/>
      <c r="G102" s="292"/>
      <c r="H102" s="292"/>
      <c r="I102" s="292"/>
    </row>
    <row r="103" spans="1:10" ht="15.6">
      <c r="A103" s="220">
        <v>41456</v>
      </c>
      <c r="B103" s="278"/>
      <c r="C103" s="279" t="s">
        <v>101</v>
      </c>
      <c r="D103" s="280"/>
      <c r="E103" s="281"/>
    </row>
    <row r="104" spans="1:10" ht="16.2" thickBot="1">
      <c r="A104" s="282"/>
      <c r="B104" s="283"/>
      <c r="C104" s="284" t="s">
        <v>21</v>
      </c>
      <c r="D104" s="284" t="s">
        <v>22</v>
      </c>
      <c r="E104" s="285" t="s">
        <v>23</v>
      </c>
    </row>
    <row r="105" spans="1:10" ht="15.6">
      <c r="A105" s="286" t="s">
        <v>24</v>
      </c>
      <c r="B105" s="287">
        <v>101</v>
      </c>
      <c r="C105" s="288">
        <v>2082299</v>
      </c>
      <c r="D105" s="289">
        <v>-2.1900000000000001E-3</v>
      </c>
      <c r="E105" s="290">
        <v>-4560.2348099999999</v>
      </c>
    </row>
    <row r="106" spans="1:10" ht="16.2" thickBot="1">
      <c r="A106" s="286" t="s">
        <v>24</v>
      </c>
      <c r="B106" s="287">
        <v>111</v>
      </c>
      <c r="C106" s="288">
        <v>1140112</v>
      </c>
      <c r="D106" s="289">
        <v>-2.1900000000000001E-3</v>
      </c>
      <c r="E106" s="290">
        <v>-2496.84528</v>
      </c>
      <c r="G106" s="291">
        <f>A103</f>
        <v>41456</v>
      </c>
      <c r="H106" s="292"/>
      <c r="I106" s="292"/>
      <c r="J106" s="292"/>
    </row>
    <row r="107" spans="1:10" ht="16.2" thickBot="1">
      <c r="A107" s="286" t="s">
        <v>24</v>
      </c>
      <c r="B107" s="287">
        <v>112</v>
      </c>
      <c r="C107" s="288">
        <v>0</v>
      </c>
      <c r="D107" s="289">
        <v>-2.1900000000000001E-3</v>
      </c>
      <c r="E107" s="290">
        <v>0</v>
      </c>
      <c r="G107" s="293" t="s">
        <v>25</v>
      </c>
      <c r="H107" s="294"/>
      <c r="I107" s="295" t="s">
        <v>18</v>
      </c>
      <c r="J107" s="295" t="s">
        <v>19</v>
      </c>
    </row>
    <row r="108" spans="1:10" ht="15.6">
      <c r="A108" s="286" t="s">
        <v>24</v>
      </c>
      <c r="B108" s="287">
        <v>121</v>
      </c>
      <c r="C108" s="288">
        <v>304732</v>
      </c>
      <c r="D108" s="289">
        <v>-2.1900000000000001E-3</v>
      </c>
      <c r="E108" s="290">
        <v>-667.36308000000008</v>
      </c>
      <c r="G108" s="296" t="s">
        <v>97</v>
      </c>
      <c r="H108" s="297" t="s">
        <v>26</v>
      </c>
      <c r="I108" s="298">
        <f>-E113</f>
        <v>8287.0303600000007</v>
      </c>
      <c r="J108" s="299">
        <v>0</v>
      </c>
    </row>
    <row r="109" spans="1:10" ht="16.2" thickBot="1">
      <c r="A109" s="286" t="s">
        <v>24</v>
      </c>
      <c r="B109" s="287">
        <v>122</v>
      </c>
      <c r="C109" s="288">
        <v>30928</v>
      </c>
      <c r="D109" s="289">
        <v>-2.1900000000000001E-3</v>
      </c>
      <c r="E109" s="290">
        <v>-67.732320000000001</v>
      </c>
      <c r="G109" s="300" t="s">
        <v>198</v>
      </c>
      <c r="H109" s="301" t="s">
        <v>199</v>
      </c>
      <c r="I109" s="302">
        <v>0</v>
      </c>
      <c r="J109" s="303">
        <f>-I108</f>
        <v>-8287.0303600000007</v>
      </c>
    </row>
    <row r="110" spans="1:10" ht="15.6">
      <c r="A110" s="286" t="s">
        <v>24</v>
      </c>
      <c r="B110" s="287">
        <v>131</v>
      </c>
      <c r="C110" s="288">
        <v>0</v>
      </c>
      <c r="D110" s="289">
        <v>-2.1900000000000001E-3</v>
      </c>
      <c r="E110" s="290">
        <v>0</v>
      </c>
      <c r="G110" s="292"/>
      <c r="H110" s="292"/>
      <c r="I110" s="292"/>
      <c r="J110" s="304">
        <f>SUM(I108:J109)</f>
        <v>0</v>
      </c>
    </row>
    <row r="111" spans="1:10" ht="15.6">
      <c r="A111" s="286" t="s">
        <v>24</v>
      </c>
      <c r="B111" s="287">
        <v>132</v>
      </c>
      <c r="C111" s="288">
        <v>74633</v>
      </c>
      <c r="D111" s="289">
        <v>-2.1900000000000001E-3</v>
      </c>
      <c r="E111" s="290">
        <v>-163.44627</v>
      </c>
    </row>
    <row r="112" spans="1:10" ht="15.6">
      <c r="A112" s="286" t="s">
        <v>24</v>
      </c>
      <c r="B112" s="287">
        <v>146</v>
      </c>
      <c r="C112" s="288">
        <v>1657043</v>
      </c>
      <c r="D112" s="289">
        <v>-2.0000000000000001E-4</v>
      </c>
      <c r="E112" s="305">
        <v>-331.40860000000004</v>
      </c>
    </row>
    <row r="113" spans="1:10" ht="16.2" thickBot="1">
      <c r="A113" s="286" t="s">
        <v>200</v>
      </c>
      <c r="B113" s="287"/>
      <c r="C113" s="306">
        <f>SUM(C105:C112)</f>
        <v>5289747</v>
      </c>
      <c r="D113" s="307"/>
      <c r="E113" s="308">
        <f>SUM(E105:E112)</f>
        <v>-8287.0303600000007</v>
      </c>
    </row>
    <row r="114" spans="1:10" ht="16.2" thickTop="1">
      <c r="A114" s="286"/>
      <c r="B114" s="287"/>
      <c r="C114" s="312">
        <v>5289747</v>
      </c>
      <c r="D114" s="307"/>
      <c r="E114" s="308"/>
    </row>
    <row r="115" spans="1:10" ht="15.6">
      <c r="A115" s="286"/>
      <c r="B115" s="287"/>
      <c r="C115" s="309">
        <f>C114-C113</f>
        <v>0</v>
      </c>
      <c r="D115" s="307"/>
      <c r="E115" s="308"/>
    </row>
    <row r="116" spans="1:10" ht="15.6">
      <c r="A116" s="292"/>
      <c r="B116" s="292"/>
      <c r="C116" s="286" t="s">
        <v>1</v>
      </c>
      <c r="D116" s="310">
        <f>EOMONTH(D100,1)</f>
        <v>41486</v>
      </c>
      <c r="E116" s="311">
        <f>E100+E113</f>
        <v>58150.641900000002</v>
      </c>
    </row>
    <row r="117" spans="1:10" ht="15" thickBot="1"/>
    <row r="118" spans="1:10" ht="15.6">
      <c r="A118" s="619" t="s">
        <v>197</v>
      </c>
      <c r="B118" s="620"/>
      <c r="C118" s="620"/>
      <c r="D118" s="620"/>
      <c r="E118" s="621"/>
      <c r="G118" s="292"/>
      <c r="H118" s="292"/>
      <c r="I118" s="292"/>
    </row>
    <row r="119" spans="1:10" ht="15.6">
      <c r="A119" s="220">
        <v>41487</v>
      </c>
      <c r="B119" s="278"/>
      <c r="C119" s="279" t="s">
        <v>101</v>
      </c>
      <c r="D119" s="280"/>
      <c r="E119" s="281"/>
    </row>
    <row r="120" spans="1:10" ht="16.2" thickBot="1">
      <c r="A120" s="282"/>
      <c r="B120" s="283"/>
      <c r="C120" s="284" t="s">
        <v>21</v>
      </c>
      <c r="D120" s="284" t="s">
        <v>22</v>
      </c>
      <c r="E120" s="285" t="s">
        <v>23</v>
      </c>
    </row>
    <row r="121" spans="1:10" ht="15.6">
      <c r="A121" s="286" t="s">
        <v>24</v>
      </c>
      <c r="B121" s="287">
        <v>101</v>
      </c>
      <c r="C121" s="288">
        <v>2046635</v>
      </c>
      <c r="D121" s="289">
        <v>-2.1900000000000001E-3</v>
      </c>
      <c r="E121" s="290">
        <v>-4482.1306500000001</v>
      </c>
    </row>
    <row r="122" spans="1:10" ht="16.2" thickBot="1">
      <c r="A122" s="286" t="s">
        <v>24</v>
      </c>
      <c r="B122" s="287">
        <v>111</v>
      </c>
      <c r="C122" s="288">
        <v>1287109</v>
      </c>
      <c r="D122" s="289">
        <v>-2.1900000000000001E-3</v>
      </c>
      <c r="E122" s="290">
        <v>-2818.7687100000003</v>
      </c>
      <c r="G122" s="291">
        <f>A119</f>
        <v>41487</v>
      </c>
      <c r="H122" s="292"/>
      <c r="I122" s="292"/>
      <c r="J122" s="292"/>
    </row>
    <row r="123" spans="1:10" ht="16.2" thickBot="1">
      <c r="A123" s="286" t="s">
        <v>24</v>
      </c>
      <c r="B123" s="287">
        <v>112</v>
      </c>
      <c r="C123" s="288">
        <v>0</v>
      </c>
      <c r="D123" s="289">
        <v>-2.1900000000000001E-3</v>
      </c>
      <c r="E123" s="290">
        <v>0</v>
      </c>
      <c r="G123" s="293" t="s">
        <v>25</v>
      </c>
      <c r="H123" s="294"/>
      <c r="I123" s="295" t="s">
        <v>18</v>
      </c>
      <c r="J123" s="295" t="s">
        <v>19</v>
      </c>
    </row>
    <row r="124" spans="1:10" ht="15.6">
      <c r="A124" s="286" t="s">
        <v>24</v>
      </c>
      <c r="B124" s="287">
        <v>121</v>
      </c>
      <c r="C124" s="288">
        <v>364418</v>
      </c>
      <c r="D124" s="289">
        <v>-2.1900000000000001E-3</v>
      </c>
      <c r="E124" s="290">
        <v>-798.07542000000001</v>
      </c>
      <c r="G124" s="296" t="s">
        <v>97</v>
      </c>
      <c r="H124" s="297" t="s">
        <v>26</v>
      </c>
      <c r="I124" s="298">
        <f>-E129</f>
        <v>8611.5948700000008</v>
      </c>
      <c r="J124" s="299">
        <v>0</v>
      </c>
    </row>
    <row r="125" spans="1:10" ht="16.2" thickBot="1">
      <c r="A125" s="286" t="s">
        <v>24</v>
      </c>
      <c r="B125" s="287">
        <v>122</v>
      </c>
      <c r="C125" s="288">
        <v>28500</v>
      </c>
      <c r="D125" s="289">
        <v>-2.1900000000000001E-3</v>
      </c>
      <c r="E125" s="290">
        <v>-62.415000000000006</v>
      </c>
      <c r="G125" s="300" t="s">
        <v>198</v>
      </c>
      <c r="H125" s="301" t="s">
        <v>199</v>
      </c>
      <c r="I125" s="302">
        <v>0</v>
      </c>
      <c r="J125" s="303">
        <f>-I124</f>
        <v>-8611.5948700000008</v>
      </c>
    </row>
    <row r="126" spans="1:10" ht="15.6">
      <c r="A126" s="286" t="s">
        <v>24</v>
      </c>
      <c r="B126" s="287">
        <v>131</v>
      </c>
      <c r="C126" s="288">
        <v>0</v>
      </c>
      <c r="D126" s="289">
        <v>-2.1900000000000001E-3</v>
      </c>
      <c r="E126" s="290">
        <v>0</v>
      </c>
      <c r="G126" s="292"/>
      <c r="H126" s="292"/>
      <c r="I126" s="292"/>
      <c r="J126" s="304">
        <f>SUM(I124:J125)</f>
        <v>0</v>
      </c>
    </row>
    <row r="127" spans="1:10" ht="15.6">
      <c r="A127" s="286" t="s">
        <v>24</v>
      </c>
      <c r="B127" s="287">
        <v>132</v>
      </c>
      <c r="C127" s="288">
        <v>49431</v>
      </c>
      <c r="D127" s="289">
        <v>-2.1900000000000001E-3</v>
      </c>
      <c r="E127" s="290">
        <v>-108.25389</v>
      </c>
    </row>
    <row r="128" spans="1:10" ht="15.6">
      <c r="A128" s="286" t="s">
        <v>24</v>
      </c>
      <c r="B128" s="287">
        <v>146</v>
      </c>
      <c r="C128" s="288">
        <v>1709756</v>
      </c>
      <c r="D128" s="289">
        <v>-2.0000000000000001E-4</v>
      </c>
      <c r="E128" s="305">
        <v>-341.95120000000003</v>
      </c>
    </row>
    <row r="129" spans="1:10" ht="16.2" thickBot="1">
      <c r="A129" s="286" t="s">
        <v>200</v>
      </c>
      <c r="B129" s="287"/>
      <c r="C129" s="306">
        <f>SUM(C121:C128)</f>
        <v>5485849</v>
      </c>
      <c r="D129" s="307"/>
      <c r="E129" s="308">
        <f>SUM(E121:E128)</f>
        <v>-8611.5948700000008</v>
      </c>
    </row>
    <row r="130" spans="1:10" ht="16.2" thickTop="1">
      <c r="A130" s="286"/>
      <c r="B130" s="287"/>
      <c r="C130" s="312">
        <v>5485849</v>
      </c>
      <c r="D130" s="307"/>
      <c r="E130" s="308"/>
    </row>
    <row r="131" spans="1:10" ht="15.6">
      <c r="A131" s="286"/>
      <c r="B131" s="287"/>
      <c r="C131" s="309">
        <f>C130-C129</f>
        <v>0</v>
      </c>
      <c r="D131" s="307"/>
      <c r="E131" s="308"/>
    </row>
    <row r="132" spans="1:10" ht="15.6">
      <c r="A132" s="292"/>
      <c r="B132" s="292"/>
      <c r="C132" s="286" t="s">
        <v>1</v>
      </c>
      <c r="D132" s="310">
        <f>EOMONTH(D116,1)</f>
        <v>41517</v>
      </c>
      <c r="E132" s="311">
        <f>E116+E129</f>
        <v>49539.047030000002</v>
      </c>
    </row>
    <row r="133" spans="1:10" ht="15" thickBot="1"/>
    <row r="134" spans="1:10" ht="15.6">
      <c r="A134" s="619" t="s">
        <v>197</v>
      </c>
      <c r="B134" s="620"/>
      <c r="C134" s="620"/>
      <c r="D134" s="620"/>
      <c r="E134" s="621"/>
      <c r="G134" s="292"/>
      <c r="H134" s="292"/>
      <c r="I134" s="292"/>
    </row>
    <row r="135" spans="1:10" ht="15.6">
      <c r="A135" s="220">
        <v>41518</v>
      </c>
      <c r="B135" s="278"/>
      <c r="C135" s="279" t="s">
        <v>101</v>
      </c>
      <c r="D135" s="280"/>
      <c r="E135" s="281"/>
    </row>
    <row r="136" spans="1:10" ht="16.2" thickBot="1">
      <c r="A136" s="282"/>
      <c r="B136" s="283"/>
      <c r="C136" s="284" t="s">
        <v>21</v>
      </c>
      <c r="D136" s="284" t="s">
        <v>22</v>
      </c>
      <c r="E136" s="285" t="s">
        <v>23</v>
      </c>
    </row>
    <row r="137" spans="1:10" ht="15.6">
      <c r="A137" s="286" t="s">
        <v>24</v>
      </c>
      <c r="B137" s="287">
        <v>101</v>
      </c>
      <c r="C137" s="288">
        <v>2647538</v>
      </c>
      <c r="D137" s="289">
        <v>-2.1900000000000001E-3</v>
      </c>
      <c r="E137" s="290">
        <v>-5798.1082200000001</v>
      </c>
    </row>
    <row r="138" spans="1:10" ht="16.2" thickBot="1">
      <c r="A138" s="286" t="s">
        <v>24</v>
      </c>
      <c r="B138" s="287">
        <v>111</v>
      </c>
      <c r="C138" s="288">
        <v>1599551</v>
      </c>
      <c r="D138" s="289">
        <v>-2.1900000000000001E-3</v>
      </c>
      <c r="E138" s="290">
        <v>-3503.0166900000004</v>
      </c>
      <c r="G138" s="291">
        <f>A135</f>
        <v>41518</v>
      </c>
      <c r="H138" s="292"/>
      <c r="I138" s="292"/>
      <c r="J138" s="292"/>
    </row>
    <row r="139" spans="1:10" ht="16.2" thickBot="1">
      <c r="A139" s="286" t="s">
        <v>24</v>
      </c>
      <c r="B139" s="287">
        <v>112</v>
      </c>
      <c r="C139" s="288">
        <v>0</v>
      </c>
      <c r="D139" s="289">
        <v>-2.1900000000000001E-3</v>
      </c>
      <c r="E139" s="290">
        <v>0</v>
      </c>
      <c r="G139" s="293" t="s">
        <v>25</v>
      </c>
      <c r="H139" s="294"/>
      <c r="I139" s="295" t="s">
        <v>18</v>
      </c>
      <c r="J139" s="295" t="s">
        <v>19</v>
      </c>
    </row>
    <row r="140" spans="1:10" ht="15.6">
      <c r="A140" s="286" t="s">
        <v>24</v>
      </c>
      <c r="B140" s="287">
        <v>121</v>
      </c>
      <c r="C140" s="288">
        <v>344046</v>
      </c>
      <c r="D140" s="289">
        <v>-2.1900000000000001E-3</v>
      </c>
      <c r="E140" s="290">
        <v>-753.46073999999999</v>
      </c>
      <c r="G140" s="296" t="s">
        <v>97</v>
      </c>
      <c r="H140" s="297" t="s">
        <v>26</v>
      </c>
      <c r="I140" s="298">
        <f>-E145</f>
        <v>10606.31724</v>
      </c>
      <c r="J140" s="299">
        <v>0</v>
      </c>
    </row>
    <row r="141" spans="1:10" ht="16.2" thickBot="1">
      <c r="A141" s="286" t="s">
        <v>24</v>
      </c>
      <c r="B141" s="287">
        <v>122</v>
      </c>
      <c r="C141" s="288">
        <v>31388</v>
      </c>
      <c r="D141" s="289">
        <v>-2.1900000000000001E-3</v>
      </c>
      <c r="E141" s="290">
        <v>-68.739720000000005</v>
      </c>
      <c r="G141" s="300" t="s">
        <v>198</v>
      </c>
      <c r="H141" s="301" t="s">
        <v>199</v>
      </c>
      <c r="I141" s="302">
        <v>0</v>
      </c>
      <c r="J141" s="303">
        <f>-I140</f>
        <v>-10606.31724</v>
      </c>
    </row>
    <row r="142" spans="1:10" ht="15.6">
      <c r="A142" s="286" t="s">
        <v>24</v>
      </c>
      <c r="B142" s="287">
        <v>131</v>
      </c>
      <c r="C142" s="288">
        <v>0</v>
      </c>
      <c r="D142" s="289">
        <v>-2.1900000000000001E-3</v>
      </c>
      <c r="E142" s="290">
        <v>0</v>
      </c>
      <c r="G142" s="292"/>
      <c r="H142" s="292"/>
      <c r="I142" s="292"/>
      <c r="J142" s="304">
        <f>SUM(I140:J141)</f>
        <v>0</v>
      </c>
    </row>
    <row r="143" spans="1:10" ht="15.6">
      <c r="A143" s="286" t="s">
        <v>24</v>
      </c>
      <c r="B143" s="287">
        <v>132</v>
      </c>
      <c r="C143" s="288">
        <v>54453</v>
      </c>
      <c r="D143" s="289">
        <v>-2.1900000000000001E-3</v>
      </c>
      <c r="E143" s="290">
        <v>-119.25207</v>
      </c>
    </row>
    <row r="144" spans="1:10" ht="15.6">
      <c r="A144" s="286" t="s">
        <v>24</v>
      </c>
      <c r="B144" s="287">
        <v>146</v>
      </c>
      <c r="C144" s="288">
        <v>1818699</v>
      </c>
      <c r="D144" s="289">
        <v>-2.0000000000000001E-4</v>
      </c>
      <c r="E144" s="305">
        <v>-363.7398</v>
      </c>
    </row>
    <row r="145" spans="1:10" ht="16.2" thickBot="1">
      <c r="A145" s="286" t="s">
        <v>200</v>
      </c>
      <c r="B145" s="287"/>
      <c r="C145" s="306">
        <f>SUM(C137:C144)</f>
        <v>6495675</v>
      </c>
      <c r="D145" s="307"/>
      <c r="E145" s="308">
        <f>SUM(E137:E144)</f>
        <v>-10606.31724</v>
      </c>
    </row>
    <row r="146" spans="1:10" ht="16.2" thickTop="1">
      <c r="A146" s="286"/>
      <c r="B146" s="287"/>
      <c r="C146" s="312">
        <v>6495675</v>
      </c>
      <c r="D146" s="307"/>
      <c r="E146" s="308"/>
    </row>
    <row r="147" spans="1:10" ht="15.6">
      <c r="A147" s="286"/>
      <c r="B147" s="287"/>
      <c r="C147" s="309">
        <f>C146-C145</f>
        <v>0</v>
      </c>
      <c r="D147" s="307"/>
      <c r="E147" s="308"/>
    </row>
    <row r="148" spans="1:10" ht="15.6">
      <c r="A148" s="292"/>
      <c r="B148" s="292"/>
      <c r="C148" s="286" t="s">
        <v>1</v>
      </c>
      <c r="D148" s="310">
        <f>EOMONTH(D132,1)</f>
        <v>41547</v>
      </c>
      <c r="E148" s="311">
        <f>E132+E145</f>
        <v>38932.729789999998</v>
      </c>
    </row>
    <row r="149" spans="1:10" ht="15" thickBot="1"/>
    <row r="150" spans="1:10" ht="15.6">
      <c r="A150" s="619" t="s">
        <v>197</v>
      </c>
      <c r="B150" s="620"/>
      <c r="C150" s="620"/>
      <c r="D150" s="620"/>
      <c r="E150" s="621"/>
      <c r="G150" s="292"/>
      <c r="H150" s="292"/>
      <c r="I150" s="292"/>
    </row>
    <row r="151" spans="1:10" ht="15.6">
      <c r="A151" s="220">
        <v>41578</v>
      </c>
      <c r="B151" s="278"/>
      <c r="C151" s="279" t="s">
        <v>101</v>
      </c>
      <c r="D151" s="280"/>
      <c r="E151" s="281"/>
    </row>
    <row r="152" spans="1:10" ht="16.2" thickBot="1">
      <c r="A152" s="282"/>
      <c r="B152" s="283"/>
      <c r="C152" s="284" t="s">
        <v>21</v>
      </c>
      <c r="D152" s="284" t="s">
        <v>22</v>
      </c>
      <c r="E152" s="285" t="s">
        <v>23</v>
      </c>
    </row>
    <row r="153" spans="1:10" ht="15.6">
      <c r="A153" s="286" t="s">
        <v>24</v>
      </c>
      <c r="B153" s="287">
        <v>101</v>
      </c>
      <c r="C153" s="288">
        <v>9244353</v>
      </c>
      <c r="D153" s="289">
        <v>-2.1900000000000001E-3</v>
      </c>
      <c r="E153" s="290">
        <v>-20245.13307</v>
      </c>
    </row>
    <row r="154" spans="1:10" ht="16.2" thickBot="1">
      <c r="A154" s="286" t="s">
        <v>24</v>
      </c>
      <c r="B154" s="287">
        <v>111</v>
      </c>
      <c r="C154" s="288">
        <v>3880001</v>
      </c>
      <c r="D154" s="289">
        <v>-2.1900000000000001E-3</v>
      </c>
      <c r="E154" s="290">
        <v>-8497.20219</v>
      </c>
      <c r="G154" s="291">
        <f>A151</f>
        <v>41578</v>
      </c>
      <c r="H154" s="292"/>
      <c r="I154" s="292"/>
      <c r="J154" s="292"/>
    </row>
    <row r="155" spans="1:10" ht="16.2" thickBot="1">
      <c r="A155" s="286" t="s">
        <v>24</v>
      </c>
      <c r="B155" s="287">
        <v>112</v>
      </c>
      <c r="C155" s="288">
        <v>0</v>
      </c>
      <c r="D155" s="289">
        <v>-2.1900000000000001E-3</v>
      </c>
      <c r="E155" s="290">
        <v>0</v>
      </c>
      <c r="G155" s="293" t="s">
        <v>25</v>
      </c>
      <c r="H155" s="294"/>
      <c r="I155" s="295" t="s">
        <v>18</v>
      </c>
      <c r="J155" s="295" t="s">
        <v>19</v>
      </c>
    </row>
    <row r="156" spans="1:10" ht="15.6">
      <c r="A156" s="286" t="s">
        <v>24</v>
      </c>
      <c r="B156" s="287">
        <v>121</v>
      </c>
      <c r="C156" s="288">
        <v>595792</v>
      </c>
      <c r="D156" s="289">
        <v>-2.1900000000000001E-3</v>
      </c>
      <c r="E156" s="290">
        <v>-1304.78448</v>
      </c>
      <c r="G156" s="296" t="s">
        <v>97</v>
      </c>
      <c r="H156" s="297" t="s">
        <v>26</v>
      </c>
      <c r="I156" s="298">
        <f>-E161</f>
        <v>30792.491249999999</v>
      </c>
      <c r="J156" s="299">
        <v>0</v>
      </c>
    </row>
    <row r="157" spans="1:10" ht="16.2" thickBot="1">
      <c r="A157" s="286" t="s">
        <v>24</v>
      </c>
      <c r="B157" s="287">
        <v>122</v>
      </c>
      <c r="C157" s="288">
        <v>40500</v>
      </c>
      <c r="D157" s="289">
        <v>-2.1900000000000001E-3</v>
      </c>
      <c r="E157" s="290">
        <v>-88.695000000000007</v>
      </c>
      <c r="G157" s="300" t="s">
        <v>198</v>
      </c>
      <c r="H157" s="301" t="s">
        <v>199</v>
      </c>
      <c r="I157" s="302">
        <v>0</v>
      </c>
      <c r="J157" s="303">
        <f>-I156</f>
        <v>-30792.491249999999</v>
      </c>
    </row>
    <row r="158" spans="1:10" ht="15.6">
      <c r="A158" s="286" t="s">
        <v>24</v>
      </c>
      <c r="B158" s="287">
        <v>131</v>
      </c>
      <c r="C158" s="288">
        <v>0</v>
      </c>
      <c r="D158" s="289">
        <v>-2.1900000000000001E-3</v>
      </c>
      <c r="E158" s="290">
        <v>0</v>
      </c>
      <c r="G158" s="292"/>
      <c r="H158" s="292"/>
      <c r="I158" s="292"/>
      <c r="J158" s="304">
        <f>SUM(I156:J157)</f>
        <v>0</v>
      </c>
    </row>
    <row r="159" spans="1:10" ht="15.6">
      <c r="A159" s="286" t="s">
        <v>24</v>
      </c>
      <c r="B159" s="287">
        <v>132</v>
      </c>
      <c r="C159" s="288">
        <v>68629</v>
      </c>
      <c r="D159" s="289">
        <v>-2.1900000000000001E-3</v>
      </c>
      <c r="E159" s="290">
        <v>-150.29751000000002</v>
      </c>
    </row>
    <row r="160" spans="1:10" ht="15.6">
      <c r="A160" s="286" t="s">
        <v>24</v>
      </c>
      <c r="B160" s="287">
        <v>146</v>
      </c>
      <c r="C160" s="288">
        <v>2531895</v>
      </c>
      <c r="D160" s="289">
        <v>-2.0000000000000001E-4</v>
      </c>
      <c r="E160" s="305">
        <v>-506.37900000000002</v>
      </c>
    </row>
    <row r="161" spans="1:10" ht="16.2" thickBot="1">
      <c r="A161" s="286" t="s">
        <v>200</v>
      </c>
      <c r="B161" s="287"/>
      <c r="C161" s="306">
        <f>SUM(C153:C160)</f>
        <v>16361170</v>
      </c>
      <c r="D161" s="307"/>
      <c r="E161" s="308">
        <f>SUM(E153:E160)</f>
        <v>-30792.491249999999</v>
      </c>
    </row>
    <row r="162" spans="1:10" ht="16.2" thickTop="1">
      <c r="A162" s="286"/>
      <c r="B162" s="287"/>
      <c r="C162" s="312">
        <v>16361170</v>
      </c>
      <c r="D162" s="307"/>
      <c r="E162" s="308"/>
    </row>
    <row r="163" spans="1:10" ht="15.6">
      <c r="A163" s="286"/>
      <c r="B163" s="287"/>
      <c r="C163" s="309">
        <f>C162-C161</f>
        <v>0</v>
      </c>
      <c r="D163" s="307"/>
      <c r="E163" s="308"/>
    </row>
    <row r="164" spans="1:10" ht="15.6">
      <c r="A164" s="292"/>
      <c r="B164" s="292"/>
      <c r="C164" s="286" t="s">
        <v>1</v>
      </c>
      <c r="D164" s="310">
        <f>EOMONTH(D148,1)</f>
        <v>41578</v>
      </c>
      <c r="E164" s="311">
        <f>E148+E161</f>
        <v>8140.2385399999985</v>
      </c>
    </row>
    <row r="165" spans="1:10" ht="15" thickBot="1"/>
    <row r="166" spans="1:10" ht="15.6">
      <c r="A166" s="619" t="s">
        <v>197</v>
      </c>
      <c r="B166" s="620"/>
      <c r="C166" s="620"/>
      <c r="D166" s="620"/>
      <c r="E166" s="621"/>
      <c r="G166" s="292"/>
      <c r="H166" s="292"/>
      <c r="I166" s="292"/>
    </row>
    <row r="167" spans="1:10" ht="15.6">
      <c r="A167" s="220">
        <f>EOMONTH(A151,1)</f>
        <v>41608</v>
      </c>
      <c r="B167" s="278"/>
      <c r="C167" s="279" t="s">
        <v>101</v>
      </c>
      <c r="D167" s="280"/>
      <c r="E167" s="281"/>
    </row>
    <row r="168" spans="1:10" ht="16.2" thickBot="1">
      <c r="A168" s="282"/>
      <c r="B168" s="283"/>
      <c r="C168" s="284" t="s">
        <v>21</v>
      </c>
      <c r="D168" s="284" t="s">
        <v>22</v>
      </c>
      <c r="E168" s="285" t="s">
        <v>23</v>
      </c>
    </row>
    <row r="169" spans="1:10" ht="15.6">
      <c r="A169" s="286" t="s">
        <v>24</v>
      </c>
      <c r="B169" s="287">
        <v>101</v>
      </c>
      <c r="C169" s="288">
        <v>15070678</v>
      </c>
      <c r="D169" s="289" t="s">
        <v>188</v>
      </c>
      <c r="E169" s="290">
        <v>0</v>
      </c>
    </row>
    <row r="170" spans="1:10" ht="16.2" thickBot="1">
      <c r="A170" s="286" t="s">
        <v>24</v>
      </c>
      <c r="B170" s="287">
        <v>111</v>
      </c>
      <c r="C170" s="288">
        <v>5651303</v>
      </c>
      <c r="D170" s="289" t="s">
        <v>188</v>
      </c>
      <c r="E170" s="290">
        <v>0</v>
      </c>
      <c r="G170" s="291">
        <f>A167</f>
        <v>41608</v>
      </c>
      <c r="H170" s="292"/>
      <c r="I170" s="292"/>
      <c r="J170" s="292"/>
    </row>
    <row r="171" spans="1:10" ht="16.2" thickBot="1">
      <c r="A171" s="286" t="s">
        <v>24</v>
      </c>
      <c r="B171" s="287">
        <v>112</v>
      </c>
      <c r="C171" s="288">
        <v>0</v>
      </c>
      <c r="D171" s="289" t="s">
        <v>188</v>
      </c>
      <c r="E171" s="290">
        <v>0</v>
      </c>
      <c r="G171" s="293" t="s">
        <v>25</v>
      </c>
      <c r="H171" s="294"/>
      <c r="I171" s="295" t="s">
        <v>18</v>
      </c>
      <c r="J171" s="295" t="s">
        <v>19</v>
      </c>
    </row>
    <row r="172" spans="1:10" ht="15.6">
      <c r="A172" s="286" t="s">
        <v>24</v>
      </c>
      <c r="B172" s="287">
        <v>121</v>
      </c>
      <c r="C172" s="288">
        <v>396185</v>
      </c>
      <c r="D172" s="289" t="s">
        <v>188</v>
      </c>
      <c r="E172" s="290">
        <v>0</v>
      </c>
      <c r="G172" s="296" t="s">
        <v>97</v>
      </c>
      <c r="H172" s="297" t="s">
        <v>26</v>
      </c>
      <c r="I172" s="298">
        <f>-E177</f>
        <v>8833.92</v>
      </c>
      <c r="J172" s="299">
        <v>0</v>
      </c>
    </row>
    <row r="173" spans="1:10" ht="16.2" thickBot="1">
      <c r="A173" s="286" t="s">
        <v>24</v>
      </c>
      <c r="B173" s="287">
        <v>122</v>
      </c>
      <c r="C173" s="288">
        <v>51667</v>
      </c>
      <c r="D173" s="289" t="s">
        <v>188</v>
      </c>
      <c r="E173" s="290">
        <v>0</v>
      </c>
      <c r="G173" s="300" t="s">
        <v>198</v>
      </c>
      <c r="H173" s="301" t="s">
        <v>199</v>
      </c>
      <c r="I173" s="302">
        <v>0</v>
      </c>
      <c r="J173" s="303">
        <f>-I172</f>
        <v>-8833.92</v>
      </c>
    </row>
    <row r="174" spans="1:10" ht="15.6">
      <c r="A174" s="286" t="s">
        <v>24</v>
      </c>
      <c r="B174" s="287">
        <v>131</v>
      </c>
      <c r="C174" s="288">
        <v>0</v>
      </c>
      <c r="D174" s="289" t="s">
        <v>188</v>
      </c>
      <c r="E174" s="290">
        <v>0</v>
      </c>
      <c r="G174" s="292"/>
      <c r="H174" s="292"/>
      <c r="I174" s="292"/>
      <c r="J174" s="304">
        <f>SUM(I172:J173)</f>
        <v>0</v>
      </c>
    </row>
    <row r="175" spans="1:10" ht="15.6">
      <c r="A175" s="286" t="s">
        <v>24</v>
      </c>
      <c r="B175" s="287">
        <v>132</v>
      </c>
      <c r="C175" s="288">
        <v>142001</v>
      </c>
      <c r="D175" s="289" t="s">
        <v>188</v>
      </c>
      <c r="E175" s="290">
        <v>0</v>
      </c>
    </row>
    <row r="176" spans="1:10" ht="15.6">
      <c r="A176" s="286" t="s">
        <v>24</v>
      </c>
      <c r="B176" s="287">
        <v>146</v>
      </c>
      <c r="C176" s="288">
        <v>2936207</v>
      </c>
      <c r="D176" s="289" t="s">
        <v>188</v>
      </c>
      <c r="E176" s="305">
        <v>0</v>
      </c>
    </row>
    <row r="177" spans="1:10" ht="16.2" thickBot="1">
      <c r="A177" s="286" t="s">
        <v>200</v>
      </c>
      <c r="B177" s="287"/>
      <c r="C177" s="306">
        <f>SUM(C169:C176)</f>
        <v>24248041</v>
      </c>
      <c r="D177" s="307"/>
      <c r="E177" s="308">
        <v>-8833.92</v>
      </c>
    </row>
    <row r="178" spans="1:10" ht="16.2" thickTop="1">
      <c r="A178" s="286"/>
      <c r="B178" s="287"/>
      <c r="C178" s="312">
        <v>24248041</v>
      </c>
      <c r="D178" s="307"/>
      <c r="E178" s="308"/>
    </row>
    <row r="179" spans="1:10" ht="15.6">
      <c r="A179" s="286"/>
      <c r="B179" s="287"/>
      <c r="C179" s="309">
        <f>C178-C177</f>
        <v>0</v>
      </c>
      <c r="D179" s="307"/>
      <c r="E179" s="308"/>
    </row>
    <row r="180" spans="1:10" ht="15.6">
      <c r="A180" s="292"/>
      <c r="B180" s="292"/>
      <c r="C180" s="286" t="s">
        <v>1</v>
      </c>
      <c r="D180" s="310">
        <f>EOMONTH(D164,1)</f>
        <v>41608</v>
      </c>
      <c r="E180" s="311">
        <f>E164+E177</f>
        <v>-693.68146000000161</v>
      </c>
    </row>
    <row r="181" spans="1:10" ht="15" thickBot="1"/>
    <row r="182" spans="1:10" ht="15.6">
      <c r="A182" s="619" t="s">
        <v>197</v>
      </c>
      <c r="B182" s="620"/>
      <c r="C182" s="620"/>
      <c r="D182" s="620"/>
      <c r="E182" s="621"/>
      <c r="G182" s="292"/>
      <c r="H182" s="292"/>
      <c r="I182" s="292"/>
    </row>
    <row r="183" spans="1:10" ht="15.6">
      <c r="A183" s="220">
        <f>EOMONTH(A167,1)</f>
        <v>41639</v>
      </c>
      <c r="B183" s="278"/>
      <c r="C183" s="279" t="s">
        <v>101</v>
      </c>
      <c r="D183" s="280"/>
      <c r="E183" s="281"/>
    </row>
    <row r="184" spans="1:10" ht="16.2" thickBot="1">
      <c r="A184" s="282"/>
      <c r="B184" s="283"/>
      <c r="C184" s="284" t="s">
        <v>21</v>
      </c>
      <c r="D184" s="284" t="s">
        <v>22</v>
      </c>
      <c r="E184" s="285" t="s">
        <v>23</v>
      </c>
    </row>
    <row r="185" spans="1:10" ht="15.6">
      <c r="A185" s="286" t="s">
        <v>24</v>
      </c>
      <c r="B185" s="287">
        <v>101</v>
      </c>
      <c r="C185" s="288">
        <f>Jan!$G$23</f>
        <v>20140968</v>
      </c>
      <c r="D185" s="289" t="s">
        <v>188</v>
      </c>
      <c r="E185" s="290">
        <v>0</v>
      </c>
    </row>
    <row r="186" spans="1:10" ht="16.2" thickBot="1">
      <c r="A186" s="286" t="s">
        <v>24</v>
      </c>
      <c r="B186" s="287">
        <v>111</v>
      </c>
      <c r="C186" s="288">
        <f>Jan!$G$25</f>
        <v>6568112</v>
      </c>
      <c r="D186" s="289" t="s">
        <v>188</v>
      </c>
      <c r="E186" s="290">
        <v>0</v>
      </c>
      <c r="G186" s="291">
        <f>A183</f>
        <v>41639</v>
      </c>
      <c r="H186" s="292"/>
      <c r="I186" s="292"/>
      <c r="J186" s="292"/>
    </row>
    <row r="187" spans="1:10" ht="16.2" thickBot="1">
      <c r="A187" s="286" t="s">
        <v>24</v>
      </c>
      <c r="B187" s="287">
        <v>112</v>
      </c>
      <c r="C187" s="288">
        <f>Jan!$G$26</f>
        <v>0</v>
      </c>
      <c r="D187" s="289" t="s">
        <v>188</v>
      </c>
      <c r="E187" s="290">
        <v>0</v>
      </c>
      <c r="G187" s="293" t="s">
        <v>25</v>
      </c>
      <c r="H187" s="294"/>
      <c r="I187" s="295" t="s">
        <v>18</v>
      </c>
      <c r="J187" s="295" t="s">
        <v>19</v>
      </c>
    </row>
    <row r="188" spans="1:10" ht="15.6">
      <c r="A188" s="286" t="s">
        <v>24</v>
      </c>
      <c r="B188" s="287">
        <v>121</v>
      </c>
      <c r="C188" s="288">
        <f>Jan!$G$27</f>
        <v>345863</v>
      </c>
      <c r="D188" s="289" t="s">
        <v>188</v>
      </c>
      <c r="E188" s="290">
        <v>0</v>
      </c>
      <c r="G188" s="296" t="s">
        <v>97</v>
      </c>
      <c r="H188" s="297" t="s">
        <v>26</v>
      </c>
      <c r="I188" s="298">
        <f>-E193</f>
        <v>13002.04</v>
      </c>
      <c r="J188" s="299">
        <v>0</v>
      </c>
    </row>
    <row r="189" spans="1:10" ht="16.2" thickBot="1">
      <c r="A189" s="286" t="s">
        <v>24</v>
      </c>
      <c r="B189" s="287">
        <v>122</v>
      </c>
      <c r="C189" s="288">
        <f>Jan!$G$28</f>
        <v>83853</v>
      </c>
      <c r="D189" s="289" t="s">
        <v>188</v>
      </c>
      <c r="E189" s="290">
        <v>0</v>
      </c>
      <c r="G189" s="300" t="s">
        <v>198</v>
      </c>
      <c r="H189" s="301" t="s">
        <v>199</v>
      </c>
      <c r="I189" s="302">
        <v>0</v>
      </c>
      <c r="J189" s="303">
        <f>-I188</f>
        <v>-13002.04</v>
      </c>
    </row>
    <row r="190" spans="1:10" ht="15.6">
      <c r="A190" s="286" t="s">
        <v>24</v>
      </c>
      <c r="B190" s="287">
        <v>131</v>
      </c>
      <c r="C190" s="288">
        <f>Jan!$G$29</f>
        <v>0</v>
      </c>
      <c r="D190" s="289" t="s">
        <v>188</v>
      </c>
      <c r="E190" s="290">
        <v>0</v>
      </c>
      <c r="G190" s="292"/>
      <c r="H190" s="292"/>
      <c r="I190" s="292"/>
      <c r="J190" s="304">
        <f>SUM(I188:J189)</f>
        <v>0</v>
      </c>
    </row>
    <row r="191" spans="1:10" ht="15.6">
      <c r="A191" s="286" t="s">
        <v>24</v>
      </c>
      <c r="B191" s="287">
        <v>132</v>
      </c>
      <c r="C191" s="288">
        <f>Jan!$G$30</f>
        <v>203731</v>
      </c>
      <c r="D191" s="289" t="s">
        <v>188</v>
      </c>
      <c r="E191" s="290">
        <v>0</v>
      </c>
    </row>
    <row r="192" spans="1:10" ht="15.6">
      <c r="A192" s="286" t="s">
        <v>24</v>
      </c>
      <c r="B192" s="287">
        <v>146</v>
      </c>
      <c r="C192" s="288">
        <f>Jan!$G$31</f>
        <v>3346687</v>
      </c>
      <c r="D192" s="289" t="s">
        <v>188</v>
      </c>
      <c r="E192" s="305">
        <v>0</v>
      </c>
    </row>
    <row r="193" spans="1:9" ht="16.2" thickBot="1">
      <c r="A193" s="286" t="s">
        <v>200</v>
      </c>
      <c r="B193" s="287"/>
      <c r="C193" s="306">
        <f>SUM(C185:C192)</f>
        <v>30689214</v>
      </c>
      <c r="D193" s="307"/>
      <c r="E193" s="308">
        <v>-13002.04</v>
      </c>
    </row>
    <row r="194" spans="1:9" ht="16.2" thickTop="1">
      <c r="A194" s="286"/>
      <c r="B194" s="287"/>
      <c r="C194" s="312">
        <v>34635509</v>
      </c>
      <c r="D194" s="307"/>
      <c r="E194" s="308"/>
    </row>
    <row r="195" spans="1:9" ht="15.6">
      <c r="A195" s="286"/>
      <c r="B195" s="287"/>
      <c r="C195" s="309">
        <f>C194-C193</f>
        <v>3946295</v>
      </c>
      <c r="D195" s="307"/>
      <c r="E195" s="308"/>
    </row>
    <row r="196" spans="1:9" ht="15.6">
      <c r="C196" s="286" t="s">
        <v>1</v>
      </c>
      <c r="D196" s="310">
        <f>EOMONTH(D180,1)</f>
        <v>41639</v>
      </c>
      <c r="E196" s="311">
        <f>E180+E193</f>
        <v>-13695.721460000002</v>
      </c>
      <c r="G196" s="477" t="s">
        <v>246</v>
      </c>
      <c r="H196" s="478">
        <f>_xll.Get_Balance(I196,"YTD","USD","Total","A","","001","191025","GD","WA","DL")-E196</f>
        <v>1.4600000031350646E-3</v>
      </c>
      <c r="I196" s="479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8" orientation="portrait" r:id="rId1"/>
  <customProperties>
    <customPr name="xxe4aP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09375" defaultRowHeight="15"/>
  <cols>
    <col min="1" max="1" width="12.44140625" style="1" customWidth="1"/>
    <col min="2" max="2" width="9.44140625" style="1" bestFit="1" customWidth="1"/>
    <col min="3" max="3" width="17" style="1" customWidth="1"/>
    <col min="4" max="4" width="25.6640625" style="1" customWidth="1"/>
    <col min="5" max="5" width="21.88671875" style="1" bestFit="1" customWidth="1"/>
    <col min="6" max="6" width="16.33203125" style="1" bestFit="1" customWidth="1"/>
    <col min="7" max="7" width="32.44140625" style="1" customWidth="1"/>
    <col min="8" max="8" width="19.33203125" style="1" customWidth="1"/>
    <col min="9" max="9" width="20.44140625" style="1" customWidth="1"/>
    <col min="10" max="10" width="19.5546875" style="1" customWidth="1"/>
    <col min="11" max="11" width="3.44140625" style="1" customWidth="1"/>
    <col min="12" max="16384" width="9.109375" style="1"/>
  </cols>
  <sheetData>
    <row r="1" spans="1:10" ht="15.6">
      <c r="A1" s="51" t="s">
        <v>13</v>
      </c>
    </row>
    <row r="2" spans="1:10" ht="15.6">
      <c r="A2" s="51" t="s">
        <v>0</v>
      </c>
    </row>
    <row r="3" spans="1:10" ht="15.6">
      <c r="A3" s="51" t="s">
        <v>172</v>
      </c>
    </row>
    <row r="4" spans="1:10" ht="15.6">
      <c r="A4" s="51" t="s">
        <v>171</v>
      </c>
    </row>
    <row r="6" spans="1:10" ht="15.6">
      <c r="B6" s="17"/>
      <c r="C6" s="2"/>
      <c r="D6" s="3"/>
      <c r="E6" s="4"/>
    </row>
    <row r="7" spans="1:10" s="333" customFormat="1" ht="15.6" hidden="1">
      <c r="A7" s="335"/>
      <c r="B7" s="335"/>
      <c r="C7" s="50" t="s">
        <v>1</v>
      </c>
      <c r="D7" s="90">
        <v>41213</v>
      </c>
      <c r="E7" s="50">
        <v>2351759.8593735616</v>
      </c>
      <c r="F7" s="335"/>
      <c r="G7" s="248"/>
    </row>
    <row r="8" spans="1:10" s="386" customFormat="1" ht="15.6" hidden="1">
      <c r="A8" s="387"/>
      <c r="B8" s="387"/>
      <c r="C8" s="50"/>
      <c r="D8" s="90"/>
      <c r="E8" s="50"/>
      <c r="F8" s="387"/>
      <c r="G8" s="248"/>
    </row>
    <row r="9" spans="1:10" s="203" customFormat="1" ht="15.6" hidden="1">
      <c r="D9" s="261" t="s">
        <v>214</v>
      </c>
      <c r="E9" s="161">
        <f>'WA Def 191010'!R14</f>
        <v>-7340824.0093394704</v>
      </c>
    </row>
    <row r="10" spans="1:10" s="203" customFormat="1" ht="16.2" hidden="1" thickBot="1">
      <c r="D10" s="261" t="s">
        <v>212</v>
      </c>
      <c r="E10" s="392">
        <f>E9+E7</f>
        <v>-4989064.1499659084</v>
      </c>
    </row>
    <row r="11" spans="1:10" s="386" customFormat="1" ht="16.2" hidden="1" thickTop="1" thickBot="1"/>
    <row r="12" spans="1:10" s="386" customFormat="1" ht="15.6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6" customFormat="1" ht="15.6" hidden="1">
      <c r="A13" s="220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6" customFormat="1" ht="16.2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7"/>
      <c r="G14" s="387"/>
      <c r="H14" s="387"/>
      <c r="I14" s="387"/>
      <c r="J14" s="387"/>
    </row>
    <row r="15" spans="1:10" s="386" customFormat="1" ht="15.6" hidden="1">
      <c r="A15" s="50" t="s">
        <v>24</v>
      </c>
      <c r="B15" s="95">
        <v>101</v>
      </c>
      <c r="C15" s="207">
        <v>12694976</v>
      </c>
      <c r="D15" s="391">
        <v>3.3950000000000001E-2</v>
      </c>
      <c r="E15" s="169">
        <v>427531.76</v>
      </c>
      <c r="F15" s="387" t="s">
        <v>188</v>
      </c>
      <c r="G15" s="387"/>
      <c r="H15" s="387"/>
      <c r="I15" s="387"/>
      <c r="J15" s="387"/>
    </row>
    <row r="16" spans="1:10" s="386" customFormat="1" ht="16.2" hidden="1" thickBot="1">
      <c r="A16" s="50" t="s">
        <v>24</v>
      </c>
      <c r="B16" s="95">
        <v>111</v>
      </c>
      <c r="C16" s="207">
        <v>4637935</v>
      </c>
      <c r="D16" s="391">
        <v>3.0599999999999999E-2</v>
      </c>
      <c r="E16" s="169">
        <v>143027.17000000001</v>
      </c>
      <c r="F16" s="387" t="s">
        <v>188</v>
      </c>
      <c r="G16" s="123">
        <f>A13</f>
        <v>41243</v>
      </c>
      <c r="H16" s="387"/>
      <c r="I16" s="387"/>
      <c r="J16" s="387"/>
    </row>
    <row r="17" spans="1:10" s="386" customFormat="1" ht="16.2" hidden="1" thickBot="1">
      <c r="A17" s="50" t="s">
        <v>24</v>
      </c>
      <c r="B17" s="95">
        <v>112</v>
      </c>
      <c r="C17" s="207">
        <v>0</v>
      </c>
      <c r="D17" s="391"/>
      <c r="E17" s="169">
        <v>0</v>
      </c>
      <c r="F17" s="387" t="s">
        <v>188</v>
      </c>
      <c r="G17" s="113" t="s">
        <v>25</v>
      </c>
      <c r="H17" s="206"/>
      <c r="I17" s="126" t="s">
        <v>18</v>
      </c>
      <c r="J17" s="126" t="s">
        <v>19</v>
      </c>
    </row>
    <row r="18" spans="1:10" s="386" customFormat="1" ht="15.6" hidden="1">
      <c r="A18" s="50" t="s">
        <v>24</v>
      </c>
      <c r="B18" s="95">
        <v>121</v>
      </c>
      <c r="C18" s="207">
        <v>347215</v>
      </c>
      <c r="D18" s="391">
        <v>2.998E-2</v>
      </c>
      <c r="E18" s="169">
        <v>11613.6</v>
      </c>
      <c r="F18" s="387" t="s">
        <v>188</v>
      </c>
      <c r="G18" s="151" t="s">
        <v>28</v>
      </c>
      <c r="H18" s="152" t="s">
        <v>75</v>
      </c>
      <c r="I18" s="152"/>
      <c r="J18" s="97">
        <v>0</v>
      </c>
    </row>
    <row r="19" spans="1:10" s="386" customFormat="1" ht="15.6" hidden="1">
      <c r="A19" s="50" t="s">
        <v>24</v>
      </c>
      <c r="B19" s="95">
        <v>122</v>
      </c>
      <c r="C19" s="207">
        <v>0</v>
      </c>
      <c r="D19" s="391"/>
      <c r="E19" s="169">
        <v>0</v>
      </c>
      <c r="F19" s="387" t="s">
        <v>188</v>
      </c>
      <c r="G19" s="153" t="s">
        <v>29</v>
      </c>
      <c r="H19" s="7" t="s">
        <v>76</v>
      </c>
      <c r="I19" s="7">
        <v>12723.82</v>
      </c>
      <c r="J19" s="224"/>
    </row>
    <row r="20" spans="1:10" s="386" customFormat="1" ht="15.6" hidden="1">
      <c r="A20" s="50" t="s">
        <v>24</v>
      </c>
      <c r="B20" s="95">
        <v>131</v>
      </c>
      <c r="C20" s="207">
        <v>0</v>
      </c>
      <c r="D20" s="391">
        <v>5.7389999999999997E-2</v>
      </c>
      <c r="E20" s="169">
        <v>0</v>
      </c>
      <c r="F20" s="387" t="s">
        <v>188</v>
      </c>
      <c r="G20" s="153" t="s">
        <v>97</v>
      </c>
      <c r="H20" s="7" t="s">
        <v>26</v>
      </c>
      <c r="I20" s="8"/>
      <c r="J20" s="98">
        <v>-582079.61</v>
      </c>
    </row>
    <row r="21" spans="1:10" s="386" customFormat="1" ht="15.6" hidden="1">
      <c r="A21" s="50" t="s">
        <v>24</v>
      </c>
      <c r="B21" s="95">
        <v>132</v>
      </c>
      <c r="C21" s="207">
        <v>0</v>
      </c>
      <c r="D21" s="391"/>
      <c r="E21" s="169">
        <v>0</v>
      </c>
      <c r="F21" s="387" t="s">
        <v>188</v>
      </c>
      <c r="G21" s="153" t="s">
        <v>10</v>
      </c>
      <c r="H21" s="7" t="s">
        <v>17</v>
      </c>
      <c r="I21" s="7">
        <v>0</v>
      </c>
      <c r="J21" s="98"/>
    </row>
    <row r="22" spans="1:10" s="386" customFormat="1" ht="16.2" hidden="1" thickBot="1">
      <c r="A22" s="50" t="s">
        <v>24</v>
      </c>
      <c r="B22" s="95">
        <v>146</v>
      </c>
      <c r="C22" s="207">
        <v>2701032</v>
      </c>
      <c r="D22" s="239"/>
      <c r="E22" s="169">
        <v>0</v>
      </c>
      <c r="F22" s="387" t="s">
        <v>188</v>
      </c>
      <c r="G22" s="154" t="s">
        <v>98</v>
      </c>
      <c r="H22" s="147" t="s">
        <v>27</v>
      </c>
      <c r="I22" s="110">
        <v>569355.79</v>
      </c>
      <c r="J22" s="107"/>
    </row>
    <row r="23" spans="1:10" s="386" customFormat="1" ht="15.6" hidden="1">
      <c r="A23" s="50" t="s">
        <v>151</v>
      </c>
      <c r="B23" s="95"/>
      <c r="C23" s="207"/>
      <c r="D23" s="121"/>
      <c r="E23" s="169">
        <v>0</v>
      </c>
      <c r="F23" s="387" t="s">
        <v>188</v>
      </c>
      <c r="G23" s="387"/>
      <c r="H23" s="387"/>
      <c r="I23" s="387"/>
      <c r="J23" s="340">
        <f>SUM(I18:J22)</f>
        <v>0</v>
      </c>
    </row>
    <row r="24" spans="1:10" s="386" customFormat="1" ht="15.6" hidden="1">
      <c r="A24" s="141" t="s">
        <v>143</v>
      </c>
      <c r="B24" s="95">
        <v>146</v>
      </c>
      <c r="C24" s="207"/>
      <c r="D24" s="121"/>
      <c r="E24" s="169">
        <v>0</v>
      </c>
      <c r="F24" s="387" t="s">
        <v>188</v>
      </c>
      <c r="G24" s="123"/>
      <c r="H24" s="7"/>
      <c r="I24" s="7"/>
      <c r="J24" s="7"/>
    </row>
    <row r="25" spans="1:10" s="386" customFormat="1" ht="15.6" hidden="1">
      <c r="A25" s="141" t="s">
        <v>105</v>
      </c>
      <c r="B25" s="95"/>
      <c r="C25" s="207"/>
      <c r="D25" s="121"/>
      <c r="E25" s="227">
        <v>0</v>
      </c>
      <c r="F25" s="387"/>
      <c r="G25" s="123"/>
      <c r="H25" s="7"/>
      <c r="I25" s="12"/>
      <c r="J25" s="12"/>
    </row>
    <row r="26" spans="1:10" s="386" customFormat="1" ht="16.2" hidden="1" thickBot="1">
      <c r="A26" s="50"/>
      <c r="B26" s="95"/>
      <c r="C26" s="159">
        <f>SUM(C15:C25)</f>
        <v>20381158</v>
      </c>
      <c r="D26" s="142"/>
      <c r="E26" s="208">
        <f>SUM(E15:E25)</f>
        <v>582172.53</v>
      </c>
      <c r="F26" s="387"/>
      <c r="G26" s="123"/>
      <c r="H26" s="7"/>
      <c r="I26" s="7"/>
      <c r="J26" s="8"/>
    </row>
    <row r="27" spans="1:10" s="386" customFormat="1" ht="16.2" hidden="1" thickTop="1">
      <c r="A27" s="50"/>
      <c r="B27" s="95"/>
      <c r="C27" s="225">
        <v>20381158</v>
      </c>
      <c r="D27" s="142" t="s">
        <v>161</v>
      </c>
      <c r="E27" s="156">
        <v>0</v>
      </c>
      <c r="F27" s="387"/>
      <c r="G27" s="11"/>
      <c r="H27" s="7"/>
      <c r="I27" s="8"/>
      <c r="J27" s="7"/>
    </row>
    <row r="28" spans="1:10" s="386" customFormat="1" ht="16.2" hidden="1" thickBot="1">
      <c r="A28" s="50"/>
      <c r="B28" s="95"/>
      <c r="C28" s="231">
        <f>C27-C26</f>
        <v>0</v>
      </c>
      <c r="D28" s="142"/>
      <c r="E28" s="160">
        <f>SUM(E26:E27)</f>
        <v>582172.53</v>
      </c>
      <c r="F28" s="387"/>
      <c r="G28" s="65" t="s">
        <v>158</v>
      </c>
      <c r="H28" s="7"/>
      <c r="I28" s="7"/>
      <c r="J28" s="7"/>
    </row>
    <row r="29" spans="1:10" s="386" customFormat="1" ht="16.2" hidden="1" thickTop="1">
      <c r="A29" s="387"/>
      <c r="B29" s="387"/>
      <c r="C29" s="387"/>
      <c r="D29" s="142" t="s">
        <v>87</v>
      </c>
      <c r="E29" s="50">
        <f>E28+E10</f>
        <v>-4406891.6199659081</v>
      </c>
      <c r="F29" s="387"/>
      <c r="G29" s="8">
        <f>(E10*(D30/12))+(E28*(D30/24))</f>
        <v>-12723.690105116002</v>
      </c>
      <c r="H29" s="398"/>
      <c r="I29" s="398"/>
      <c r="J29" s="7"/>
    </row>
    <row r="30" spans="1:10" s="386" customFormat="1" ht="15.6" hidden="1">
      <c r="A30" s="387"/>
      <c r="B30" s="387"/>
      <c r="C30" s="50" t="s">
        <v>57</v>
      </c>
      <c r="D30" s="226">
        <v>3.2500000000000001E-2</v>
      </c>
      <c r="E30" s="119">
        <f>ROUND(((E10)+(SUM(E28))/2)*(D30/12),2)</f>
        <v>-12723.69</v>
      </c>
      <c r="F30" s="387"/>
      <c r="G30" s="8"/>
      <c r="H30" s="7"/>
      <c r="I30" s="12"/>
      <c r="J30" s="12"/>
    </row>
    <row r="31" spans="1:10" s="386" customFormat="1" ht="15.6" hidden="1">
      <c r="A31" s="387"/>
      <c r="B31" s="387"/>
      <c r="C31" s="50" t="s">
        <v>1</v>
      </c>
      <c r="D31" s="90">
        <f>A13</f>
        <v>41243</v>
      </c>
      <c r="E31" s="50">
        <f>SUM(E29:E30)</f>
        <v>-4419615.3099659085</v>
      </c>
      <c r="F31" s="387"/>
      <c r="G31" s="248"/>
    </row>
    <row r="32" spans="1:10" s="386" customFormat="1" ht="15.6" hidden="1">
      <c r="A32" s="387"/>
      <c r="B32" s="387"/>
      <c r="C32" s="50"/>
      <c r="D32" s="445" t="s">
        <v>201</v>
      </c>
      <c r="E32" s="64">
        <v>-4419708.3600000003</v>
      </c>
      <c r="F32" s="387"/>
      <c r="G32" s="248"/>
    </row>
    <row r="33" spans="1:10" s="386" customFormat="1" ht="15.6" hidden="1">
      <c r="A33" s="387"/>
      <c r="B33" s="387"/>
      <c r="C33" s="50"/>
      <c r="D33" s="445" t="s">
        <v>220</v>
      </c>
      <c r="E33" s="446">
        <f>E31-E32</f>
        <v>93.050034091807902</v>
      </c>
      <c r="F33" s="387"/>
      <c r="G33" s="248"/>
    </row>
    <row r="34" spans="1:10" s="386" customFormat="1" ht="15.6" hidden="1" thickBot="1"/>
    <row r="35" spans="1:10" s="386" customFormat="1" ht="15.6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6" customFormat="1" ht="15.6" hidden="1">
      <c r="A36" s="220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6" customFormat="1" ht="16.2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7"/>
      <c r="G37" s="387"/>
      <c r="H37" s="387"/>
      <c r="I37" s="387"/>
      <c r="J37" s="387"/>
    </row>
    <row r="38" spans="1:10" s="386" customFormat="1" ht="15.6" hidden="1">
      <c r="A38" s="50" t="s">
        <v>24</v>
      </c>
      <c r="B38" s="95">
        <v>101</v>
      </c>
      <c r="C38" s="207">
        <v>18054358</v>
      </c>
      <c r="D38" s="391">
        <v>3.3950000000000001E-2</v>
      </c>
      <c r="E38" s="169">
        <v>610563.22</v>
      </c>
      <c r="F38" s="387" t="s">
        <v>188</v>
      </c>
      <c r="G38" s="387"/>
      <c r="H38" s="387"/>
      <c r="I38" s="387"/>
      <c r="J38" s="387"/>
    </row>
    <row r="39" spans="1:10" s="386" customFormat="1" ht="16.2" hidden="1" thickBot="1">
      <c r="A39" s="50" t="s">
        <v>24</v>
      </c>
      <c r="B39" s="95">
        <v>111</v>
      </c>
      <c r="C39" s="207">
        <v>6151406</v>
      </c>
      <c r="D39" s="391">
        <v>3.0599999999999999E-2</v>
      </c>
      <c r="E39" s="169">
        <v>187548.98</v>
      </c>
      <c r="F39" s="387" t="s">
        <v>188</v>
      </c>
      <c r="G39" s="123">
        <f>A36</f>
        <v>41274</v>
      </c>
      <c r="H39" s="387"/>
      <c r="I39" s="387"/>
      <c r="J39" s="387"/>
    </row>
    <row r="40" spans="1:10" s="386" customFormat="1" ht="16.2" hidden="1" thickBot="1">
      <c r="A40" s="50" t="s">
        <v>24</v>
      </c>
      <c r="B40" s="95">
        <v>112</v>
      </c>
      <c r="C40" s="207">
        <v>0</v>
      </c>
      <c r="D40" s="391"/>
      <c r="E40" s="169">
        <f t="shared" ref="E40" si="0">C40*D40</f>
        <v>0</v>
      </c>
      <c r="F40" s="387" t="s">
        <v>188</v>
      </c>
      <c r="G40" s="113" t="s">
        <v>25</v>
      </c>
      <c r="H40" s="206"/>
      <c r="I40" s="126" t="s">
        <v>18</v>
      </c>
      <c r="J40" s="126" t="s">
        <v>19</v>
      </c>
    </row>
    <row r="41" spans="1:10" s="386" customFormat="1" ht="15.6" hidden="1">
      <c r="A41" s="50" t="s">
        <v>24</v>
      </c>
      <c r="B41" s="95">
        <v>121</v>
      </c>
      <c r="C41" s="207">
        <v>385155</v>
      </c>
      <c r="D41" s="391">
        <v>2.998E-2</v>
      </c>
      <c r="E41" s="169">
        <v>11473.63</v>
      </c>
      <c r="F41" s="387" t="s">
        <v>188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6" customFormat="1" ht="15.6" hidden="1">
      <c r="A42" s="50" t="s">
        <v>24</v>
      </c>
      <c r="B42" s="95">
        <v>122</v>
      </c>
      <c r="C42" s="207">
        <v>0</v>
      </c>
      <c r="D42" s="391"/>
      <c r="E42" s="169">
        <f t="shared" ref="E42:E47" si="1">C42*D42</f>
        <v>0</v>
      </c>
      <c r="F42" s="387" t="s">
        <v>188</v>
      </c>
      <c r="G42" s="153" t="s">
        <v>29</v>
      </c>
      <c r="H42" s="7" t="s">
        <v>76</v>
      </c>
      <c r="I42" s="7">
        <f>IF(-E53&gt;0,-E53,0)</f>
        <v>10764.89</v>
      </c>
      <c r="J42" s="224"/>
    </row>
    <row r="43" spans="1:10" s="386" customFormat="1" ht="15.6" hidden="1">
      <c r="A43" s="50" t="s">
        <v>24</v>
      </c>
      <c r="B43" s="95">
        <v>131</v>
      </c>
      <c r="C43" s="207">
        <v>0</v>
      </c>
      <c r="D43" s="391">
        <v>5.7389999999999997E-2</v>
      </c>
      <c r="E43" s="169">
        <f t="shared" si="1"/>
        <v>0</v>
      </c>
      <c r="F43" s="387" t="s">
        <v>188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6" customFormat="1" ht="15.6" hidden="1">
      <c r="A44" s="50" t="s">
        <v>24</v>
      </c>
      <c r="B44" s="95">
        <v>132</v>
      </c>
      <c r="C44" s="207">
        <v>0</v>
      </c>
      <c r="D44" s="391"/>
      <c r="E44" s="169">
        <f t="shared" si="1"/>
        <v>0</v>
      </c>
      <c r="F44" s="387" t="s">
        <v>188</v>
      </c>
      <c r="G44" s="153" t="s">
        <v>10</v>
      </c>
      <c r="H44" s="7" t="s">
        <v>17</v>
      </c>
      <c r="I44" s="7">
        <v>0</v>
      </c>
      <c r="J44" s="98"/>
    </row>
    <row r="45" spans="1:10" s="386" customFormat="1" ht="16.2" hidden="1" thickBot="1">
      <c r="A45" s="50" t="s">
        <v>24</v>
      </c>
      <c r="B45" s="95">
        <v>146</v>
      </c>
      <c r="C45" s="207">
        <v>3066817</v>
      </c>
      <c r="D45" s="239"/>
      <c r="E45" s="169">
        <f t="shared" si="1"/>
        <v>0</v>
      </c>
      <c r="F45" s="387" t="s">
        <v>188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6" customFormat="1" ht="15.6" hidden="1">
      <c r="A46" s="50" t="s">
        <v>151</v>
      </c>
      <c r="B46" s="95"/>
      <c r="C46" s="207"/>
      <c r="D46" s="121"/>
      <c r="E46" s="169">
        <f t="shared" si="1"/>
        <v>0</v>
      </c>
      <c r="F46" s="387" t="s">
        <v>188</v>
      </c>
      <c r="G46" s="387"/>
      <c r="H46" s="387"/>
      <c r="I46" s="387"/>
      <c r="J46" s="340">
        <f>SUM(I41:J45)</f>
        <v>0</v>
      </c>
    </row>
    <row r="47" spans="1:10" s="386" customFormat="1" ht="15.6" hidden="1">
      <c r="A47" s="141" t="s">
        <v>143</v>
      </c>
      <c r="B47" s="95">
        <v>146</v>
      </c>
      <c r="C47" s="207"/>
      <c r="D47" s="121"/>
      <c r="E47" s="169">
        <f t="shared" si="1"/>
        <v>0</v>
      </c>
      <c r="F47" s="387" t="s">
        <v>188</v>
      </c>
      <c r="G47" s="123"/>
      <c r="H47" s="7"/>
      <c r="I47" s="7"/>
      <c r="J47" s="7"/>
    </row>
    <row r="48" spans="1:10" s="386" customFormat="1" ht="15.6" hidden="1">
      <c r="A48" s="141" t="s">
        <v>105</v>
      </c>
      <c r="B48" s="95"/>
      <c r="C48" s="207"/>
      <c r="D48" s="121"/>
      <c r="E48" s="227">
        <v>80091.87</v>
      </c>
      <c r="F48" s="387"/>
      <c r="G48" s="123"/>
      <c r="H48" s="7"/>
      <c r="I48" s="12"/>
      <c r="J48" s="12"/>
    </row>
    <row r="49" spans="1:10" s="386" customFormat="1" ht="16.2" hidden="1" thickBot="1">
      <c r="A49" s="50"/>
      <c r="B49" s="95"/>
      <c r="C49" s="159">
        <f>SUM(C38:C48)</f>
        <v>27657736</v>
      </c>
      <c r="D49" s="142"/>
      <c r="E49" s="208">
        <f>SUM(E38:E48)</f>
        <v>889677.7</v>
      </c>
      <c r="F49" s="387"/>
      <c r="G49" s="123"/>
      <c r="H49" s="7"/>
      <c r="I49" s="7"/>
      <c r="J49" s="8"/>
    </row>
    <row r="50" spans="1:10" s="386" customFormat="1" ht="16.2" hidden="1" thickTop="1">
      <c r="A50" s="50"/>
      <c r="B50" s="95"/>
      <c r="C50" s="225">
        <v>27657736</v>
      </c>
      <c r="D50" s="142" t="s">
        <v>161</v>
      </c>
      <c r="E50" s="156">
        <f>E33</f>
        <v>93.050034091807902</v>
      </c>
      <c r="F50" s="387"/>
      <c r="G50" s="11"/>
      <c r="H50" s="7"/>
      <c r="I50" s="8"/>
      <c r="J50" s="7"/>
    </row>
    <row r="51" spans="1:10" s="386" customFormat="1" ht="16.2" hidden="1" thickBot="1">
      <c r="A51" s="50"/>
      <c r="B51" s="95"/>
      <c r="C51" s="231">
        <f>C50-C49</f>
        <v>0</v>
      </c>
      <c r="D51" s="142"/>
      <c r="E51" s="160">
        <f>SUM(E49:E50)</f>
        <v>889770.75003409176</v>
      </c>
      <c r="F51" s="387"/>
      <c r="G51" s="65" t="s">
        <v>158</v>
      </c>
      <c r="H51" s="7"/>
      <c r="I51" s="7"/>
      <c r="J51" s="7"/>
    </row>
    <row r="52" spans="1:10" s="386" customFormat="1" ht="16.2" hidden="1" thickTop="1">
      <c r="A52" s="387"/>
      <c r="B52" s="387"/>
      <c r="C52" s="387"/>
      <c r="D52" s="142" t="s">
        <v>87</v>
      </c>
      <c r="E52" s="50">
        <f>E51+E32</f>
        <v>-3529937.6099659083</v>
      </c>
      <c r="F52" s="387"/>
      <c r="G52" s="8">
        <f>(E31*(D53/12))+(E51*(D53/24))</f>
        <v>-10764.893573819838</v>
      </c>
      <c r="H52" s="400"/>
      <c r="I52" s="400"/>
      <c r="J52" s="7"/>
    </row>
    <row r="53" spans="1:10" s="386" customFormat="1" ht="15.6" hidden="1">
      <c r="A53" s="387"/>
      <c r="B53" s="387"/>
      <c r="C53" s="50" t="s">
        <v>57</v>
      </c>
      <c r="D53" s="226">
        <v>3.2500000000000001E-2</v>
      </c>
      <c r="E53" s="119">
        <f>ROUND(((E31)+(SUM(E51))/2)*(D53/12),2)</f>
        <v>-10764.89</v>
      </c>
      <c r="F53" s="387"/>
      <c r="G53" s="8"/>
      <c r="H53" s="7"/>
      <c r="I53" s="12"/>
      <c r="J53" s="12"/>
    </row>
    <row r="54" spans="1:10" s="386" customFormat="1" ht="15.6" hidden="1">
      <c r="A54" s="387"/>
      <c r="B54" s="387"/>
      <c r="C54" s="50" t="s">
        <v>1</v>
      </c>
      <c r="D54" s="90">
        <f>A36</f>
        <v>41274</v>
      </c>
      <c r="E54" s="50">
        <f>SUM(E52:E53)</f>
        <v>-3540702.4999659085</v>
      </c>
      <c r="F54" s="387"/>
      <c r="G54" s="248"/>
    </row>
    <row r="55" spans="1:10" s="333" customFormat="1" ht="15.6" hidden="1" thickBot="1"/>
    <row r="56" spans="1:10" ht="15.6" hidden="1">
      <c r="A56" s="73" t="s">
        <v>141</v>
      </c>
      <c r="B56" s="78"/>
      <c r="C56" s="79"/>
      <c r="D56" s="80"/>
      <c r="E56" s="81"/>
      <c r="F56" s="386"/>
      <c r="G56" s="5"/>
      <c r="H56" s="5"/>
      <c r="I56" s="48"/>
      <c r="J56" s="48"/>
    </row>
    <row r="57" spans="1:10" ht="15.6" hidden="1">
      <c r="A57" s="220">
        <v>41305</v>
      </c>
      <c r="B57" s="137"/>
      <c r="C57" s="11"/>
      <c r="D57" s="138"/>
      <c r="E57" s="77"/>
      <c r="F57" s="386"/>
      <c r="G57" s="5"/>
      <c r="H57" s="5"/>
      <c r="I57" s="48"/>
      <c r="J57" s="48"/>
    </row>
    <row r="58" spans="1:10" ht="16.2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7"/>
      <c r="G58" s="387"/>
      <c r="H58" s="387"/>
      <c r="I58" s="387"/>
      <c r="J58" s="387"/>
    </row>
    <row r="59" spans="1:10" ht="15.6" hidden="1">
      <c r="A59" s="50" t="s">
        <v>24</v>
      </c>
      <c r="B59" s="95">
        <v>101</v>
      </c>
      <c r="C59" s="207">
        <v>22136409</v>
      </c>
      <c r="D59" s="391">
        <v>3.3950000000000001E-2</v>
      </c>
      <c r="E59" s="169">
        <f>C59*D59</f>
        <v>751531.08555000008</v>
      </c>
      <c r="F59" s="387"/>
      <c r="G59" s="387"/>
      <c r="H59" s="387"/>
      <c r="I59" s="387"/>
      <c r="J59" s="387"/>
    </row>
    <row r="60" spans="1:10" ht="16.2" hidden="1" thickBot="1">
      <c r="A60" s="50" t="s">
        <v>24</v>
      </c>
      <c r="B60" s="95">
        <v>111</v>
      </c>
      <c r="C60" s="207">
        <v>7525225</v>
      </c>
      <c r="D60" s="391">
        <v>3.0599999999999999E-2</v>
      </c>
      <c r="E60" s="169">
        <f>C60*D60</f>
        <v>230271.88499999998</v>
      </c>
      <c r="F60" s="387"/>
      <c r="G60" s="123">
        <f>A57</f>
        <v>41305</v>
      </c>
      <c r="H60" s="387"/>
      <c r="I60" s="387"/>
      <c r="J60" s="387"/>
    </row>
    <row r="61" spans="1:10" ht="16.2" hidden="1" thickBot="1">
      <c r="A61" s="50" t="s">
        <v>24</v>
      </c>
      <c r="B61" s="95">
        <v>112</v>
      </c>
      <c r="C61" s="207">
        <v>0</v>
      </c>
      <c r="D61" s="391"/>
      <c r="E61" s="169">
        <f t="shared" ref="E61:E68" si="2">C61*D61</f>
        <v>0</v>
      </c>
      <c r="F61" s="387"/>
      <c r="G61" s="113" t="s">
        <v>25</v>
      </c>
      <c r="H61" s="206"/>
      <c r="I61" s="126" t="s">
        <v>18</v>
      </c>
      <c r="J61" s="126" t="s">
        <v>19</v>
      </c>
    </row>
    <row r="62" spans="1:10" ht="15.6" hidden="1">
      <c r="A62" s="50" t="s">
        <v>24</v>
      </c>
      <c r="B62" s="95">
        <v>121</v>
      </c>
      <c r="C62" s="207">
        <v>606431</v>
      </c>
      <c r="D62" s="391">
        <v>2.998E-2</v>
      </c>
      <c r="E62" s="169">
        <f>C62*D62</f>
        <v>18180.801380000001</v>
      </c>
      <c r="F62" s="387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6" hidden="1">
      <c r="A63" s="50" t="s">
        <v>24</v>
      </c>
      <c r="B63" s="95">
        <v>122</v>
      </c>
      <c r="C63" s="207">
        <v>0</v>
      </c>
      <c r="D63" s="391"/>
      <c r="E63" s="169">
        <f t="shared" si="2"/>
        <v>0</v>
      </c>
      <c r="F63" s="387"/>
      <c r="G63" s="153" t="s">
        <v>29</v>
      </c>
      <c r="H63" s="7" t="s">
        <v>76</v>
      </c>
      <c r="I63" s="7">
        <f>IF(-E74&gt;0,-E74,0)</f>
        <v>8235.26</v>
      </c>
      <c r="J63" s="224"/>
    </row>
    <row r="64" spans="1:10" ht="15.6" hidden="1">
      <c r="A64" s="50" t="s">
        <v>24</v>
      </c>
      <c r="B64" s="95">
        <v>131</v>
      </c>
      <c r="C64" s="207">
        <v>0</v>
      </c>
      <c r="D64" s="391">
        <v>5.7389999999999997E-2</v>
      </c>
      <c r="E64" s="169">
        <f t="shared" si="2"/>
        <v>0</v>
      </c>
      <c r="F64" s="387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6" hidden="1">
      <c r="A65" s="50" t="s">
        <v>24</v>
      </c>
      <c r="B65" s="95">
        <v>132</v>
      </c>
      <c r="C65" s="207">
        <v>0</v>
      </c>
      <c r="D65" s="391"/>
      <c r="E65" s="169">
        <f t="shared" si="2"/>
        <v>0</v>
      </c>
      <c r="F65" s="387"/>
      <c r="G65" s="153" t="s">
        <v>10</v>
      </c>
      <c r="H65" s="7" t="s">
        <v>17</v>
      </c>
      <c r="I65" s="7">
        <v>0</v>
      </c>
      <c r="J65" s="98"/>
    </row>
    <row r="66" spans="1:10" ht="16.2" hidden="1" thickBot="1">
      <c r="A66" s="50" t="s">
        <v>24</v>
      </c>
      <c r="B66" s="95">
        <v>146</v>
      </c>
      <c r="C66" s="207">
        <v>3682356</v>
      </c>
      <c r="D66" s="239"/>
      <c r="E66" s="169">
        <f t="shared" si="2"/>
        <v>0</v>
      </c>
      <c r="F66" s="387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6" hidden="1">
      <c r="A67" s="50" t="s">
        <v>151</v>
      </c>
      <c r="B67" s="95"/>
      <c r="C67" s="207"/>
      <c r="D67" s="121"/>
      <c r="E67" s="169">
        <f t="shared" si="2"/>
        <v>0</v>
      </c>
      <c r="F67" s="387"/>
      <c r="G67" s="622"/>
      <c r="H67" s="622"/>
      <c r="I67" s="622"/>
      <c r="J67" s="340">
        <f>SUM(I62:J66)</f>
        <v>0</v>
      </c>
    </row>
    <row r="68" spans="1:10" ht="15.6" hidden="1">
      <c r="A68" s="141" t="s">
        <v>143</v>
      </c>
      <c r="B68" s="95">
        <v>146</v>
      </c>
      <c r="C68" s="207"/>
      <c r="D68" s="121"/>
      <c r="E68" s="169">
        <f t="shared" si="2"/>
        <v>0</v>
      </c>
      <c r="F68" s="387"/>
      <c r="G68" s="623"/>
      <c r="H68" s="623"/>
      <c r="I68" s="623"/>
      <c r="J68" s="7"/>
    </row>
    <row r="69" spans="1:10" ht="15.6" hidden="1">
      <c r="A69" s="141" t="s">
        <v>105</v>
      </c>
      <c r="B69" s="95"/>
      <c r="C69" s="207"/>
      <c r="D69" s="121"/>
      <c r="E69" s="227">
        <v>0</v>
      </c>
      <c r="F69" s="387"/>
      <c r="G69" s="623"/>
      <c r="H69" s="623"/>
      <c r="I69" s="623"/>
      <c r="J69" s="12"/>
    </row>
    <row r="70" spans="1:10" ht="16.2" hidden="1" thickBot="1">
      <c r="A70" s="50"/>
      <c r="B70" s="95"/>
      <c r="C70" s="159">
        <f>SUM(C59:C69)</f>
        <v>33950421</v>
      </c>
      <c r="D70" s="142"/>
      <c r="E70" s="208">
        <f>SUM(E59:E69)</f>
        <v>999983.77193000005</v>
      </c>
      <c r="F70" s="387"/>
      <c r="G70" s="623"/>
      <c r="H70" s="623"/>
      <c r="I70" s="623"/>
      <c r="J70" s="8"/>
    </row>
    <row r="71" spans="1:10" ht="16.2" hidden="1" thickTop="1">
      <c r="A71" s="50"/>
      <c r="B71" s="95"/>
      <c r="C71" s="225">
        <v>33950421</v>
      </c>
      <c r="D71" s="142" t="s">
        <v>161</v>
      </c>
      <c r="E71" s="156">
        <v>0</v>
      </c>
      <c r="F71" s="387"/>
      <c r="G71" s="11"/>
      <c r="H71" s="7"/>
      <c r="I71" s="8"/>
      <c r="J71" s="7"/>
    </row>
    <row r="72" spans="1:10" ht="16.2" hidden="1" thickBot="1">
      <c r="A72" s="50"/>
      <c r="B72" s="95"/>
      <c r="C72" s="231">
        <f>C71-C70</f>
        <v>0</v>
      </c>
      <c r="D72" s="142"/>
      <c r="E72" s="160">
        <f>SUM(E70:E71)</f>
        <v>999983.77193000005</v>
      </c>
      <c r="F72" s="387"/>
      <c r="G72" s="65" t="s">
        <v>158</v>
      </c>
      <c r="H72" s="7"/>
      <c r="I72" s="7"/>
      <c r="J72" s="7"/>
    </row>
    <row r="73" spans="1:10" ht="16.2" hidden="1" thickTop="1">
      <c r="A73" s="387"/>
      <c r="B73" s="387"/>
      <c r="C73" s="387"/>
      <c r="D73" s="142" t="s">
        <v>87</v>
      </c>
      <c r="E73" s="50">
        <f>E72+E54</f>
        <v>-2540718.7280359082</v>
      </c>
      <c r="F73" s="387"/>
      <c r="G73" s="8">
        <f>(E54*(D74/12))+(E72*(D74/24))</f>
        <v>-8235.2579129191272</v>
      </c>
      <c r="H73" s="448"/>
      <c r="I73" s="448"/>
      <c r="J73" s="7"/>
    </row>
    <row r="74" spans="1:10" ht="15.6" hidden="1">
      <c r="A74" s="387"/>
      <c r="B74" s="387"/>
      <c r="C74" s="50" t="s">
        <v>57</v>
      </c>
      <c r="D74" s="226">
        <v>3.2500000000000001E-2</v>
      </c>
      <c r="E74" s="119">
        <f>ROUND(((E54)+(SUM(E72))/2)*(D74/12),2)</f>
        <v>-8235.26</v>
      </c>
      <c r="F74" s="387"/>
      <c r="G74" s="8"/>
      <c r="H74" s="7"/>
      <c r="I74" s="12"/>
      <c r="J74" s="12"/>
    </row>
    <row r="75" spans="1:10" ht="15.6" hidden="1">
      <c r="A75" s="387"/>
      <c r="B75" s="387"/>
      <c r="C75" s="50" t="s">
        <v>1</v>
      </c>
      <c r="D75" s="90">
        <f>A57</f>
        <v>41305</v>
      </c>
      <c r="E75" s="50">
        <f>SUM(E73:E74)</f>
        <v>-2548953.988035908</v>
      </c>
      <c r="F75" s="387"/>
      <c r="G75" s="248"/>
      <c r="H75" s="386"/>
      <c r="I75" s="386"/>
      <c r="J75" s="386"/>
    </row>
    <row r="76" spans="1:10" s="386" customFormat="1" ht="15.6" hidden="1" thickBot="1"/>
    <row r="77" spans="1:10" s="386" customFormat="1" ht="15.6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6" customFormat="1" ht="15.6" hidden="1">
      <c r="A78" s="220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6" customFormat="1" ht="16.2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7"/>
      <c r="G79" s="387"/>
      <c r="H79" s="387"/>
      <c r="I79" s="387"/>
      <c r="J79" s="387"/>
    </row>
    <row r="80" spans="1:10" s="386" customFormat="1" ht="15.6" hidden="1">
      <c r="A80" s="50" t="s">
        <v>24</v>
      </c>
      <c r="B80" s="95">
        <v>101</v>
      </c>
      <c r="C80" s="207">
        <v>16585315</v>
      </c>
      <c r="D80" s="391">
        <v>3.3950000000000001E-2</v>
      </c>
      <c r="E80" s="169">
        <v>563071.44425000006</v>
      </c>
      <c r="F80" s="387"/>
      <c r="G80" s="387"/>
      <c r="H80" s="387"/>
      <c r="I80" s="387"/>
      <c r="J80" s="387"/>
    </row>
    <row r="81" spans="1:10" s="386" customFormat="1" ht="16.2" hidden="1" thickBot="1">
      <c r="A81" s="50" t="s">
        <v>24</v>
      </c>
      <c r="B81" s="95">
        <v>111</v>
      </c>
      <c r="C81" s="207">
        <v>5716465</v>
      </c>
      <c r="D81" s="391">
        <v>3.0599999999999999E-2</v>
      </c>
      <c r="E81" s="169">
        <v>174923.829</v>
      </c>
      <c r="F81" s="387"/>
      <c r="G81" s="123">
        <f>A78</f>
        <v>41333</v>
      </c>
      <c r="H81" s="387"/>
      <c r="I81" s="387"/>
      <c r="J81" s="387"/>
    </row>
    <row r="82" spans="1:10" s="386" customFormat="1" ht="16.2" hidden="1" thickBot="1">
      <c r="A82" s="50" t="s">
        <v>24</v>
      </c>
      <c r="B82" s="95">
        <v>112</v>
      </c>
      <c r="C82" s="207">
        <v>0</v>
      </c>
      <c r="D82" s="391"/>
      <c r="E82" s="169">
        <v>0</v>
      </c>
      <c r="F82" s="387"/>
      <c r="G82" s="113" t="s">
        <v>25</v>
      </c>
      <c r="H82" s="206"/>
      <c r="I82" s="126" t="s">
        <v>18</v>
      </c>
      <c r="J82" s="126" t="s">
        <v>19</v>
      </c>
    </row>
    <row r="83" spans="1:10" s="386" customFormat="1" ht="15.6" hidden="1">
      <c r="A83" s="50" t="s">
        <v>24</v>
      </c>
      <c r="B83" s="95">
        <v>121</v>
      </c>
      <c r="C83" s="207">
        <v>416479</v>
      </c>
      <c r="D83" s="391">
        <v>2.998E-2</v>
      </c>
      <c r="E83" s="169">
        <v>12486.040419999999</v>
      </c>
      <c r="F83" s="387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6" customFormat="1" ht="15.6" hidden="1">
      <c r="A84" s="50" t="s">
        <v>24</v>
      </c>
      <c r="B84" s="95">
        <v>122</v>
      </c>
      <c r="C84" s="207">
        <v>0</v>
      </c>
      <c r="D84" s="391"/>
      <c r="E84" s="169">
        <v>0</v>
      </c>
      <c r="F84" s="387"/>
      <c r="G84" s="153" t="s">
        <v>29</v>
      </c>
      <c r="H84" s="7" t="s">
        <v>76</v>
      </c>
      <c r="I84" s="7">
        <f>IF(-E95&gt;0,-E95,0)</f>
        <v>5887.14</v>
      </c>
      <c r="J84" s="224"/>
    </row>
    <row r="85" spans="1:10" s="386" customFormat="1" ht="15.6" hidden="1">
      <c r="A85" s="50" t="s">
        <v>24</v>
      </c>
      <c r="B85" s="95">
        <v>131</v>
      </c>
      <c r="C85" s="207">
        <v>0</v>
      </c>
      <c r="D85" s="391">
        <v>5.7389999999999997E-2</v>
      </c>
      <c r="E85" s="169">
        <v>0</v>
      </c>
      <c r="F85" s="387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6" customFormat="1" ht="15.6" hidden="1">
      <c r="A86" s="50" t="s">
        <v>24</v>
      </c>
      <c r="B86" s="95">
        <v>132</v>
      </c>
      <c r="C86" s="207">
        <v>0</v>
      </c>
      <c r="D86" s="391"/>
      <c r="E86" s="169">
        <v>0</v>
      </c>
      <c r="F86" s="387"/>
      <c r="G86" s="153" t="s">
        <v>10</v>
      </c>
      <c r="H86" s="7" t="s">
        <v>17</v>
      </c>
      <c r="I86" s="7">
        <v>0</v>
      </c>
      <c r="J86" s="98"/>
    </row>
    <row r="87" spans="1:10" s="386" customFormat="1" ht="16.2" hidden="1" thickBot="1">
      <c r="A87" s="50" t="s">
        <v>24</v>
      </c>
      <c r="B87" s="95">
        <v>146</v>
      </c>
      <c r="C87" s="207">
        <v>2865845</v>
      </c>
      <c r="D87" s="239"/>
      <c r="E87" s="169">
        <v>0</v>
      </c>
      <c r="F87" s="387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6" customFormat="1" ht="15.6" hidden="1">
      <c r="A88" s="50" t="s">
        <v>151</v>
      </c>
      <c r="B88" s="95"/>
      <c r="C88" s="207"/>
      <c r="D88" s="121"/>
      <c r="E88" s="169">
        <v>0</v>
      </c>
      <c r="F88" s="387"/>
      <c r="G88" s="387"/>
      <c r="H88" s="387"/>
      <c r="I88" s="387"/>
      <c r="J88" s="340">
        <f>SUM(I83:J87)</f>
        <v>0</v>
      </c>
    </row>
    <row r="89" spans="1:10" s="386" customFormat="1" ht="15.6" hidden="1">
      <c r="A89" s="141" t="s">
        <v>143</v>
      </c>
      <c r="B89" s="95">
        <v>146</v>
      </c>
      <c r="C89" s="207"/>
      <c r="D89" s="121"/>
      <c r="E89" s="169">
        <v>0</v>
      </c>
      <c r="F89" s="387"/>
      <c r="G89" s="123"/>
      <c r="H89" s="7"/>
      <c r="I89" s="7"/>
      <c r="J89" s="7"/>
    </row>
    <row r="90" spans="1:10" s="386" customFormat="1" ht="15.6" hidden="1">
      <c r="A90" s="141" t="s">
        <v>105</v>
      </c>
      <c r="B90" s="95"/>
      <c r="C90" s="207"/>
      <c r="D90" s="121"/>
      <c r="E90" s="227">
        <v>0</v>
      </c>
      <c r="F90" s="387"/>
      <c r="G90" s="123"/>
      <c r="H90" s="7"/>
      <c r="I90" s="12"/>
      <c r="J90" s="12"/>
    </row>
    <row r="91" spans="1:10" s="386" customFormat="1" ht="16.2" hidden="1" thickBot="1">
      <c r="A91" s="50"/>
      <c r="B91" s="95"/>
      <c r="C91" s="159">
        <f>SUM(C80:C90)</f>
        <v>25584104</v>
      </c>
      <c r="D91" s="142"/>
      <c r="E91" s="208">
        <f>SUM(E80:E90)</f>
        <v>750481.31367000006</v>
      </c>
      <c r="F91" s="387"/>
      <c r="G91" s="123"/>
      <c r="H91" s="7"/>
      <c r="I91" s="7"/>
      <c r="J91" s="8"/>
    </row>
    <row r="92" spans="1:10" s="386" customFormat="1" ht="16.2" hidden="1" thickTop="1">
      <c r="A92" s="50"/>
      <c r="B92" s="95"/>
      <c r="C92" s="225">
        <v>25584104</v>
      </c>
      <c r="D92" s="142" t="s">
        <v>161</v>
      </c>
      <c r="E92" s="156">
        <v>0</v>
      </c>
      <c r="F92" s="387"/>
      <c r="G92" s="11"/>
      <c r="H92" s="7"/>
      <c r="I92" s="8"/>
      <c r="J92" s="7"/>
    </row>
    <row r="93" spans="1:10" s="386" customFormat="1" ht="16.2" hidden="1" thickBot="1">
      <c r="A93" s="50"/>
      <c r="B93" s="95"/>
      <c r="C93" s="231">
        <f>C92-C91</f>
        <v>0</v>
      </c>
      <c r="D93" s="142"/>
      <c r="E93" s="160">
        <f>SUM(E91:E92)</f>
        <v>750481.31367000006</v>
      </c>
      <c r="F93" s="387"/>
      <c r="G93" s="65" t="s">
        <v>158</v>
      </c>
      <c r="H93" s="7"/>
      <c r="I93" s="7"/>
      <c r="J93" s="7"/>
    </row>
    <row r="94" spans="1:10" s="386" customFormat="1" ht="16.2" hidden="1" thickTop="1">
      <c r="A94" s="387"/>
      <c r="B94" s="387"/>
      <c r="C94" s="387"/>
      <c r="D94" s="142" t="s">
        <v>87</v>
      </c>
      <c r="E94" s="50">
        <f>E93+E75</f>
        <v>-1798472.6743659079</v>
      </c>
      <c r="F94" s="387"/>
      <c r="G94" s="8">
        <f>(E75*(D95/12))+(E93*(D95/24))</f>
        <v>-5887.1402720024589</v>
      </c>
      <c r="H94" s="450"/>
      <c r="I94" s="450"/>
      <c r="J94" s="7"/>
    </row>
    <row r="95" spans="1:10" s="386" customFormat="1" ht="15.6" hidden="1">
      <c r="A95" s="387"/>
      <c r="B95" s="387"/>
      <c r="C95" s="50" t="s">
        <v>57</v>
      </c>
      <c r="D95" s="226">
        <v>3.2500000000000001E-2</v>
      </c>
      <c r="E95" s="119">
        <f>ROUND(((E75)+(SUM(E93))/2)*(D95/12),2)</f>
        <v>-5887.14</v>
      </c>
      <c r="F95" s="387"/>
      <c r="G95" s="8"/>
      <c r="H95" s="7"/>
      <c r="I95" s="12"/>
      <c r="J95" s="12"/>
    </row>
    <row r="96" spans="1:10" s="386" customFormat="1" ht="15.6" hidden="1">
      <c r="A96" s="387"/>
      <c r="B96" s="387"/>
      <c r="C96" s="50" t="s">
        <v>1</v>
      </c>
      <c r="D96" s="90">
        <f>A78</f>
        <v>41333</v>
      </c>
      <c r="E96" s="50">
        <f>SUM(E94:E95)</f>
        <v>-1804359.8143659078</v>
      </c>
      <c r="F96" s="387"/>
      <c r="G96" s="248"/>
    </row>
    <row r="97" spans="1:10" s="386" customFormat="1" ht="15.6" hidden="1" thickBot="1"/>
    <row r="98" spans="1:10" s="386" customFormat="1" ht="15.6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6" customFormat="1" ht="15.6" hidden="1">
      <c r="A99" s="220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6" customFormat="1" ht="16.2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7"/>
      <c r="G100" s="387"/>
      <c r="H100" s="387"/>
      <c r="I100" s="387"/>
      <c r="J100" s="387"/>
    </row>
    <row r="101" spans="1:10" s="386" customFormat="1" ht="15.6" hidden="1">
      <c r="A101" s="50" t="s">
        <v>24</v>
      </c>
      <c r="B101" s="95">
        <v>101</v>
      </c>
      <c r="C101" s="207">
        <v>12776328</v>
      </c>
      <c r="D101" s="391">
        <v>3.3950000000000001E-2</v>
      </c>
      <c r="E101" s="169">
        <v>433756.33559999999</v>
      </c>
      <c r="F101" s="387"/>
      <c r="G101" s="387"/>
      <c r="H101" s="387"/>
      <c r="I101" s="387"/>
      <c r="J101" s="387"/>
    </row>
    <row r="102" spans="1:10" s="386" customFormat="1" ht="16.2" hidden="1" thickBot="1">
      <c r="A102" s="50" t="s">
        <v>24</v>
      </c>
      <c r="B102" s="95">
        <v>111</v>
      </c>
      <c r="C102" s="207">
        <v>4890087</v>
      </c>
      <c r="D102" s="391">
        <v>3.0599999999999999E-2</v>
      </c>
      <c r="E102" s="169">
        <v>149636.66219999999</v>
      </c>
      <c r="F102" s="387"/>
      <c r="G102" s="123">
        <f>A99</f>
        <v>41364</v>
      </c>
      <c r="H102" s="387"/>
      <c r="I102" s="387"/>
      <c r="J102" s="387"/>
    </row>
    <row r="103" spans="1:10" s="386" customFormat="1" ht="16.2" hidden="1" thickBot="1">
      <c r="A103" s="50" t="s">
        <v>24</v>
      </c>
      <c r="B103" s="95">
        <v>112</v>
      </c>
      <c r="C103" s="207">
        <v>0</v>
      </c>
      <c r="D103" s="391"/>
      <c r="E103" s="169">
        <v>0</v>
      </c>
      <c r="F103" s="387"/>
      <c r="G103" s="113" t="s">
        <v>25</v>
      </c>
      <c r="H103" s="206"/>
      <c r="I103" s="126" t="s">
        <v>18</v>
      </c>
      <c r="J103" s="126" t="s">
        <v>19</v>
      </c>
    </row>
    <row r="104" spans="1:10" s="386" customFormat="1" ht="15.6" hidden="1">
      <c r="A104" s="50" t="s">
        <v>24</v>
      </c>
      <c r="B104" s="95">
        <v>121</v>
      </c>
      <c r="C104" s="207">
        <v>526218</v>
      </c>
      <c r="D104" s="391">
        <v>2.998E-2</v>
      </c>
      <c r="E104" s="169">
        <v>15776.01564</v>
      </c>
      <c r="F104" s="387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6" customFormat="1" ht="15.6" hidden="1">
      <c r="A105" s="50" t="s">
        <v>24</v>
      </c>
      <c r="B105" s="95">
        <v>122</v>
      </c>
      <c r="C105" s="207">
        <v>0</v>
      </c>
      <c r="D105" s="391"/>
      <c r="E105" s="169">
        <v>0</v>
      </c>
      <c r="F105" s="387"/>
      <c r="G105" s="153" t="s">
        <v>29</v>
      </c>
      <c r="H105" s="7" t="s">
        <v>76</v>
      </c>
      <c r="I105" s="7">
        <f>IF(-E116&gt;0,-E116,0)</f>
        <v>4075.43</v>
      </c>
      <c r="J105" s="224"/>
    </row>
    <row r="106" spans="1:10" s="386" customFormat="1" ht="15.6" hidden="1">
      <c r="A106" s="50" t="s">
        <v>24</v>
      </c>
      <c r="B106" s="95">
        <v>131</v>
      </c>
      <c r="C106" s="207">
        <v>0</v>
      </c>
      <c r="D106" s="391">
        <v>5.7389999999999997E-2</v>
      </c>
      <c r="E106" s="169">
        <v>0</v>
      </c>
      <c r="F106" s="387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6" customFormat="1" ht="15.6" hidden="1">
      <c r="A107" s="50" t="s">
        <v>24</v>
      </c>
      <c r="B107" s="95">
        <v>132</v>
      </c>
      <c r="C107" s="207">
        <v>0</v>
      </c>
      <c r="D107" s="391"/>
      <c r="E107" s="169">
        <v>0</v>
      </c>
      <c r="F107" s="387"/>
      <c r="G107" s="153" t="s">
        <v>10</v>
      </c>
      <c r="H107" s="7" t="s">
        <v>17</v>
      </c>
      <c r="I107" s="7">
        <v>0</v>
      </c>
      <c r="J107" s="98"/>
    </row>
    <row r="108" spans="1:10" s="386" customFormat="1" ht="16.2" hidden="1" thickBot="1">
      <c r="A108" s="50" t="s">
        <v>24</v>
      </c>
      <c r="B108" s="95">
        <v>146</v>
      </c>
      <c r="C108" s="207">
        <v>2772085</v>
      </c>
      <c r="D108" s="239"/>
      <c r="E108" s="169">
        <v>0</v>
      </c>
      <c r="F108" s="387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6" customFormat="1" ht="15.6" hidden="1">
      <c r="A109" s="50" t="s">
        <v>151</v>
      </c>
      <c r="B109" s="95"/>
      <c r="C109" s="207"/>
      <c r="D109" s="121"/>
      <c r="E109" s="169">
        <v>0</v>
      </c>
      <c r="F109" s="387"/>
      <c r="G109" s="387"/>
      <c r="H109" s="387"/>
      <c r="I109" s="387"/>
      <c r="J109" s="340">
        <f>SUM(I104:J108)</f>
        <v>0</v>
      </c>
    </row>
    <row r="110" spans="1:10" s="386" customFormat="1" ht="15.6" hidden="1">
      <c r="A110" s="141" t="s">
        <v>143</v>
      </c>
      <c r="B110" s="95">
        <v>146</v>
      </c>
      <c r="C110" s="207"/>
      <c r="D110" s="121"/>
      <c r="E110" s="169">
        <v>0</v>
      </c>
      <c r="F110" s="387"/>
      <c r="G110" s="123"/>
      <c r="H110" s="7"/>
      <c r="I110" s="7"/>
      <c r="J110" s="7"/>
    </row>
    <row r="111" spans="1:10" s="386" customFormat="1" ht="15.6" hidden="1">
      <c r="A111" s="141" t="s">
        <v>105</v>
      </c>
      <c r="B111" s="95"/>
      <c r="C111" s="207"/>
      <c r="D111" s="121"/>
      <c r="E111" s="227">
        <v>0</v>
      </c>
      <c r="F111" s="387"/>
      <c r="G111" s="123"/>
      <c r="H111" s="7"/>
      <c r="I111" s="12"/>
      <c r="J111" s="12"/>
    </row>
    <row r="112" spans="1:10" s="386" customFormat="1" ht="16.2" hidden="1" thickBot="1">
      <c r="A112" s="50"/>
      <c r="B112" s="95"/>
      <c r="C112" s="159">
        <f>SUM(C101:C111)</f>
        <v>20964718</v>
      </c>
      <c r="D112" s="142"/>
      <c r="E112" s="208">
        <f>SUM(E101:E111)</f>
        <v>599169.01344000001</v>
      </c>
      <c r="F112" s="387"/>
      <c r="G112" s="123"/>
      <c r="H112" s="7"/>
      <c r="I112" s="7"/>
      <c r="J112" s="8"/>
    </row>
    <row r="113" spans="1:10" s="386" customFormat="1" ht="16.2" hidden="1" thickTop="1">
      <c r="A113" s="50"/>
      <c r="B113" s="95"/>
      <c r="C113" s="225">
        <v>20964718</v>
      </c>
      <c r="D113" s="142" t="s">
        <v>161</v>
      </c>
      <c r="E113" s="156">
        <v>0</v>
      </c>
      <c r="F113" s="387"/>
      <c r="G113" s="11"/>
      <c r="H113" s="7"/>
      <c r="I113" s="8"/>
      <c r="J113" s="7"/>
    </row>
    <row r="114" spans="1:10" s="386" customFormat="1" ht="16.2" hidden="1" thickBot="1">
      <c r="A114" s="50"/>
      <c r="B114" s="95"/>
      <c r="C114" s="231">
        <f>C113-C112</f>
        <v>0</v>
      </c>
      <c r="D114" s="142"/>
      <c r="E114" s="160">
        <f>SUM(E112:E113)</f>
        <v>599169.01344000001</v>
      </c>
      <c r="F114" s="387"/>
      <c r="G114" s="65" t="s">
        <v>158</v>
      </c>
      <c r="H114" s="7"/>
      <c r="I114" s="7"/>
      <c r="J114" s="7"/>
    </row>
    <row r="115" spans="1:10" s="386" customFormat="1" ht="16.2" hidden="1" thickTop="1">
      <c r="A115" s="387"/>
      <c r="B115" s="387"/>
      <c r="C115" s="387"/>
      <c r="D115" s="142" t="s">
        <v>87</v>
      </c>
      <c r="E115" s="50">
        <f>E114+E96</f>
        <v>-1205190.8009259077</v>
      </c>
      <c r="F115" s="387"/>
      <c r="G115" s="8">
        <f>(E96*(D116/12))+(E114*(D116/24))</f>
        <v>-4075.4331248743338</v>
      </c>
      <c r="H115" s="452"/>
      <c r="I115" s="452"/>
      <c r="J115" s="7"/>
    </row>
    <row r="116" spans="1:10" s="386" customFormat="1" ht="15.6" hidden="1">
      <c r="A116" s="387"/>
      <c r="B116" s="387"/>
      <c r="C116" s="50" t="s">
        <v>57</v>
      </c>
      <c r="D116" s="226">
        <v>3.2500000000000001E-2</v>
      </c>
      <c r="E116" s="119">
        <f>ROUND(((E96)+(SUM(E114))/2)*(D116/12),2)</f>
        <v>-4075.43</v>
      </c>
      <c r="F116" s="387"/>
      <c r="G116" s="8"/>
      <c r="H116" s="7"/>
      <c r="I116" s="12"/>
      <c r="J116" s="12"/>
    </row>
    <row r="117" spans="1:10" s="386" customFormat="1" ht="15.6" hidden="1">
      <c r="A117" s="387"/>
      <c r="B117" s="387"/>
      <c r="C117" s="50" t="s">
        <v>1</v>
      </c>
      <c r="D117" s="90">
        <f>A99</f>
        <v>41364</v>
      </c>
      <c r="E117" s="50">
        <f>SUM(E115:E116)</f>
        <v>-1209266.2309259076</v>
      </c>
      <c r="F117" s="387"/>
      <c r="G117" s="248"/>
    </row>
    <row r="118" spans="1:10" s="386" customFormat="1" ht="15.6" hidden="1" thickBot="1"/>
    <row r="119" spans="1:10" s="386" customFormat="1" ht="15.6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6" customFormat="1" ht="15.6" hidden="1">
      <c r="A120" s="220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6" customFormat="1" ht="16.2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7"/>
      <c r="G121" s="387"/>
      <c r="H121" s="387"/>
      <c r="I121" s="387"/>
      <c r="J121" s="387"/>
    </row>
    <row r="122" spans="1:10" s="386" customFormat="1" ht="15.6" hidden="1">
      <c r="A122" s="50" t="s">
        <v>24</v>
      </c>
      <c r="B122" s="95">
        <v>101</v>
      </c>
      <c r="C122" s="207">
        <v>8689955</v>
      </c>
      <c r="D122" s="391">
        <v>3.3950000000000001E-2</v>
      </c>
      <c r="E122" s="169">
        <v>295023.97224999999</v>
      </c>
      <c r="F122" s="387"/>
      <c r="G122" s="387"/>
      <c r="H122" s="387"/>
      <c r="I122" s="387"/>
      <c r="J122" s="387"/>
    </row>
    <row r="123" spans="1:10" s="386" customFormat="1" ht="16.2" hidden="1" thickBot="1">
      <c r="A123" s="50" t="s">
        <v>24</v>
      </c>
      <c r="B123" s="95">
        <v>111</v>
      </c>
      <c r="C123" s="207">
        <v>3665435</v>
      </c>
      <c r="D123" s="391">
        <v>3.0599999999999999E-2</v>
      </c>
      <c r="E123" s="169">
        <v>112162.311</v>
      </c>
      <c r="F123" s="387"/>
      <c r="G123" s="123">
        <f>A120</f>
        <v>41394</v>
      </c>
      <c r="H123" s="387"/>
      <c r="I123" s="387"/>
      <c r="J123" s="387"/>
    </row>
    <row r="124" spans="1:10" s="386" customFormat="1" ht="16.2" hidden="1" thickBot="1">
      <c r="A124" s="50" t="s">
        <v>24</v>
      </c>
      <c r="B124" s="95">
        <v>112</v>
      </c>
      <c r="C124" s="207">
        <v>0</v>
      </c>
      <c r="D124" s="391"/>
      <c r="E124" s="169">
        <v>0</v>
      </c>
      <c r="F124" s="387"/>
      <c r="G124" s="113" t="s">
        <v>25</v>
      </c>
      <c r="H124" s="206"/>
      <c r="I124" s="126" t="s">
        <v>18</v>
      </c>
      <c r="J124" s="126" t="s">
        <v>19</v>
      </c>
    </row>
    <row r="125" spans="1:10" s="386" customFormat="1" ht="15.6" hidden="1">
      <c r="A125" s="50" t="s">
        <v>24</v>
      </c>
      <c r="B125" s="95">
        <v>121</v>
      </c>
      <c r="C125" s="207">
        <v>375679</v>
      </c>
      <c r="D125" s="391">
        <v>2.998E-2</v>
      </c>
      <c r="E125" s="169">
        <v>11262.85642</v>
      </c>
      <c r="F125" s="387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6" customFormat="1" ht="15.6" hidden="1">
      <c r="A126" s="50" t="s">
        <v>24</v>
      </c>
      <c r="B126" s="95">
        <v>122</v>
      </c>
      <c r="C126" s="207">
        <v>0</v>
      </c>
      <c r="D126" s="391"/>
      <c r="E126" s="169">
        <v>0</v>
      </c>
      <c r="F126" s="387"/>
      <c r="G126" s="153" t="s">
        <v>29</v>
      </c>
      <c r="H126" s="7" t="s">
        <v>76</v>
      </c>
      <c r="I126" s="7">
        <f>IF(-E137&gt;0,-E137,0)</f>
        <v>2708.45</v>
      </c>
      <c r="J126" s="224"/>
    </row>
    <row r="127" spans="1:10" s="386" customFormat="1" ht="15.6" hidden="1">
      <c r="A127" s="50" t="s">
        <v>24</v>
      </c>
      <c r="B127" s="95">
        <v>131</v>
      </c>
      <c r="C127" s="207">
        <v>0</v>
      </c>
      <c r="D127" s="391">
        <v>5.7389999999999997E-2</v>
      </c>
      <c r="E127" s="169">
        <v>0</v>
      </c>
      <c r="F127" s="387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6" customFormat="1" ht="15.6" hidden="1">
      <c r="A128" s="50" t="s">
        <v>24</v>
      </c>
      <c r="B128" s="95">
        <v>132</v>
      </c>
      <c r="C128" s="207">
        <v>0</v>
      </c>
      <c r="D128" s="391"/>
      <c r="E128" s="169">
        <v>0</v>
      </c>
      <c r="F128" s="387"/>
      <c r="G128" s="153" t="s">
        <v>10</v>
      </c>
      <c r="H128" s="7" t="s">
        <v>17</v>
      </c>
      <c r="I128" s="7">
        <v>0</v>
      </c>
      <c r="J128" s="98"/>
    </row>
    <row r="129" spans="1:10" s="386" customFormat="1" ht="16.2" hidden="1" thickBot="1">
      <c r="A129" s="50" t="s">
        <v>24</v>
      </c>
      <c r="B129" s="95">
        <v>146</v>
      </c>
      <c r="C129" s="207">
        <v>2439162</v>
      </c>
      <c r="D129" s="239"/>
      <c r="E129" s="169">
        <v>0</v>
      </c>
      <c r="F129" s="387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6" customFormat="1" ht="15.6" hidden="1">
      <c r="A130" s="50" t="s">
        <v>151</v>
      </c>
      <c r="B130" s="95"/>
      <c r="C130" s="207"/>
      <c r="D130" s="121"/>
      <c r="E130" s="169">
        <v>0</v>
      </c>
      <c r="F130" s="387"/>
      <c r="G130" s="387"/>
      <c r="H130" s="387"/>
      <c r="I130" s="387"/>
      <c r="J130" s="340">
        <f>SUM(I125:J129)</f>
        <v>0</v>
      </c>
    </row>
    <row r="131" spans="1:10" s="386" customFormat="1" ht="15.6" hidden="1">
      <c r="A131" s="141" t="s">
        <v>143</v>
      </c>
      <c r="B131" s="95">
        <v>146</v>
      </c>
      <c r="C131" s="207"/>
      <c r="D131" s="121"/>
      <c r="E131" s="169">
        <v>0</v>
      </c>
      <c r="F131" s="387"/>
      <c r="G131" s="123"/>
      <c r="H131" s="7"/>
      <c r="I131" s="7"/>
      <c r="J131" s="7"/>
    </row>
    <row r="132" spans="1:10" s="386" customFormat="1" ht="15.6" hidden="1">
      <c r="A132" s="141" t="s">
        <v>105</v>
      </c>
      <c r="B132" s="95"/>
      <c r="C132" s="207"/>
      <c r="D132" s="121"/>
      <c r="E132" s="227">
        <v>0</v>
      </c>
      <c r="F132" s="387"/>
      <c r="G132" s="123"/>
      <c r="H132" s="7"/>
      <c r="I132" s="12"/>
      <c r="J132" s="12"/>
    </row>
    <row r="133" spans="1:10" s="386" customFormat="1" ht="16.2" hidden="1" thickBot="1">
      <c r="A133" s="50"/>
      <c r="B133" s="95"/>
      <c r="C133" s="159">
        <f>SUM(C122:C132)</f>
        <v>15170231</v>
      </c>
      <c r="D133" s="142"/>
      <c r="E133" s="208">
        <f>SUM(E122:E132)</f>
        <v>418449.13967</v>
      </c>
      <c r="F133" s="387"/>
      <c r="G133" s="123"/>
      <c r="H133" s="7"/>
      <c r="I133" s="7"/>
      <c r="J133" s="8"/>
    </row>
    <row r="134" spans="1:10" s="386" customFormat="1" ht="16.2" hidden="1" thickTop="1">
      <c r="A134" s="50"/>
      <c r="B134" s="95"/>
      <c r="C134" s="225">
        <v>15170231</v>
      </c>
      <c r="D134" s="142" t="s">
        <v>161</v>
      </c>
      <c r="E134" s="156">
        <v>0</v>
      </c>
      <c r="F134" s="387"/>
      <c r="G134" s="11"/>
      <c r="H134" s="7"/>
      <c r="I134" s="8"/>
      <c r="J134" s="7"/>
    </row>
    <row r="135" spans="1:10" s="386" customFormat="1" ht="16.2" hidden="1" thickBot="1">
      <c r="A135" s="50"/>
      <c r="B135" s="95"/>
      <c r="C135" s="231">
        <f>C134-C133</f>
        <v>0</v>
      </c>
      <c r="D135" s="142"/>
      <c r="E135" s="160">
        <f>SUM(E133:E134)</f>
        <v>418449.13967</v>
      </c>
      <c r="F135" s="387"/>
      <c r="G135" s="65" t="s">
        <v>158</v>
      </c>
      <c r="H135" s="7"/>
      <c r="I135" s="7"/>
      <c r="J135" s="7"/>
    </row>
    <row r="136" spans="1:10" s="386" customFormat="1" ht="16.2" hidden="1" thickTop="1">
      <c r="A136" s="387"/>
      <c r="B136" s="387"/>
      <c r="C136" s="387"/>
      <c r="D136" s="142" t="s">
        <v>87</v>
      </c>
      <c r="E136" s="50">
        <f>E135+E117</f>
        <v>-790817.09125590767</v>
      </c>
      <c r="F136" s="387"/>
      <c r="G136" s="8">
        <f>(E117*(D137/12))+(E135*(D137/24))</f>
        <v>-2708.4461654545416</v>
      </c>
      <c r="H136" s="453"/>
      <c r="I136" s="453"/>
      <c r="J136" s="7"/>
    </row>
    <row r="137" spans="1:10" s="386" customFormat="1" ht="15.6" hidden="1">
      <c r="A137" s="387"/>
      <c r="B137" s="387"/>
      <c r="C137" s="50" t="s">
        <v>57</v>
      </c>
      <c r="D137" s="226">
        <v>3.2500000000000001E-2</v>
      </c>
      <c r="E137" s="119">
        <f>ROUND(((E117)+(SUM(E135))/2)*(D137/12),2)</f>
        <v>-2708.45</v>
      </c>
      <c r="F137" s="387"/>
      <c r="G137" s="8"/>
      <c r="H137" s="7"/>
      <c r="I137" s="12"/>
      <c r="J137" s="12"/>
    </row>
    <row r="138" spans="1:10" s="386" customFormat="1" ht="15.6" hidden="1">
      <c r="A138" s="387"/>
      <c r="B138" s="387"/>
      <c r="C138" s="50" t="s">
        <v>1</v>
      </c>
      <c r="D138" s="90">
        <f>A120</f>
        <v>41394</v>
      </c>
      <c r="E138" s="50">
        <f>SUM(E136:E137)</f>
        <v>-793525.54125590762</v>
      </c>
      <c r="F138" s="387"/>
      <c r="G138" s="387"/>
    </row>
    <row r="139" spans="1:10" s="386" customFormat="1" ht="15.6" hidden="1" thickBot="1"/>
    <row r="140" spans="1:10" s="386" customFormat="1" ht="15.6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6" customFormat="1" ht="15.6" hidden="1">
      <c r="A141" s="220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6" customFormat="1" ht="16.2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7"/>
      <c r="G142" s="387"/>
      <c r="H142" s="387"/>
      <c r="I142" s="387"/>
      <c r="J142" s="387"/>
    </row>
    <row r="143" spans="1:10" s="386" customFormat="1" ht="15.6" hidden="1">
      <c r="A143" s="50" t="s">
        <v>24</v>
      </c>
      <c r="B143" s="95">
        <v>101</v>
      </c>
      <c r="C143" s="207">
        <v>4182901</v>
      </c>
      <c r="D143" s="391">
        <v>3.3950000000000001E-2</v>
      </c>
      <c r="E143" s="169">
        <v>142009.48895</v>
      </c>
      <c r="F143" s="387"/>
      <c r="G143" s="387"/>
      <c r="H143" s="387"/>
      <c r="I143" s="387"/>
      <c r="J143" s="387"/>
    </row>
    <row r="144" spans="1:10" s="386" customFormat="1" ht="16.2" hidden="1" thickBot="1">
      <c r="A144" s="50" t="s">
        <v>24</v>
      </c>
      <c r="B144" s="95">
        <v>111</v>
      </c>
      <c r="C144" s="207">
        <v>1970725</v>
      </c>
      <c r="D144" s="391">
        <v>3.0599999999999999E-2</v>
      </c>
      <c r="E144" s="169">
        <v>60304.184999999998</v>
      </c>
      <c r="F144" s="387"/>
      <c r="G144" s="123">
        <f>A141</f>
        <v>41425</v>
      </c>
      <c r="H144" s="387"/>
      <c r="I144" s="387"/>
      <c r="J144" s="387"/>
    </row>
    <row r="145" spans="1:10" s="386" customFormat="1" ht="16.2" hidden="1" thickBot="1">
      <c r="A145" s="50" t="s">
        <v>24</v>
      </c>
      <c r="B145" s="95">
        <v>112</v>
      </c>
      <c r="C145" s="207">
        <v>0</v>
      </c>
      <c r="D145" s="391"/>
      <c r="E145" s="169">
        <v>0</v>
      </c>
      <c r="F145" s="387"/>
      <c r="G145" s="113" t="s">
        <v>25</v>
      </c>
      <c r="H145" s="206"/>
      <c r="I145" s="126" t="s">
        <v>18</v>
      </c>
      <c r="J145" s="126" t="s">
        <v>19</v>
      </c>
    </row>
    <row r="146" spans="1:10" s="386" customFormat="1" ht="15.6" hidden="1">
      <c r="A146" s="50" t="s">
        <v>24</v>
      </c>
      <c r="B146" s="95">
        <v>121</v>
      </c>
      <c r="C146" s="207">
        <v>339319</v>
      </c>
      <c r="D146" s="391">
        <v>2.998E-2</v>
      </c>
      <c r="E146" s="169">
        <v>10172.78362</v>
      </c>
      <c r="F146" s="387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6" customFormat="1" ht="15.6" hidden="1">
      <c r="A147" s="50" t="s">
        <v>24</v>
      </c>
      <c r="B147" s="95">
        <v>122</v>
      </c>
      <c r="C147" s="207">
        <v>0</v>
      </c>
      <c r="D147" s="391"/>
      <c r="E147" s="169">
        <v>0</v>
      </c>
      <c r="F147" s="387"/>
      <c r="G147" s="153" t="s">
        <v>29</v>
      </c>
      <c r="H147" s="7" t="s">
        <v>76</v>
      </c>
      <c r="I147" s="7">
        <f>IF(-E158&gt;0,-E158,0)</f>
        <v>1861.39</v>
      </c>
      <c r="J147" s="224"/>
    </row>
    <row r="148" spans="1:10" s="386" customFormat="1" ht="15.6" hidden="1">
      <c r="A148" s="50" t="s">
        <v>24</v>
      </c>
      <c r="B148" s="95">
        <v>131</v>
      </c>
      <c r="C148" s="207">
        <v>0</v>
      </c>
      <c r="D148" s="391">
        <v>5.7389999999999997E-2</v>
      </c>
      <c r="E148" s="169">
        <v>0</v>
      </c>
      <c r="F148" s="387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6" customFormat="1" ht="15.6" hidden="1">
      <c r="A149" s="50" t="s">
        <v>24</v>
      </c>
      <c r="B149" s="95">
        <v>132</v>
      </c>
      <c r="C149" s="207">
        <v>0</v>
      </c>
      <c r="D149" s="391"/>
      <c r="E149" s="169">
        <v>0</v>
      </c>
      <c r="F149" s="387"/>
      <c r="G149" s="153" t="s">
        <v>10</v>
      </c>
      <c r="H149" s="7" t="s">
        <v>17</v>
      </c>
      <c r="I149" s="7">
        <v>0</v>
      </c>
      <c r="J149" s="98"/>
    </row>
    <row r="150" spans="1:10" s="386" customFormat="1" ht="16.2" hidden="1" thickBot="1">
      <c r="A150" s="50" t="s">
        <v>24</v>
      </c>
      <c r="B150" s="95">
        <v>146</v>
      </c>
      <c r="C150" s="207">
        <v>1979128</v>
      </c>
      <c r="D150" s="239"/>
      <c r="E150" s="169">
        <v>0</v>
      </c>
      <c r="F150" s="387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6" customFormat="1" ht="15.6" hidden="1">
      <c r="A151" s="50" t="s">
        <v>151</v>
      </c>
      <c r="B151" s="95"/>
      <c r="C151" s="207"/>
      <c r="D151" s="121"/>
      <c r="E151" s="169">
        <v>0</v>
      </c>
      <c r="F151" s="387"/>
      <c r="G151" s="387"/>
      <c r="H151" s="387"/>
      <c r="I151" s="387"/>
      <c r="J151" s="340">
        <f>SUM(I146:J150)</f>
        <v>0</v>
      </c>
    </row>
    <row r="152" spans="1:10" s="386" customFormat="1" ht="15.6" hidden="1">
      <c r="A152" s="141" t="s">
        <v>143</v>
      </c>
      <c r="B152" s="95">
        <v>146</v>
      </c>
      <c r="C152" s="207"/>
      <c r="D152" s="121"/>
      <c r="E152" s="169">
        <v>0</v>
      </c>
      <c r="F152" s="387"/>
      <c r="G152" s="123"/>
      <c r="H152" s="7"/>
      <c r="I152" s="7"/>
      <c r="J152" s="7"/>
    </row>
    <row r="153" spans="1:10" s="386" customFormat="1" ht="15.6" hidden="1">
      <c r="A153" s="141" t="s">
        <v>105</v>
      </c>
      <c r="B153" s="95"/>
      <c r="C153" s="207"/>
      <c r="D153" s="121"/>
      <c r="E153" s="227">
        <v>0</v>
      </c>
      <c r="F153" s="387"/>
      <c r="G153" s="123"/>
      <c r="H153" s="7"/>
      <c r="I153" s="12"/>
      <c r="J153" s="12"/>
    </row>
    <row r="154" spans="1:10" s="386" customFormat="1" ht="16.2" hidden="1" thickBot="1">
      <c r="A154" s="50"/>
      <c r="B154" s="95"/>
      <c r="C154" s="159">
        <f>SUM(C143:C153)</f>
        <v>8472073</v>
      </c>
      <c r="D154" s="142"/>
      <c r="E154" s="208">
        <f>SUM(E143:E153)</f>
        <v>212486.45757</v>
      </c>
      <c r="F154" s="387"/>
      <c r="G154" s="123"/>
      <c r="H154" s="7"/>
      <c r="I154" s="7"/>
      <c r="J154" s="8"/>
    </row>
    <row r="155" spans="1:10" s="386" customFormat="1" ht="16.2" hidden="1" thickTop="1">
      <c r="A155" s="50"/>
      <c r="B155" s="95"/>
      <c r="C155" s="225">
        <v>8472073</v>
      </c>
      <c r="D155" s="142" t="s">
        <v>161</v>
      </c>
      <c r="E155" s="156">
        <v>0</v>
      </c>
      <c r="F155" s="387"/>
      <c r="G155" s="11"/>
      <c r="H155" s="7"/>
      <c r="I155" s="8"/>
      <c r="J155" s="7"/>
    </row>
    <row r="156" spans="1:10" s="386" customFormat="1" ht="16.2" hidden="1" thickBot="1">
      <c r="A156" s="50"/>
      <c r="B156" s="95"/>
      <c r="C156" s="231">
        <f>C155-C154</f>
        <v>0</v>
      </c>
      <c r="D156" s="142"/>
      <c r="E156" s="160">
        <f>SUM(E154:E155)</f>
        <v>212486.45757</v>
      </c>
      <c r="F156" s="387"/>
      <c r="G156" s="65" t="s">
        <v>158</v>
      </c>
      <c r="H156" s="7"/>
      <c r="I156" s="7"/>
      <c r="J156" s="7"/>
    </row>
    <row r="157" spans="1:10" s="386" customFormat="1" ht="16.2" hidden="1" thickTop="1">
      <c r="A157" s="387"/>
      <c r="B157" s="387"/>
      <c r="C157" s="387"/>
      <c r="D157" s="142" t="s">
        <v>87</v>
      </c>
      <c r="E157" s="50">
        <f>E156+E138</f>
        <v>-581039.08368590765</v>
      </c>
      <c r="F157" s="387"/>
      <c r="G157" s="8">
        <f>(E138*(D158/12))+(E156*(D158/24))</f>
        <v>-1861.389596275375</v>
      </c>
      <c r="H157" s="455"/>
      <c r="I157" s="455"/>
      <c r="J157" s="7"/>
    </row>
    <row r="158" spans="1:10" s="386" customFormat="1" ht="15.6" hidden="1">
      <c r="A158" s="387"/>
      <c r="B158" s="387"/>
      <c r="C158" s="50" t="s">
        <v>57</v>
      </c>
      <c r="D158" s="226">
        <v>3.2500000000000001E-2</v>
      </c>
      <c r="E158" s="119">
        <f>ROUND(((E138)+(SUM(E156))/2)*(D158/12),2)</f>
        <v>-1861.39</v>
      </c>
      <c r="F158" s="387"/>
      <c r="G158" s="8"/>
      <c r="H158" s="7"/>
      <c r="I158" s="12"/>
      <c r="J158" s="12"/>
    </row>
    <row r="159" spans="1:10" s="386" customFormat="1" ht="15.6" hidden="1">
      <c r="A159" s="387"/>
      <c r="B159" s="387"/>
      <c r="C159" s="50" t="s">
        <v>1</v>
      </c>
      <c r="D159" s="90">
        <f>A141</f>
        <v>41425</v>
      </c>
      <c r="E159" s="50">
        <f>SUM(E157:E158)</f>
        <v>-582900.47368590767</v>
      </c>
      <c r="F159" s="387"/>
      <c r="G159" s="248"/>
    </row>
    <row r="160" spans="1:10" s="386" customFormat="1" ht="15.6" hidden="1" thickBot="1"/>
    <row r="161" spans="1:10" s="386" customFormat="1" ht="15.6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6" customFormat="1" ht="15.6" hidden="1">
      <c r="A162" s="220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6" customFormat="1" ht="16.2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7"/>
      <c r="G163" s="387"/>
      <c r="H163" s="387"/>
      <c r="I163" s="387"/>
      <c r="J163" s="387"/>
    </row>
    <row r="164" spans="1:10" s="386" customFormat="1" ht="15.6" hidden="1">
      <c r="A164" s="50" t="s">
        <v>24</v>
      </c>
      <c r="B164" s="95">
        <v>101</v>
      </c>
      <c r="C164" s="207">
        <v>2800295</v>
      </c>
      <c r="D164" s="391">
        <v>3.3950000000000001E-2</v>
      </c>
      <c r="E164" s="169">
        <v>95070.015249999997</v>
      </c>
      <c r="F164" s="387"/>
      <c r="G164" s="387"/>
      <c r="H164" s="387"/>
      <c r="I164" s="387"/>
      <c r="J164" s="387"/>
    </row>
    <row r="165" spans="1:10" s="386" customFormat="1" ht="16.2" hidden="1" thickBot="1">
      <c r="A165" s="50" t="s">
        <v>24</v>
      </c>
      <c r="B165" s="95">
        <v>111</v>
      </c>
      <c r="C165" s="207">
        <v>1678252</v>
      </c>
      <c r="D165" s="391">
        <v>3.0599999999999999E-2</v>
      </c>
      <c r="E165" s="169">
        <v>51354.511200000001</v>
      </c>
      <c r="F165" s="387"/>
      <c r="G165" s="123">
        <f>A162</f>
        <v>41426</v>
      </c>
      <c r="H165" s="387"/>
      <c r="I165" s="387"/>
      <c r="J165" s="387"/>
    </row>
    <row r="166" spans="1:10" s="386" customFormat="1" ht="16.2" hidden="1" thickBot="1">
      <c r="A166" s="50" t="s">
        <v>24</v>
      </c>
      <c r="B166" s="95">
        <v>112</v>
      </c>
      <c r="C166" s="207">
        <v>0</v>
      </c>
      <c r="D166" s="391"/>
      <c r="E166" s="169">
        <v>0</v>
      </c>
      <c r="F166" s="387"/>
      <c r="G166" s="113" t="s">
        <v>25</v>
      </c>
      <c r="H166" s="206"/>
      <c r="I166" s="126" t="s">
        <v>18</v>
      </c>
      <c r="J166" s="126" t="s">
        <v>19</v>
      </c>
    </row>
    <row r="167" spans="1:10" s="386" customFormat="1" ht="15.6" hidden="1">
      <c r="A167" s="50" t="s">
        <v>24</v>
      </c>
      <c r="B167" s="95">
        <v>121</v>
      </c>
      <c r="C167" s="207">
        <v>339158</v>
      </c>
      <c r="D167" s="391">
        <v>2.998E-2</v>
      </c>
      <c r="E167" s="169">
        <v>10167.956840000001</v>
      </c>
      <c r="F167" s="387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6" customFormat="1" ht="15.6" hidden="1">
      <c r="A168" s="50" t="s">
        <v>24</v>
      </c>
      <c r="B168" s="95">
        <v>122</v>
      </c>
      <c r="C168" s="207">
        <v>0</v>
      </c>
      <c r="D168" s="391"/>
      <c r="E168" s="169">
        <v>0</v>
      </c>
      <c r="F168" s="387"/>
      <c r="G168" s="153" t="s">
        <v>29</v>
      </c>
      <c r="H168" s="7" t="s">
        <v>76</v>
      </c>
      <c r="I168" s="7">
        <f>IF(-E179&gt;0,-E179,0)</f>
        <v>1366.64</v>
      </c>
      <c r="J168" s="224"/>
    </row>
    <row r="169" spans="1:10" s="386" customFormat="1" ht="15.6" hidden="1">
      <c r="A169" s="50" t="s">
        <v>24</v>
      </c>
      <c r="B169" s="95">
        <v>131</v>
      </c>
      <c r="C169" s="207">
        <v>0</v>
      </c>
      <c r="D169" s="391">
        <v>5.7389999999999997E-2</v>
      </c>
      <c r="E169" s="169">
        <v>0</v>
      </c>
      <c r="F169" s="387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6" customFormat="1" ht="15.6" hidden="1">
      <c r="A170" s="50" t="s">
        <v>24</v>
      </c>
      <c r="B170" s="95">
        <v>132</v>
      </c>
      <c r="C170" s="207">
        <v>0</v>
      </c>
      <c r="D170" s="391"/>
      <c r="E170" s="169">
        <v>0</v>
      </c>
      <c r="F170" s="387"/>
      <c r="G170" s="153" t="s">
        <v>10</v>
      </c>
      <c r="H170" s="7" t="s">
        <v>17</v>
      </c>
      <c r="I170" s="7">
        <v>0</v>
      </c>
      <c r="J170" s="98"/>
    </row>
    <row r="171" spans="1:10" s="386" customFormat="1" ht="16.2" hidden="1" thickBot="1">
      <c r="A171" s="50" t="s">
        <v>24</v>
      </c>
      <c r="B171" s="95">
        <v>146</v>
      </c>
      <c r="C171" s="207">
        <v>1585130</v>
      </c>
      <c r="D171" s="239"/>
      <c r="E171" s="169">
        <v>0</v>
      </c>
      <c r="F171" s="387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6" customFormat="1" ht="15.6" hidden="1">
      <c r="A172" s="50" t="s">
        <v>151</v>
      </c>
      <c r="B172" s="95"/>
      <c r="C172" s="207"/>
      <c r="D172" s="121"/>
      <c r="E172" s="169">
        <v>0</v>
      </c>
      <c r="F172" s="387"/>
      <c r="G172" s="387"/>
      <c r="H172" s="387"/>
      <c r="I172" s="387"/>
      <c r="J172" s="340">
        <f>SUM(I167:J171)</f>
        <v>0</v>
      </c>
    </row>
    <row r="173" spans="1:10" s="386" customFormat="1" ht="15.6" hidden="1">
      <c r="A173" s="141" t="s">
        <v>143</v>
      </c>
      <c r="B173" s="95">
        <v>146</v>
      </c>
      <c r="C173" s="207"/>
      <c r="D173" s="121"/>
      <c r="E173" s="169">
        <v>0</v>
      </c>
      <c r="F173" s="387"/>
      <c r="G173" s="123"/>
      <c r="H173" s="7"/>
      <c r="I173" s="7"/>
      <c r="J173" s="7"/>
    </row>
    <row r="174" spans="1:10" s="386" customFormat="1" ht="15.6" hidden="1">
      <c r="A174" s="141" t="s">
        <v>105</v>
      </c>
      <c r="B174" s="95"/>
      <c r="C174" s="207"/>
      <c r="D174" s="121"/>
      <c r="E174" s="227">
        <v>0</v>
      </c>
      <c r="F174" s="387"/>
      <c r="G174" s="123"/>
      <c r="H174" s="7"/>
      <c r="I174" s="12"/>
      <c r="J174" s="12"/>
    </row>
    <row r="175" spans="1:10" s="386" customFormat="1" ht="16.2" hidden="1" thickBot="1">
      <c r="A175" s="50"/>
      <c r="B175" s="95"/>
      <c r="C175" s="159">
        <f>SUM(C164:C174)</f>
        <v>6402835</v>
      </c>
      <c r="D175" s="142"/>
      <c r="E175" s="208">
        <f>SUM(E164:E174)</f>
        <v>156592.48329</v>
      </c>
      <c r="F175" s="387"/>
      <c r="G175" s="123"/>
      <c r="H175" s="7"/>
      <c r="I175" s="7"/>
      <c r="J175" s="8"/>
    </row>
    <row r="176" spans="1:10" s="386" customFormat="1" ht="16.2" hidden="1" thickTop="1">
      <c r="A176" s="50"/>
      <c r="B176" s="95"/>
      <c r="C176" s="225">
        <v>6402835</v>
      </c>
      <c r="D176" s="142" t="s">
        <v>161</v>
      </c>
      <c r="E176" s="156">
        <v>0</v>
      </c>
      <c r="F176" s="387"/>
      <c r="G176" s="11"/>
      <c r="H176" s="7"/>
      <c r="I176" s="8"/>
      <c r="J176" s="7"/>
    </row>
    <row r="177" spans="1:10" s="386" customFormat="1" ht="16.2" hidden="1" thickBot="1">
      <c r="A177" s="50"/>
      <c r="B177" s="95"/>
      <c r="C177" s="231">
        <f>C176-C175</f>
        <v>0</v>
      </c>
      <c r="D177" s="142"/>
      <c r="E177" s="160">
        <f>SUM(E175:E176)</f>
        <v>156592.48329</v>
      </c>
      <c r="F177" s="387"/>
      <c r="G177" s="65" t="s">
        <v>158</v>
      </c>
      <c r="H177" s="7"/>
      <c r="I177" s="7"/>
      <c r="J177" s="7"/>
    </row>
    <row r="178" spans="1:10" s="386" customFormat="1" ht="16.2" hidden="1" thickTop="1">
      <c r="A178" s="387"/>
      <c r="B178" s="387"/>
      <c r="C178" s="387"/>
      <c r="D178" s="142" t="s">
        <v>87</v>
      </c>
      <c r="E178" s="50">
        <f>E177+E159</f>
        <v>-426307.99039590766</v>
      </c>
      <c r="F178" s="387"/>
      <c r="G178" s="8">
        <f>(E159*(D179/12))+(E177*(D179/24))</f>
        <v>-1366.6364617774584</v>
      </c>
      <c r="H178" s="456"/>
      <c r="I178" s="456"/>
      <c r="J178" s="7"/>
    </row>
    <row r="179" spans="1:10" s="386" customFormat="1" ht="15.6" hidden="1">
      <c r="A179" s="387"/>
      <c r="B179" s="387"/>
      <c r="C179" s="50" t="s">
        <v>57</v>
      </c>
      <c r="D179" s="226">
        <v>3.2500000000000001E-2</v>
      </c>
      <c r="E179" s="119">
        <f>ROUND(((E159)+(SUM(E177))/2)*(D179/12),2)</f>
        <v>-1366.64</v>
      </c>
      <c r="F179" s="387"/>
      <c r="G179" s="8"/>
      <c r="H179" s="7"/>
      <c r="I179" s="12"/>
      <c r="J179" s="12"/>
    </row>
    <row r="180" spans="1:10" s="386" customFormat="1" ht="15.6" hidden="1">
      <c r="A180" s="387"/>
      <c r="B180" s="387"/>
      <c r="C180" s="50" t="s">
        <v>1</v>
      </c>
      <c r="D180" s="90">
        <v>41455</v>
      </c>
      <c r="E180" s="50">
        <f>SUM(E178:E179)</f>
        <v>-427674.63039590768</v>
      </c>
      <c r="F180" s="387"/>
      <c r="G180" s="248"/>
    </row>
    <row r="181" spans="1:10" s="386" customFormat="1" ht="15.6" hidden="1" thickBot="1"/>
    <row r="182" spans="1:10" s="386" customFormat="1" ht="15.6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6" customFormat="1" ht="15.6" hidden="1">
      <c r="A183" s="220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6" customFormat="1" ht="16.2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7"/>
      <c r="G184" s="387"/>
      <c r="H184" s="387"/>
      <c r="I184" s="387"/>
      <c r="J184" s="387"/>
    </row>
    <row r="185" spans="1:10" s="386" customFormat="1" ht="15.6" hidden="1">
      <c r="A185" s="50" t="s">
        <v>24</v>
      </c>
      <c r="B185" s="95">
        <v>101</v>
      </c>
      <c r="C185" s="207">
        <v>2082299</v>
      </c>
      <c r="D185" s="391">
        <v>3.3950000000000001E-2</v>
      </c>
      <c r="E185" s="169">
        <v>70694.051050000009</v>
      </c>
      <c r="F185" s="387"/>
      <c r="G185" s="387"/>
      <c r="H185" s="387"/>
      <c r="I185" s="387"/>
      <c r="J185" s="387"/>
    </row>
    <row r="186" spans="1:10" s="386" customFormat="1" ht="16.2" hidden="1" thickBot="1">
      <c r="A186" s="50" t="s">
        <v>24</v>
      </c>
      <c r="B186" s="95">
        <v>111</v>
      </c>
      <c r="C186" s="207">
        <v>1140112</v>
      </c>
      <c r="D186" s="391">
        <v>3.0599999999999999E-2</v>
      </c>
      <c r="E186" s="169">
        <v>34887.427199999998</v>
      </c>
      <c r="F186" s="387"/>
      <c r="G186" s="123">
        <f>A183</f>
        <v>41456</v>
      </c>
      <c r="H186" s="387"/>
      <c r="I186" s="387"/>
      <c r="J186" s="387"/>
    </row>
    <row r="187" spans="1:10" s="386" customFormat="1" ht="16.2" hidden="1" thickBot="1">
      <c r="A187" s="50" t="s">
        <v>24</v>
      </c>
      <c r="B187" s="95">
        <v>112</v>
      </c>
      <c r="C187" s="207">
        <v>0</v>
      </c>
      <c r="D187" s="391"/>
      <c r="E187" s="169">
        <v>0</v>
      </c>
      <c r="F187" s="387"/>
      <c r="G187" s="113" t="s">
        <v>25</v>
      </c>
      <c r="H187" s="206"/>
      <c r="I187" s="126" t="s">
        <v>18</v>
      </c>
      <c r="J187" s="126" t="s">
        <v>19</v>
      </c>
    </row>
    <row r="188" spans="1:10" s="386" customFormat="1" ht="15.6" hidden="1">
      <c r="A188" s="50" t="s">
        <v>24</v>
      </c>
      <c r="B188" s="95">
        <v>121</v>
      </c>
      <c r="C188" s="207">
        <v>304732</v>
      </c>
      <c r="D188" s="391">
        <v>2.998E-2</v>
      </c>
      <c r="E188" s="169">
        <v>9135.8653599999998</v>
      </c>
      <c r="F188" s="387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6" customFormat="1" ht="15.6" hidden="1">
      <c r="A189" s="50" t="s">
        <v>24</v>
      </c>
      <c r="B189" s="95">
        <v>122</v>
      </c>
      <c r="C189" s="207">
        <v>0</v>
      </c>
      <c r="D189" s="391"/>
      <c r="E189" s="169">
        <v>0</v>
      </c>
      <c r="F189" s="387"/>
      <c r="G189" s="153" t="s">
        <v>29</v>
      </c>
      <c r="H189" s="7" t="s">
        <v>76</v>
      </c>
      <c r="I189" s="7">
        <f>IF(-E200&gt;0,-E200,0)</f>
        <v>1002.94</v>
      </c>
      <c r="J189" s="224"/>
    </row>
    <row r="190" spans="1:10" s="386" customFormat="1" ht="15.6" hidden="1">
      <c r="A190" s="50" t="s">
        <v>24</v>
      </c>
      <c r="B190" s="95">
        <v>131</v>
      </c>
      <c r="C190" s="207">
        <v>0</v>
      </c>
      <c r="D190" s="391">
        <v>5.7389999999999997E-2</v>
      </c>
      <c r="E190" s="169">
        <v>0</v>
      </c>
      <c r="F190" s="387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6" customFormat="1" ht="15.6" hidden="1">
      <c r="A191" s="50" t="s">
        <v>24</v>
      </c>
      <c r="B191" s="95">
        <v>132</v>
      </c>
      <c r="C191" s="207">
        <v>0</v>
      </c>
      <c r="D191" s="391"/>
      <c r="E191" s="169">
        <v>0</v>
      </c>
      <c r="F191" s="387"/>
      <c r="G191" s="153" t="s">
        <v>10</v>
      </c>
      <c r="H191" s="7" t="s">
        <v>17</v>
      </c>
      <c r="I191" s="7">
        <v>0</v>
      </c>
      <c r="J191" s="98"/>
    </row>
    <row r="192" spans="1:10" s="386" customFormat="1" ht="16.2" hidden="1" thickBot="1">
      <c r="A192" s="50" t="s">
        <v>24</v>
      </c>
      <c r="B192" s="95">
        <v>146</v>
      </c>
      <c r="C192" s="207">
        <v>1657043</v>
      </c>
      <c r="D192" s="239"/>
      <c r="E192" s="169">
        <v>0</v>
      </c>
      <c r="F192" s="387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6" customFormat="1" ht="15.6" hidden="1">
      <c r="A193" s="50" t="s">
        <v>151</v>
      </c>
      <c r="B193" s="95"/>
      <c r="C193" s="207"/>
      <c r="D193" s="121"/>
      <c r="E193" s="169">
        <v>0</v>
      </c>
      <c r="F193" s="387"/>
      <c r="G193" s="387"/>
      <c r="H193" s="387"/>
      <c r="I193" s="387"/>
      <c r="J193" s="340">
        <f>SUM(I188:J192)</f>
        <v>0</v>
      </c>
    </row>
    <row r="194" spans="1:10" s="386" customFormat="1" ht="15.6" hidden="1">
      <c r="A194" s="141" t="s">
        <v>143</v>
      </c>
      <c r="B194" s="95">
        <v>146</v>
      </c>
      <c r="C194" s="207"/>
      <c r="D194" s="121"/>
      <c r="E194" s="169">
        <v>0</v>
      </c>
      <c r="F194" s="387"/>
      <c r="G194" s="123"/>
      <c r="H194" s="7"/>
      <c r="I194" s="7"/>
      <c r="J194" s="7"/>
    </row>
    <row r="195" spans="1:10" s="386" customFormat="1" ht="15.6" hidden="1">
      <c r="A195" s="141" t="s">
        <v>105</v>
      </c>
      <c r="B195" s="95"/>
      <c r="C195" s="207"/>
      <c r="D195" s="121"/>
      <c r="E195" s="227">
        <v>0</v>
      </c>
      <c r="F195" s="387"/>
      <c r="G195" s="123"/>
      <c r="H195" s="7"/>
      <c r="I195" s="12"/>
      <c r="J195" s="12"/>
    </row>
    <row r="196" spans="1:10" s="386" customFormat="1" ht="16.2" hidden="1" thickBot="1">
      <c r="A196" s="50"/>
      <c r="B196" s="95"/>
      <c r="C196" s="159">
        <f>SUM(C185:C195)</f>
        <v>5184186</v>
      </c>
      <c r="D196" s="142"/>
      <c r="E196" s="208">
        <f>SUM(E185:E195)</f>
        <v>114717.34361000001</v>
      </c>
      <c r="F196" s="387"/>
      <c r="G196" s="123"/>
      <c r="H196" s="7"/>
      <c r="I196" s="7"/>
      <c r="J196" s="8"/>
    </row>
    <row r="197" spans="1:10" s="386" customFormat="1" ht="16.2" hidden="1" thickTop="1">
      <c r="A197" s="50"/>
      <c r="B197" s="95"/>
      <c r="C197" s="225">
        <v>5184186</v>
      </c>
      <c r="D197" s="142" t="s">
        <v>161</v>
      </c>
      <c r="E197" s="156">
        <v>0</v>
      </c>
      <c r="F197" s="387"/>
      <c r="G197" s="11"/>
      <c r="H197" s="7"/>
      <c r="I197" s="8"/>
      <c r="J197" s="7"/>
    </row>
    <row r="198" spans="1:10" s="386" customFormat="1" ht="16.2" hidden="1" thickBot="1">
      <c r="A198" s="50"/>
      <c r="B198" s="95"/>
      <c r="C198" s="231">
        <f>C197-C196</f>
        <v>0</v>
      </c>
      <c r="D198" s="142"/>
      <c r="E198" s="160">
        <f>SUM(E196:E197)</f>
        <v>114717.34361000001</v>
      </c>
      <c r="F198" s="387"/>
      <c r="G198" s="65" t="s">
        <v>158</v>
      </c>
      <c r="H198" s="7"/>
      <c r="I198" s="7"/>
      <c r="J198" s="7"/>
    </row>
    <row r="199" spans="1:10" s="386" customFormat="1" ht="16.2" hidden="1" thickTop="1">
      <c r="A199" s="387"/>
      <c r="B199" s="387"/>
      <c r="C199" s="387"/>
      <c r="D199" s="142" t="s">
        <v>87</v>
      </c>
      <c r="E199" s="50">
        <f>E198+E180</f>
        <v>-312957.28678590769</v>
      </c>
      <c r="F199" s="387"/>
      <c r="G199" s="8">
        <f>(E180*(D200/12))+(E198*(D200/24))</f>
        <v>-1002.9390545170418</v>
      </c>
      <c r="H199" s="457"/>
      <c r="I199" s="457"/>
      <c r="J199" s="7"/>
    </row>
    <row r="200" spans="1:10" s="386" customFormat="1" ht="15.6" hidden="1">
      <c r="A200" s="387"/>
      <c r="B200" s="387"/>
      <c r="C200" s="50" t="s">
        <v>57</v>
      </c>
      <c r="D200" s="226">
        <v>3.2500000000000001E-2</v>
      </c>
      <c r="E200" s="119">
        <f>ROUND(((E180)+(SUM(E198))/2)*(D200/12),2)</f>
        <v>-1002.94</v>
      </c>
      <c r="F200" s="387"/>
      <c r="G200" s="8"/>
      <c r="H200" s="7"/>
      <c r="I200" s="12"/>
      <c r="J200" s="12"/>
    </row>
    <row r="201" spans="1:10" s="386" customFormat="1" ht="15.6" hidden="1">
      <c r="A201" s="387"/>
      <c r="B201" s="387"/>
      <c r="C201" s="50" t="s">
        <v>1</v>
      </c>
      <c r="D201" s="90">
        <f>A183</f>
        <v>41456</v>
      </c>
      <c r="E201" s="50">
        <f>SUM(E199:E200)</f>
        <v>-313960.2267859077</v>
      </c>
      <c r="F201" s="387"/>
      <c r="G201" s="248"/>
    </row>
    <row r="202" spans="1:10" ht="15.6" hidden="1" thickBot="1"/>
    <row r="203" spans="1:10" s="386" customFormat="1" ht="15.6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6" customFormat="1" ht="15.6" hidden="1">
      <c r="A204" s="220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6" customFormat="1" ht="16.2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7"/>
      <c r="G205" s="387"/>
      <c r="H205" s="387"/>
      <c r="I205" s="387"/>
      <c r="J205" s="387"/>
    </row>
    <row r="206" spans="1:10" s="386" customFormat="1" ht="15.6" hidden="1">
      <c r="A206" s="50" t="s">
        <v>24</v>
      </c>
      <c r="B206" s="95">
        <v>101</v>
      </c>
      <c r="C206" s="207">
        <v>2046635</v>
      </c>
      <c r="D206" s="391">
        <v>3.3950000000000001E-2</v>
      </c>
      <c r="E206" s="169">
        <v>69483.258249999999</v>
      </c>
      <c r="F206" s="387"/>
      <c r="G206" s="387"/>
      <c r="H206" s="387"/>
      <c r="I206" s="387"/>
      <c r="J206" s="387"/>
    </row>
    <row r="207" spans="1:10" s="386" customFormat="1" ht="16.2" hidden="1" thickBot="1">
      <c r="A207" s="50" t="s">
        <v>24</v>
      </c>
      <c r="B207" s="95">
        <v>111</v>
      </c>
      <c r="C207" s="207">
        <v>1287109</v>
      </c>
      <c r="D207" s="391">
        <v>3.0599999999999999E-2</v>
      </c>
      <c r="E207" s="169">
        <v>39385.535400000001</v>
      </c>
      <c r="F207" s="387"/>
      <c r="G207" s="123">
        <f>A204</f>
        <v>41487</v>
      </c>
      <c r="H207" s="387"/>
      <c r="I207" s="387"/>
      <c r="J207" s="387"/>
    </row>
    <row r="208" spans="1:10" s="386" customFormat="1" ht="16.2" hidden="1" thickBot="1">
      <c r="A208" s="50" t="s">
        <v>24</v>
      </c>
      <c r="B208" s="95">
        <v>112</v>
      </c>
      <c r="C208" s="207">
        <v>0</v>
      </c>
      <c r="D208" s="391"/>
      <c r="E208" s="169">
        <v>0</v>
      </c>
      <c r="F208" s="387"/>
      <c r="G208" s="113" t="s">
        <v>25</v>
      </c>
      <c r="H208" s="206"/>
      <c r="I208" s="126" t="s">
        <v>18</v>
      </c>
      <c r="J208" s="126" t="s">
        <v>19</v>
      </c>
    </row>
    <row r="209" spans="1:10" s="386" customFormat="1" ht="15.6" hidden="1">
      <c r="A209" s="50" t="s">
        <v>24</v>
      </c>
      <c r="B209" s="95">
        <v>121</v>
      </c>
      <c r="C209" s="207">
        <v>364418</v>
      </c>
      <c r="D209" s="391">
        <v>2.998E-2</v>
      </c>
      <c r="E209" s="169">
        <v>10925.25164</v>
      </c>
      <c r="F209" s="387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6" customFormat="1" ht="15.6" hidden="1">
      <c r="A210" s="50" t="s">
        <v>24</v>
      </c>
      <c r="B210" s="95">
        <v>122</v>
      </c>
      <c r="C210" s="207">
        <v>0</v>
      </c>
      <c r="D210" s="391"/>
      <c r="E210" s="169">
        <v>0</v>
      </c>
      <c r="F210" s="387"/>
      <c r="G210" s="153" t="s">
        <v>29</v>
      </c>
      <c r="H210" s="7" t="s">
        <v>76</v>
      </c>
      <c r="I210" s="7">
        <f>IF(-E221&gt;0,-E221,0)</f>
        <v>688.09</v>
      </c>
      <c r="J210" s="224"/>
    </row>
    <row r="211" spans="1:10" s="386" customFormat="1" ht="15.6" hidden="1">
      <c r="A211" s="50" t="s">
        <v>24</v>
      </c>
      <c r="B211" s="95">
        <v>131</v>
      </c>
      <c r="C211" s="207">
        <v>0</v>
      </c>
      <c r="D211" s="391">
        <v>5.7389999999999997E-2</v>
      </c>
      <c r="E211" s="169">
        <v>0</v>
      </c>
      <c r="F211" s="387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6" customFormat="1" ht="15.6" hidden="1">
      <c r="A212" s="50" t="s">
        <v>24</v>
      </c>
      <c r="B212" s="95">
        <v>132</v>
      </c>
      <c r="C212" s="207">
        <v>0</v>
      </c>
      <c r="D212" s="391"/>
      <c r="E212" s="169">
        <v>0</v>
      </c>
      <c r="F212" s="387"/>
      <c r="G212" s="153" t="s">
        <v>10</v>
      </c>
      <c r="H212" s="7" t="s">
        <v>17</v>
      </c>
      <c r="I212" s="7">
        <v>0</v>
      </c>
      <c r="J212" s="98"/>
    </row>
    <row r="213" spans="1:10" s="386" customFormat="1" ht="16.2" hidden="1" thickBot="1">
      <c r="A213" s="50" t="s">
        <v>24</v>
      </c>
      <c r="B213" s="95">
        <v>146</v>
      </c>
      <c r="C213" s="207">
        <v>1709756</v>
      </c>
      <c r="D213" s="239"/>
      <c r="E213" s="169">
        <v>0</v>
      </c>
      <c r="F213" s="387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6" customFormat="1" ht="15.6" hidden="1">
      <c r="A214" s="50" t="s">
        <v>151</v>
      </c>
      <c r="B214" s="95"/>
      <c r="C214" s="207"/>
      <c r="D214" s="121"/>
      <c r="E214" s="169">
        <v>0</v>
      </c>
      <c r="F214" s="387"/>
      <c r="G214" s="387"/>
      <c r="H214" s="387"/>
      <c r="I214" s="387"/>
      <c r="J214" s="340">
        <f>SUM(I209:J213)</f>
        <v>0</v>
      </c>
    </row>
    <row r="215" spans="1:10" s="386" customFormat="1" ht="15.6" hidden="1">
      <c r="A215" s="141" t="s">
        <v>143</v>
      </c>
      <c r="B215" s="95">
        <v>146</v>
      </c>
      <c r="C215" s="207"/>
      <c r="D215" s="121"/>
      <c r="E215" s="169">
        <v>0</v>
      </c>
      <c r="F215" s="387"/>
      <c r="G215" s="123"/>
      <c r="H215" s="7"/>
      <c r="I215" s="7"/>
      <c r="J215" s="7"/>
    </row>
    <row r="216" spans="1:10" s="386" customFormat="1" ht="15.6" hidden="1">
      <c r="A216" s="141" t="s">
        <v>105</v>
      </c>
      <c r="B216" s="95"/>
      <c r="C216" s="207"/>
      <c r="D216" s="121"/>
      <c r="E216" s="227">
        <v>0</v>
      </c>
      <c r="F216" s="387"/>
      <c r="G216" s="123"/>
      <c r="H216" s="7"/>
      <c r="I216" s="12"/>
      <c r="J216" s="12"/>
    </row>
    <row r="217" spans="1:10" s="386" customFormat="1" ht="16.2" hidden="1" thickBot="1">
      <c r="A217" s="50"/>
      <c r="B217" s="95"/>
      <c r="C217" s="159">
        <f>SUM(C206:C216)</f>
        <v>5407918</v>
      </c>
      <c r="D217" s="142"/>
      <c r="E217" s="208">
        <f>SUM(E206:E216)</f>
        <v>119794.04529000001</v>
      </c>
      <c r="F217" s="387"/>
      <c r="G217" s="123"/>
      <c r="H217" s="7"/>
      <c r="I217" s="7"/>
      <c r="J217" s="8"/>
    </row>
    <row r="218" spans="1:10" s="386" customFormat="1" ht="16.2" hidden="1" thickTop="1">
      <c r="A218" s="50"/>
      <c r="B218" s="95"/>
      <c r="C218" s="225">
        <v>5407918</v>
      </c>
      <c r="D218" s="142" t="s">
        <v>161</v>
      </c>
      <c r="E218" s="156">
        <v>0</v>
      </c>
      <c r="F218" s="387"/>
      <c r="G218" s="11"/>
      <c r="H218" s="7"/>
      <c r="I218" s="8"/>
      <c r="J218" s="7"/>
    </row>
    <row r="219" spans="1:10" s="386" customFormat="1" ht="16.2" hidden="1" thickBot="1">
      <c r="A219" s="50"/>
      <c r="B219" s="95"/>
      <c r="C219" s="231">
        <f>C218-C217</f>
        <v>0</v>
      </c>
      <c r="D219" s="142"/>
      <c r="E219" s="160">
        <f>SUM(E217:E218)</f>
        <v>119794.04529000001</v>
      </c>
      <c r="F219" s="387"/>
      <c r="G219" s="65" t="s">
        <v>158</v>
      </c>
      <c r="H219" s="7"/>
      <c r="I219" s="7"/>
      <c r="J219" s="7"/>
    </row>
    <row r="220" spans="1:10" s="386" customFormat="1" ht="16.2" hidden="1" thickTop="1">
      <c r="A220" s="387"/>
      <c r="B220" s="387"/>
      <c r="C220" s="387"/>
      <c r="D220" s="142" t="s">
        <v>87</v>
      </c>
      <c r="E220" s="50">
        <f>E219+E201</f>
        <v>-194166.18149590769</v>
      </c>
      <c r="F220" s="387"/>
      <c r="G220" s="8">
        <f>(E201*(D221/12))+(E219*(D221/24))</f>
        <v>-688.08784454829174</v>
      </c>
      <c r="H220" s="458"/>
      <c r="I220" s="458"/>
      <c r="J220" s="7"/>
    </row>
    <row r="221" spans="1:10" s="386" customFormat="1" ht="15.6" hidden="1">
      <c r="A221" s="387"/>
      <c r="B221" s="387"/>
      <c r="C221" s="50" t="s">
        <v>57</v>
      </c>
      <c r="D221" s="226">
        <v>3.2500000000000001E-2</v>
      </c>
      <c r="E221" s="119">
        <f>ROUND(((E201)+(SUM(E219))/2)*(D221/12),2)</f>
        <v>-688.09</v>
      </c>
      <c r="F221" s="387"/>
      <c r="G221" s="8"/>
      <c r="H221" s="7"/>
      <c r="I221" s="12"/>
      <c r="J221" s="12"/>
    </row>
    <row r="222" spans="1:10" s="386" customFormat="1" ht="15.6">
      <c r="A222" s="387"/>
      <c r="B222" s="387"/>
      <c r="C222" s="50" t="s">
        <v>1</v>
      </c>
      <c r="D222" s="90">
        <f>A204</f>
        <v>41487</v>
      </c>
      <c r="E222" s="50">
        <f>SUM(E220:E221)</f>
        <v>-194854.27149590768</v>
      </c>
      <c r="F222" s="387"/>
      <c r="G222" s="248"/>
    </row>
    <row r="223" spans="1:10" ht="15.6" thickBot="1"/>
    <row r="224" spans="1:10" s="386" customFormat="1" ht="15.6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6" customFormat="1" ht="15.6">
      <c r="A225" s="220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6" customFormat="1" ht="16.2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7"/>
      <c r="G226" s="387"/>
      <c r="H226" s="387"/>
      <c r="I226" s="387"/>
      <c r="J226" s="387"/>
    </row>
    <row r="227" spans="1:10" s="386" customFormat="1" ht="15.6">
      <c r="A227" s="50" t="s">
        <v>24</v>
      </c>
      <c r="B227" s="95">
        <v>101</v>
      </c>
      <c r="C227" s="207">
        <v>2647538</v>
      </c>
      <c r="D227" s="391">
        <v>3.3950000000000001E-2</v>
      </c>
      <c r="E227" s="169">
        <v>89883.915099999998</v>
      </c>
      <c r="F227" s="387"/>
      <c r="G227" s="387"/>
      <c r="H227" s="387"/>
      <c r="I227" s="387"/>
      <c r="J227" s="387"/>
    </row>
    <row r="228" spans="1:10" s="386" customFormat="1" ht="16.2" thickBot="1">
      <c r="A228" s="50" t="s">
        <v>24</v>
      </c>
      <c r="B228" s="95">
        <v>111</v>
      </c>
      <c r="C228" s="207">
        <v>1599551</v>
      </c>
      <c r="D228" s="391">
        <v>3.0599999999999999E-2</v>
      </c>
      <c r="E228" s="169">
        <v>48946.260600000001</v>
      </c>
      <c r="F228" s="387"/>
      <c r="G228" s="123">
        <f>A225</f>
        <v>41518</v>
      </c>
      <c r="H228" s="387"/>
      <c r="I228" s="387"/>
      <c r="J228" s="387"/>
    </row>
    <row r="229" spans="1:10" s="386" customFormat="1" ht="16.2" thickBot="1">
      <c r="A229" s="50" t="s">
        <v>24</v>
      </c>
      <c r="B229" s="95">
        <v>112</v>
      </c>
      <c r="C229" s="207">
        <v>0</v>
      </c>
      <c r="D229" s="391"/>
      <c r="E229" s="169">
        <v>0</v>
      </c>
      <c r="F229" s="387"/>
      <c r="G229" s="113" t="s">
        <v>25</v>
      </c>
      <c r="H229" s="206"/>
      <c r="I229" s="126" t="s">
        <v>18</v>
      </c>
      <c r="J229" s="126" t="s">
        <v>19</v>
      </c>
    </row>
    <row r="230" spans="1:10" s="386" customFormat="1" ht="15.6">
      <c r="A230" s="50" t="s">
        <v>24</v>
      </c>
      <c r="B230" s="95">
        <v>121</v>
      </c>
      <c r="C230" s="207">
        <v>344046</v>
      </c>
      <c r="D230" s="391">
        <v>2.998E-2</v>
      </c>
      <c r="E230" s="169">
        <v>10314.49908</v>
      </c>
      <c r="F230" s="387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6" customFormat="1" ht="15.6">
      <c r="A231" s="50" t="s">
        <v>24</v>
      </c>
      <c r="B231" s="95">
        <v>122</v>
      </c>
      <c r="C231" s="207">
        <v>0</v>
      </c>
      <c r="D231" s="391"/>
      <c r="E231" s="169">
        <v>0</v>
      </c>
      <c r="F231" s="387"/>
      <c r="G231" s="153" t="s">
        <v>29</v>
      </c>
      <c r="H231" s="7" t="s">
        <v>76</v>
      </c>
      <c r="I231" s="7">
        <f>IF(-E242&gt;0,-E242,0)</f>
        <v>325.76</v>
      </c>
      <c r="J231" s="224"/>
    </row>
    <row r="232" spans="1:10" s="386" customFormat="1" ht="15.6">
      <c r="A232" s="50" t="s">
        <v>24</v>
      </c>
      <c r="B232" s="95">
        <v>131</v>
      </c>
      <c r="C232" s="207">
        <v>0</v>
      </c>
      <c r="D232" s="391">
        <v>5.7389999999999997E-2</v>
      </c>
      <c r="E232" s="169">
        <v>0</v>
      </c>
      <c r="F232" s="387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6" customFormat="1" ht="15.6">
      <c r="A233" s="50" t="s">
        <v>24</v>
      </c>
      <c r="B233" s="95">
        <v>132</v>
      </c>
      <c r="C233" s="207">
        <v>0</v>
      </c>
      <c r="D233" s="391"/>
      <c r="E233" s="169">
        <v>0</v>
      </c>
      <c r="F233" s="387"/>
      <c r="G233" s="153" t="s">
        <v>10</v>
      </c>
      <c r="H233" s="7" t="s">
        <v>17</v>
      </c>
      <c r="I233" s="7">
        <v>0</v>
      </c>
      <c r="J233" s="98"/>
    </row>
    <row r="234" spans="1:10" s="386" customFormat="1" ht="16.2" thickBot="1">
      <c r="A234" s="50" t="s">
        <v>24</v>
      </c>
      <c r="B234" s="95">
        <v>146</v>
      </c>
      <c r="C234" s="207">
        <v>1818699</v>
      </c>
      <c r="D234" s="239"/>
      <c r="E234" s="169">
        <v>0</v>
      </c>
      <c r="F234" s="387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6" customFormat="1" ht="15.6">
      <c r="A235" s="50" t="s">
        <v>151</v>
      </c>
      <c r="B235" s="95"/>
      <c r="C235" s="207"/>
      <c r="D235" s="121"/>
      <c r="E235" s="169">
        <v>0</v>
      </c>
      <c r="F235" s="387"/>
      <c r="G235" s="387"/>
      <c r="H235" s="387"/>
      <c r="I235" s="387"/>
      <c r="J235" s="340">
        <f>SUM(I230:J234)</f>
        <v>0</v>
      </c>
    </row>
    <row r="236" spans="1:10" s="386" customFormat="1" ht="15.6">
      <c r="A236" s="141" t="s">
        <v>143</v>
      </c>
      <c r="B236" s="95">
        <v>146</v>
      </c>
      <c r="C236" s="207"/>
      <c r="D236" s="121"/>
      <c r="E236" s="169">
        <v>0</v>
      </c>
      <c r="F236" s="387"/>
      <c r="G236" s="123"/>
      <c r="H236" s="7"/>
      <c r="I236" s="7"/>
      <c r="J236" s="7"/>
    </row>
    <row r="237" spans="1:10" s="386" customFormat="1" ht="15.6">
      <c r="A237" s="141" t="s">
        <v>105</v>
      </c>
      <c r="B237" s="95"/>
      <c r="C237" s="207"/>
      <c r="D237" s="121"/>
      <c r="E237" s="227">
        <v>0</v>
      </c>
      <c r="F237" s="387"/>
      <c r="G237" s="123"/>
      <c r="H237" s="7"/>
      <c r="I237" s="12"/>
      <c r="J237" s="12"/>
    </row>
    <row r="238" spans="1:10" s="386" customFormat="1" ht="16.2" thickBot="1">
      <c r="A238" s="50"/>
      <c r="B238" s="95"/>
      <c r="C238" s="159">
        <f>SUM(C227:C237)</f>
        <v>6409834</v>
      </c>
      <c r="D238" s="142"/>
      <c r="E238" s="208">
        <f>SUM(E227:E237)</f>
        <v>149144.67478</v>
      </c>
      <c r="F238" s="387"/>
      <c r="G238" s="123"/>
      <c r="H238" s="7"/>
      <c r="I238" s="7"/>
      <c r="J238" s="8"/>
    </row>
    <row r="239" spans="1:10" s="386" customFormat="1" ht="16.2" thickTop="1">
      <c r="A239" s="50"/>
      <c r="B239" s="95"/>
      <c r="C239" s="225">
        <v>6409834</v>
      </c>
      <c r="D239" s="142" t="s">
        <v>161</v>
      </c>
      <c r="E239" s="156">
        <v>0</v>
      </c>
      <c r="F239" s="387"/>
      <c r="G239" s="11"/>
      <c r="H239" s="7"/>
      <c r="I239" s="8"/>
      <c r="J239" s="7"/>
    </row>
    <row r="240" spans="1:10" s="386" customFormat="1" ht="16.2" thickBot="1">
      <c r="A240" s="50"/>
      <c r="B240" s="95"/>
      <c r="C240" s="231">
        <f>C239-C238</f>
        <v>0</v>
      </c>
      <c r="D240" s="142"/>
      <c r="E240" s="160">
        <f>SUM(E238:E239)</f>
        <v>149144.67478</v>
      </c>
      <c r="F240" s="387"/>
      <c r="G240" s="65" t="s">
        <v>158</v>
      </c>
      <c r="H240" s="7"/>
      <c r="I240" s="7"/>
      <c r="J240" s="7"/>
    </row>
    <row r="241" spans="1:10" s="386" customFormat="1" ht="16.2" thickTop="1">
      <c r="A241" s="387"/>
      <c r="B241" s="387"/>
      <c r="C241" s="387"/>
      <c r="D241" s="142" t="s">
        <v>87</v>
      </c>
      <c r="E241" s="50">
        <f>E240+E222</f>
        <v>-45709.596715907683</v>
      </c>
      <c r="F241" s="387"/>
      <c r="G241" s="8">
        <f>(E222*(D242/12))+(E240*(D242/24))</f>
        <v>-325.7635715368333</v>
      </c>
      <c r="H241" s="459"/>
      <c r="I241" s="459"/>
      <c r="J241" s="7"/>
    </row>
    <row r="242" spans="1:10" s="386" customFormat="1" ht="15.6">
      <c r="A242" s="387"/>
      <c r="B242" s="387"/>
      <c r="C242" s="50" t="s">
        <v>57</v>
      </c>
      <c r="D242" s="226">
        <v>3.2500000000000001E-2</v>
      </c>
      <c r="E242" s="119">
        <f>ROUND(((E222)+(SUM(E240))/2)*(D242/12),2)</f>
        <v>-325.76</v>
      </c>
      <c r="F242" s="387"/>
      <c r="G242" s="8"/>
      <c r="H242" s="7"/>
      <c r="I242" s="12"/>
      <c r="J242" s="12"/>
    </row>
    <row r="243" spans="1:10" s="386" customFormat="1" ht="15.6">
      <c r="A243" s="387"/>
      <c r="B243" s="387"/>
      <c r="C243" s="50" t="s">
        <v>1</v>
      </c>
      <c r="D243" s="90">
        <f>A225</f>
        <v>41518</v>
      </c>
      <c r="E243" s="50">
        <f>SUM(E241:E242)</f>
        <v>-46035.356715907685</v>
      </c>
      <c r="F243" s="387"/>
      <c r="G243" s="248"/>
    </row>
    <row r="244" spans="1:10" ht="15.6" thickBot="1"/>
    <row r="245" spans="1:10" s="386" customFormat="1" ht="15.6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6" customFormat="1" ht="15.6">
      <c r="A246" s="220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6" customFormat="1" ht="16.2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7"/>
      <c r="G247" s="387"/>
      <c r="H247" s="387"/>
      <c r="I247" s="387"/>
      <c r="J247" s="387"/>
    </row>
    <row r="248" spans="1:10" s="386" customFormat="1" ht="15.6">
      <c r="A248" s="50" t="s">
        <v>24</v>
      </c>
      <c r="B248" s="95">
        <v>101</v>
      </c>
      <c r="C248" s="207">
        <v>9244353</v>
      </c>
      <c r="D248" s="391">
        <v>3.3950000000000001E-2</v>
      </c>
      <c r="E248" s="169">
        <v>313845.78435000003</v>
      </c>
      <c r="F248" s="387"/>
      <c r="G248" s="387"/>
      <c r="H248" s="387"/>
      <c r="I248" s="387"/>
      <c r="J248" s="387"/>
    </row>
    <row r="249" spans="1:10" s="386" customFormat="1" ht="16.2" thickBot="1">
      <c r="A249" s="50" t="s">
        <v>24</v>
      </c>
      <c r="B249" s="95">
        <v>111</v>
      </c>
      <c r="C249" s="207">
        <v>3880001</v>
      </c>
      <c r="D249" s="391">
        <v>3.0599999999999999E-2</v>
      </c>
      <c r="E249" s="169">
        <v>118728.0306</v>
      </c>
      <c r="F249" s="387"/>
      <c r="G249" s="123">
        <f>A246</f>
        <v>41578</v>
      </c>
      <c r="H249" s="387"/>
      <c r="I249" s="387"/>
      <c r="J249" s="387"/>
    </row>
    <row r="250" spans="1:10" s="386" customFormat="1" ht="16.2" thickBot="1">
      <c r="A250" s="50" t="s">
        <v>24</v>
      </c>
      <c r="B250" s="95">
        <v>112</v>
      </c>
      <c r="C250" s="207">
        <v>0</v>
      </c>
      <c r="D250" s="391"/>
      <c r="E250" s="169">
        <v>0</v>
      </c>
      <c r="F250" s="387"/>
      <c r="G250" s="113" t="s">
        <v>25</v>
      </c>
      <c r="H250" s="206"/>
      <c r="I250" s="126" t="s">
        <v>18</v>
      </c>
      <c r="J250" s="126" t="s">
        <v>19</v>
      </c>
    </row>
    <row r="251" spans="1:10" s="386" customFormat="1" ht="15.6">
      <c r="A251" s="50" t="s">
        <v>24</v>
      </c>
      <c r="B251" s="95">
        <v>121</v>
      </c>
      <c r="C251" s="207">
        <v>595792</v>
      </c>
      <c r="D251" s="391">
        <v>2.998E-2</v>
      </c>
      <c r="E251" s="169">
        <v>17861.844160000001</v>
      </c>
      <c r="F251" s="387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6" customFormat="1" ht="15.6">
      <c r="A252" s="50" t="s">
        <v>24</v>
      </c>
      <c r="B252" s="95">
        <v>122</v>
      </c>
      <c r="C252" s="207">
        <v>0</v>
      </c>
      <c r="D252" s="391"/>
      <c r="E252" s="169">
        <v>0</v>
      </c>
      <c r="F252" s="387"/>
      <c r="G252" s="153" t="s">
        <v>29</v>
      </c>
      <c r="H252" s="7" t="s">
        <v>76</v>
      </c>
      <c r="I252" s="7">
        <f>IF(-E263&gt;0,-E263,0)</f>
        <v>0</v>
      </c>
      <c r="J252" s="224"/>
    </row>
    <row r="253" spans="1:10" s="386" customFormat="1" ht="15.6">
      <c r="A253" s="50" t="s">
        <v>24</v>
      </c>
      <c r="B253" s="95">
        <v>131</v>
      </c>
      <c r="C253" s="207">
        <v>0</v>
      </c>
      <c r="D253" s="391">
        <v>5.7389999999999997E-2</v>
      </c>
      <c r="E253" s="169">
        <v>0</v>
      </c>
      <c r="F253" s="387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6" customFormat="1" ht="15.6">
      <c r="A254" s="50" t="s">
        <v>24</v>
      </c>
      <c r="B254" s="95">
        <v>132</v>
      </c>
      <c r="C254" s="207">
        <v>0</v>
      </c>
      <c r="D254" s="391"/>
      <c r="E254" s="169">
        <v>0</v>
      </c>
      <c r="F254" s="387"/>
      <c r="G254" s="153" t="s">
        <v>10</v>
      </c>
      <c r="H254" s="7" t="s">
        <v>17</v>
      </c>
      <c r="I254" s="7">
        <v>0</v>
      </c>
      <c r="J254" s="98"/>
    </row>
    <row r="255" spans="1:10" s="386" customFormat="1" ht="16.2" thickBot="1">
      <c r="A255" s="50" t="s">
        <v>24</v>
      </c>
      <c r="B255" s="95">
        <v>146</v>
      </c>
      <c r="C255" s="207">
        <v>2531895</v>
      </c>
      <c r="D255" s="239"/>
      <c r="E255" s="169">
        <v>0</v>
      </c>
      <c r="F255" s="387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6" customFormat="1" ht="15.6">
      <c r="A256" s="50" t="s">
        <v>151</v>
      </c>
      <c r="B256" s="95"/>
      <c r="C256" s="207"/>
      <c r="D256" s="121"/>
      <c r="E256" s="169">
        <v>0</v>
      </c>
      <c r="F256" s="387"/>
      <c r="G256" s="387"/>
      <c r="H256" s="387"/>
      <c r="I256" s="387"/>
      <c r="J256" s="340">
        <f>SUM(I251:J255)</f>
        <v>0</v>
      </c>
    </row>
    <row r="257" spans="1:10" s="386" customFormat="1" ht="15.6">
      <c r="A257" s="141" t="s">
        <v>143</v>
      </c>
      <c r="B257" s="95">
        <v>146</v>
      </c>
      <c r="C257" s="207"/>
      <c r="D257" s="121"/>
      <c r="E257" s="169">
        <v>0</v>
      </c>
      <c r="F257" s="387"/>
      <c r="G257" s="123"/>
      <c r="H257" s="7"/>
      <c r="I257" s="7"/>
      <c r="J257" s="7"/>
    </row>
    <row r="258" spans="1:10" s="386" customFormat="1" ht="15.6">
      <c r="A258" s="141" t="s">
        <v>105</v>
      </c>
      <c r="B258" s="95"/>
      <c r="C258" s="207"/>
      <c r="D258" s="121"/>
      <c r="E258" s="227">
        <v>0</v>
      </c>
      <c r="F258" s="387"/>
      <c r="G258" s="123"/>
      <c r="H258" s="7"/>
      <c r="I258" s="12"/>
      <c r="J258" s="12"/>
    </row>
    <row r="259" spans="1:10" s="386" customFormat="1" ht="16.2" thickBot="1">
      <c r="A259" s="50"/>
      <c r="B259" s="95"/>
      <c r="C259" s="159">
        <f>SUM(C248:C258)</f>
        <v>16252041</v>
      </c>
      <c r="D259" s="142"/>
      <c r="E259" s="208">
        <f>SUM(E248:E258)</f>
        <v>450435.65911000001</v>
      </c>
      <c r="F259" s="387"/>
      <c r="G259" s="123"/>
      <c r="H259" s="7"/>
      <c r="I259" s="7"/>
      <c r="J259" s="8"/>
    </row>
    <row r="260" spans="1:10" s="386" customFormat="1" ht="16.2" thickTop="1">
      <c r="A260" s="50"/>
      <c r="B260" s="95"/>
      <c r="C260" s="225">
        <v>16252041</v>
      </c>
      <c r="D260" s="142" t="s">
        <v>161</v>
      </c>
      <c r="E260" s="156">
        <v>0</v>
      </c>
      <c r="F260" s="387"/>
      <c r="G260" s="11"/>
      <c r="H260" s="7"/>
      <c r="I260" s="8"/>
      <c r="J260" s="7"/>
    </row>
    <row r="261" spans="1:10" s="386" customFormat="1" ht="16.2" thickBot="1">
      <c r="A261" s="50"/>
      <c r="B261" s="95"/>
      <c r="C261" s="231">
        <f>C260-C259</f>
        <v>0</v>
      </c>
      <c r="D261" s="142"/>
      <c r="E261" s="160">
        <f>SUM(E259:E260)</f>
        <v>450435.65911000001</v>
      </c>
      <c r="F261" s="387"/>
      <c r="G261" s="65" t="s">
        <v>158</v>
      </c>
      <c r="H261" s="7"/>
      <c r="I261" s="7"/>
      <c r="J261" s="7"/>
    </row>
    <row r="262" spans="1:10" s="386" customFormat="1" ht="16.2" thickTop="1">
      <c r="A262" s="387"/>
      <c r="B262" s="387"/>
      <c r="C262" s="387"/>
      <c r="D262" s="142" t="s">
        <v>87</v>
      </c>
      <c r="E262" s="50">
        <f>E261+E243</f>
        <v>404400.30239409232</v>
      </c>
      <c r="F262" s="387"/>
      <c r="G262" s="8">
        <f>(E243*(D263/12))+(E261*(D263/24))</f>
        <v>485.28586393920841</v>
      </c>
      <c r="H262" s="460"/>
      <c r="I262" s="460"/>
      <c r="J262" s="7"/>
    </row>
    <row r="263" spans="1:10" s="386" customFormat="1" ht="15.6">
      <c r="A263" s="387"/>
      <c r="B263" s="387"/>
      <c r="C263" s="50" t="s">
        <v>57</v>
      </c>
      <c r="D263" s="226">
        <v>3.2500000000000001E-2</v>
      </c>
      <c r="E263" s="119">
        <f>ROUND(((E243)+(SUM(E261))/2)*(D263/12),2)</f>
        <v>485.29</v>
      </c>
      <c r="F263" s="387"/>
      <c r="G263" s="8"/>
      <c r="H263" s="7"/>
      <c r="I263" s="12"/>
      <c r="J263" s="12"/>
    </row>
    <row r="264" spans="1:10" s="386" customFormat="1" ht="15.6">
      <c r="A264" s="387"/>
      <c r="B264" s="387"/>
      <c r="C264" s="50" t="s">
        <v>1</v>
      </c>
      <c r="D264" s="90">
        <f>A246</f>
        <v>41578</v>
      </c>
      <c r="E264" s="50">
        <f>SUM(E262:E263)</f>
        <v>404885.59239409229</v>
      </c>
      <c r="F264" s="387"/>
      <c r="G264" s="248"/>
    </row>
    <row r="265" spans="1:10" s="386" customFormat="1" ht="15.6">
      <c r="A265" s="387"/>
      <c r="B265" s="387"/>
      <c r="C265" s="50"/>
      <c r="D265" s="445" t="s">
        <v>232</v>
      </c>
      <c r="E265" s="64">
        <f>-'WA Def 191010'!C109</f>
        <v>1145801.7486667871</v>
      </c>
      <c r="F265" s="387"/>
      <c r="G265" s="248"/>
    </row>
    <row r="266" spans="1:10" s="386" customFormat="1" ht="16.2" thickBot="1">
      <c r="A266" s="387"/>
      <c r="B266" s="387"/>
      <c r="C266" s="50"/>
      <c r="D266" s="445" t="s">
        <v>233</v>
      </c>
      <c r="E266" s="160">
        <f>E265+E264</f>
        <v>1550687.3410608794</v>
      </c>
      <c r="F266" s="387"/>
      <c r="G266" s="248"/>
    </row>
    <row r="267" spans="1:10" s="386" customFormat="1" ht="16.2" thickTop="1" thickBot="1"/>
    <row r="268" spans="1:10" s="386" customFormat="1" ht="15.6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6" customFormat="1" ht="15.6">
      <c r="A269" s="220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6" customFormat="1" ht="16.2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7"/>
      <c r="G270" s="387"/>
      <c r="H270" s="387"/>
      <c r="I270" s="387"/>
      <c r="J270" s="387"/>
    </row>
    <row r="271" spans="1:10" s="386" customFormat="1" ht="15.6">
      <c r="A271" s="50" t="s">
        <v>24</v>
      </c>
      <c r="B271" s="95">
        <v>101</v>
      </c>
      <c r="C271" s="207">
        <v>15070678</v>
      </c>
      <c r="D271" s="391" t="s">
        <v>188</v>
      </c>
      <c r="E271" s="169">
        <v>-28858.639999999999</v>
      </c>
      <c r="F271" s="387"/>
      <c r="G271" s="387"/>
      <c r="H271" s="387"/>
      <c r="I271" s="387"/>
      <c r="J271" s="387"/>
    </row>
    <row r="272" spans="1:10" s="386" customFormat="1" ht="16.2" thickBot="1">
      <c r="A272" s="50" t="s">
        <v>24</v>
      </c>
      <c r="B272" s="95">
        <v>111</v>
      </c>
      <c r="C272" s="207">
        <v>5651303</v>
      </c>
      <c r="D272" s="391" t="s">
        <v>188</v>
      </c>
      <c r="E272" s="169">
        <v>-36478.370000000003</v>
      </c>
      <c r="F272" s="387"/>
      <c r="G272" s="123">
        <f>A269</f>
        <v>41608</v>
      </c>
      <c r="H272" s="387"/>
      <c r="I272" s="387"/>
      <c r="J272" s="387"/>
    </row>
    <row r="273" spans="1:10" s="386" customFormat="1" ht="16.2" thickBot="1">
      <c r="A273" s="50" t="s">
        <v>24</v>
      </c>
      <c r="B273" s="95">
        <v>112</v>
      </c>
      <c r="C273" s="207">
        <v>0</v>
      </c>
      <c r="D273" s="391" t="s">
        <v>188</v>
      </c>
      <c r="E273" s="169">
        <v>0</v>
      </c>
      <c r="F273" s="387"/>
      <c r="G273" s="113" t="s">
        <v>25</v>
      </c>
      <c r="H273" s="206"/>
      <c r="I273" s="126" t="s">
        <v>18</v>
      </c>
      <c r="J273" s="126" t="s">
        <v>19</v>
      </c>
    </row>
    <row r="274" spans="1:10" s="386" customFormat="1" ht="15.6">
      <c r="A274" s="50" t="s">
        <v>24</v>
      </c>
      <c r="B274" s="95">
        <v>121</v>
      </c>
      <c r="C274" s="207">
        <v>396185</v>
      </c>
      <c r="D274" s="391" t="s">
        <v>188</v>
      </c>
      <c r="E274" s="169">
        <v>-16940.830000000002</v>
      </c>
      <c r="F274" s="387"/>
      <c r="G274" s="151" t="s">
        <v>28</v>
      </c>
      <c r="H274" s="152" t="s">
        <v>75</v>
      </c>
      <c r="I274" s="470"/>
      <c r="J274" s="471">
        <f>IF(-E286&lt;0,-E286,0)</f>
        <v>-4107.12</v>
      </c>
    </row>
    <row r="275" spans="1:10" s="386" customFormat="1" ht="15.6">
      <c r="A275" s="50" t="s">
        <v>24</v>
      </c>
      <c r="B275" s="95">
        <v>122</v>
      </c>
      <c r="C275" s="207">
        <v>0</v>
      </c>
      <c r="D275" s="391" t="s">
        <v>188</v>
      </c>
      <c r="E275" s="169">
        <v>0</v>
      </c>
      <c r="F275" s="387"/>
      <c r="G275" s="153" t="s">
        <v>29</v>
      </c>
      <c r="H275" s="7" t="s">
        <v>76</v>
      </c>
      <c r="I275" s="472">
        <f>IF(-E286&gt;0,-E286,0)</f>
        <v>0</v>
      </c>
      <c r="J275" s="462"/>
    </row>
    <row r="276" spans="1:10" s="386" customFormat="1" ht="15.6">
      <c r="A276" s="50" t="s">
        <v>24</v>
      </c>
      <c r="B276" s="95">
        <v>131</v>
      </c>
      <c r="C276" s="207">
        <v>0</v>
      </c>
      <c r="D276" s="391" t="s">
        <v>188</v>
      </c>
      <c r="E276" s="169">
        <v>0</v>
      </c>
      <c r="F276" s="387"/>
      <c r="G276" s="153" t="s">
        <v>97</v>
      </c>
      <c r="H276" s="7" t="s">
        <v>26</v>
      </c>
      <c r="I276" s="472">
        <f>IF(-E284&gt;0,-E284,0)</f>
        <v>68424.86</v>
      </c>
      <c r="J276" s="462">
        <f>IF(-E284&lt;0,-E284,0)</f>
        <v>0</v>
      </c>
    </row>
    <row r="277" spans="1:10" s="386" customFormat="1" ht="15.6">
      <c r="A277" s="50" t="s">
        <v>24</v>
      </c>
      <c r="B277" s="95">
        <v>132</v>
      </c>
      <c r="C277" s="207">
        <v>0</v>
      </c>
      <c r="D277" s="391" t="s">
        <v>188</v>
      </c>
      <c r="E277" s="169">
        <v>0</v>
      </c>
      <c r="F277" s="387"/>
      <c r="G277" s="153" t="s">
        <v>10</v>
      </c>
      <c r="H277" s="7" t="s">
        <v>17</v>
      </c>
      <c r="I277" s="472"/>
      <c r="J277" s="462"/>
    </row>
    <row r="278" spans="1:10" s="386" customFormat="1" ht="16.2" thickBot="1">
      <c r="A278" s="50" t="s">
        <v>24</v>
      </c>
      <c r="B278" s="95">
        <v>146</v>
      </c>
      <c r="C278" s="207">
        <v>2936207</v>
      </c>
      <c r="D278" s="391" t="s">
        <v>188</v>
      </c>
      <c r="E278" s="169">
        <v>0</v>
      </c>
      <c r="F278" s="387"/>
      <c r="G278" s="154" t="s">
        <v>98</v>
      </c>
      <c r="H278" s="147" t="s">
        <v>27</v>
      </c>
      <c r="I278" s="464">
        <f>IF(-(E266-E287)&lt;0,0,-(E266-E287))</f>
        <v>0</v>
      </c>
      <c r="J278" s="473">
        <f>IF(-(E266-E287)&gt;0,0,-(E266-E287))</f>
        <v>-64317.739999999991</v>
      </c>
    </row>
    <row r="279" spans="1:10" s="386" customFormat="1" ht="15.6">
      <c r="A279" s="50" t="s">
        <v>151</v>
      </c>
      <c r="B279" s="95"/>
      <c r="C279" s="207"/>
      <c r="D279" s="391"/>
      <c r="E279" s="169">
        <v>0</v>
      </c>
      <c r="F279" s="387"/>
      <c r="G279" s="387"/>
      <c r="H279" s="387"/>
      <c r="I279" s="387"/>
      <c r="J279" s="340">
        <f>SUM(I274:J278)</f>
        <v>0</v>
      </c>
    </row>
    <row r="280" spans="1:10" s="386" customFormat="1" ht="15.6">
      <c r="A280" s="141" t="s">
        <v>143</v>
      </c>
      <c r="B280" s="95">
        <v>146</v>
      </c>
      <c r="C280" s="207"/>
      <c r="D280" s="121"/>
      <c r="E280" s="169">
        <v>0</v>
      </c>
      <c r="F280" s="387"/>
      <c r="G280" s="123"/>
      <c r="H280" s="7"/>
      <c r="I280" s="7"/>
      <c r="J280" s="7"/>
    </row>
    <row r="281" spans="1:10" s="386" customFormat="1" ht="15.6">
      <c r="A281" s="141" t="s">
        <v>105</v>
      </c>
      <c r="B281" s="95"/>
      <c r="C281" s="207"/>
      <c r="D281" s="121"/>
      <c r="E281" s="227">
        <v>13852.98</v>
      </c>
      <c r="F281" s="387"/>
      <c r="G281" s="123"/>
      <c r="H281" s="7"/>
      <c r="I281" s="12"/>
      <c r="J281" s="12"/>
    </row>
    <row r="282" spans="1:10" s="386" customFormat="1" ht="16.2" thickBot="1">
      <c r="A282" s="50"/>
      <c r="B282" s="95"/>
      <c r="C282" s="159">
        <f>SUM(C271:C281)</f>
        <v>24054373</v>
      </c>
      <c r="D282" s="142"/>
      <c r="E282" s="208">
        <f>SUM(E271:E281)</f>
        <v>-68424.86</v>
      </c>
      <c r="F282" s="387">
        <f>SUM(E271:E274)</f>
        <v>-82277.84</v>
      </c>
      <c r="G282" s="123"/>
      <c r="H282" s="7"/>
      <c r="I282" s="7"/>
      <c r="J282" s="8"/>
    </row>
    <row r="283" spans="1:10" s="386" customFormat="1" ht="16.2" thickTop="1">
      <c r="A283" s="50"/>
      <c r="B283" s="95"/>
      <c r="C283" s="225">
        <v>24054373</v>
      </c>
      <c r="D283" s="142" t="s">
        <v>161</v>
      </c>
      <c r="E283" s="156">
        <v>0</v>
      </c>
      <c r="F283" s="387"/>
      <c r="G283" s="11"/>
      <c r="H283" s="7"/>
      <c r="I283" s="8"/>
      <c r="J283" s="7"/>
    </row>
    <row r="284" spans="1:10" s="386" customFormat="1" ht="16.2" thickBot="1">
      <c r="A284" s="50"/>
      <c r="B284" s="95"/>
      <c r="C284" s="231">
        <f>C283-C282</f>
        <v>0</v>
      </c>
      <c r="D284" s="142"/>
      <c r="E284" s="160">
        <f>SUM(E282:E283)</f>
        <v>-68424.86</v>
      </c>
      <c r="F284" s="387"/>
      <c r="G284" s="65" t="s">
        <v>158</v>
      </c>
      <c r="H284" s="7"/>
      <c r="I284" s="7"/>
      <c r="J284" s="7"/>
    </row>
    <row r="285" spans="1:10" s="386" customFormat="1" ht="16.2" thickTop="1">
      <c r="A285" s="387"/>
      <c r="B285" s="387"/>
      <c r="C285" s="387"/>
      <c r="D285" s="142" t="s">
        <v>87</v>
      </c>
      <c r="E285" s="50">
        <f>E284+E266</f>
        <v>1482262.4810608793</v>
      </c>
      <c r="F285" s="387"/>
      <c r="G285" s="8">
        <f>(E266*(D286/12))+(E284*(D286/24))</f>
        <v>4107.1195507898819</v>
      </c>
      <c r="H285" s="468"/>
      <c r="I285" s="468"/>
      <c r="J285" s="7"/>
    </row>
    <row r="286" spans="1:10" s="386" customFormat="1" ht="15.6">
      <c r="A286" s="387"/>
      <c r="B286" s="387"/>
      <c r="C286" s="50" t="s">
        <v>57</v>
      </c>
      <c r="D286" s="226">
        <v>3.2500000000000001E-2</v>
      </c>
      <c r="E286" s="119">
        <f>ROUND(((E266)+(SUM(E284))/2)*(D286/12),2)</f>
        <v>4107.12</v>
      </c>
      <c r="F286" s="387"/>
      <c r="G286" s="8"/>
      <c r="H286" s="7"/>
      <c r="I286" s="12"/>
      <c r="J286" s="12"/>
    </row>
    <row r="287" spans="1:10" s="386" customFormat="1" ht="15.6">
      <c r="A287" s="387"/>
      <c r="B287" s="387"/>
      <c r="C287" s="50" t="s">
        <v>1</v>
      </c>
      <c r="D287" s="90">
        <f>A269</f>
        <v>41608</v>
      </c>
      <c r="E287" s="50">
        <f>SUM(E285:E286)</f>
        <v>1486369.6010608794</v>
      </c>
      <c r="F287" s="387"/>
      <c r="G287" s="248"/>
    </row>
    <row r="288" spans="1:10" s="386" customFormat="1" ht="15.6" thickBot="1"/>
    <row r="289" spans="1:10" s="386" customFormat="1" ht="15.6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6" customFormat="1" ht="15.6">
      <c r="A290" s="220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6" customFormat="1" ht="16.2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7"/>
      <c r="G291" s="387"/>
      <c r="H291" s="387"/>
      <c r="I291" s="387"/>
      <c r="J291" s="387"/>
    </row>
    <row r="292" spans="1:10" s="386" customFormat="1" ht="15.6">
      <c r="A292" s="50" t="s">
        <v>24</v>
      </c>
      <c r="B292" s="95">
        <v>101</v>
      </c>
      <c r="C292" s="207">
        <f>Jan!$G$23</f>
        <v>20140968</v>
      </c>
      <c r="D292" s="391" t="s">
        <v>188</v>
      </c>
      <c r="E292" s="169">
        <v>-56737.25</v>
      </c>
      <c r="F292" s="387"/>
      <c r="G292" s="387"/>
      <c r="H292" s="387"/>
      <c r="I292" s="387"/>
      <c r="J292" s="387"/>
    </row>
    <row r="293" spans="1:10" s="386" customFormat="1" ht="16.2" thickBot="1">
      <c r="A293" s="50" t="s">
        <v>24</v>
      </c>
      <c r="B293" s="95">
        <v>111</v>
      </c>
      <c r="C293" s="207">
        <f>Jan!$G$25</f>
        <v>6568112</v>
      </c>
      <c r="D293" s="391" t="s">
        <v>188</v>
      </c>
      <c r="E293" s="169">
        <v>-36348.93</v>
      </c>
      <c r="F293" s="387"/>
      <c r="G293" s="123">
        <f>A290</f>
        <v>41639</v>
      </c>
      <c r="H293" s="387"/>
      <c r="I293" s="387"/>
      <c r="J293" s="387"/>
    </row>
    <row r="294" spans="1:10" s="386" customFormat="1" ht="16.2" thickBot="1">
      <c r="A294" s="50" t="s">
        <v>24</v>
      </c>
      <c r="B294" s="95">
        <v>112</v>
      </c>
      <c r="C294" s="207">
        <f>Jan!$G$26</f>
        <v>0</v>
      </c>
      <c r="D294" s="391" t="s">
        <v>188</v>
      </c>
      <c r="E294" s="169">
        <v>0</v>
      </c>
      <c r="F294" s="387"/>
      <c r="G294" s="113" t="s">
        <v>25</v>
      </c>
      <c r="H294" s="206"/>
      <c r="I294" s="126" t="s">
        <v>18</v>
      </c>
      <c r="J294" s="126" t="s">
        <v>19</v>
      </c>
    </row>
    <row r="295" spans="1:10" s="386" customFormat="1" ht="15.6">
      <c r="A295" s="50" t="s">
        <v>24</v>
      </c>
      <c r="B295" s="95">
        <v>121</v>
      </c>
      <c r="C295" s="207">
        <f>Jan!$G$27</f>
        <v>345863</v>
      </c>
      <c r="D295" s="391" t="s">
        <v>188</v>
      </c>
      <c r="E295" s="169">
        <v>-8844.16</v>
      </c>
      <c r="F295" s="387"/>
      <c r="G295" s="151" t="s">
        <v>28</v>
      </c>
      <c r="H295" s="152" t="s">
        <v>75</v>
      </c>
      <c r="I295" s="470"/>
      <c r="J295" s="471">
        <f>IF(-E307&lt;0,-E307,0)</f>
        <v>-3887.55</v>
      </c>
    </row>
    <row r="296" spans="1:10" s="386" customFormat="1" ht="15.6">
      <c r="A296" s="50" t="s">
        <v>24</v>
      </c>
      <c r="B296" s="95">
        <v>122</v>
      </c>
      <c r="C296" s="207">
        <v>0</v>
      </c>
      <c r="D296" s="391" t="s">
        <v>188</v>
      </c>
      <c r="E296" s="169">
        <v>0</v>
      </c>
      <c r="F296" s="387"/>
      <c r="G296" s="153" t="s">
        <v>29</v>
      </c>
      <c r="H296" s="7" t="s">
        <v>76</v>
      </c>
      <c r="I296" s="472">
        <f>IF(-E307&gt;0,-E307,0)</f>
        <v>0</v>
      </c>
      <c r="J296" s="462"/>
    </row>
    <row r="297" spans="1:10" s="386" customFormat="1" ht="15.6">
      <c r="A297" s="50" t="s">
        <v>24</v>
      </c>
      <c r="B297" s="95">
        <v>131</v>
      </c>
      <c r="C297" s="207">
        <f>Jan!$G$29</f>
        <v>0</v>
      </c>
      <c r="D297" s="391" t="s">
        <v>188</v>
      </c>
      <c r="E297" s="169">
        <v>0</v>
      </c>
      <c r="F297" s="387"/>
      <c r="G297" s="153" t="s">
        <v>97</v>
      </c>
      <c r="H297" s="7" t="s">
        <v>26</v>
      </c>
      <c r="I297" s="472">
        <f>IF(-E305&gt;0,-E305,0)</f>
        <v>101930.34</v>
      </c>
      <c r="J297" s="462">
        <f>IF(-E305&lt;0,-E305,0)</f>
        <v>0</v>
      </c>
    </row>
    <row r="298" spans="1:10" s="386" customFormat="1" ht="15.6">
      <c r="A298" s="50" t="s">
        <v>24</v>
      </c>
      <c r="B298" s="95">
        <v>132</v>
      </c>
      <c r="C298" s="207">
        <v>0</v>
      </c>
      <c r="D298" s="391" t="s">
        <v>188</v>
      </c>
      <c r="E298" s="169">
        <v>0</v>
      </c>
      <c r="F298" s="387"/>
      <c r="G298" s="153" t="s">
        <v>10</v>
      </c>
      <c r="H298" s="7" t="s">
        <v>17</v>
      </c>
      <c r="I298" s="472"/>
      <c r="J298" s="462"/>
    </row>
    <row r="299" spans="1:10" s="386" customFormat="1" ht="16.2" thickBot="1">
      <c r="A299" s="50" t="s">
        <v>24</v>
      </c>
      <c r="B299" s="95">
        <v>146</v>
      </c>
      <c r="C299" s="207">
        <f>Jan!$G$31</f>
        <v>3346687</v>
      </c>
      <c r="D299" s="391" t="s">
        <v>188</v>
      </c>
      <c r="E299" s="169">
        <v>0</v>
      </c>
      <c r="F299" s="387"/>
      <c r="G299" s="154" t="s">
        <v>98</v>
      </c>
      <c r="H299" s="147" t="s">
        <v>27</v>
      </c>
      <c r="I299" s="464">
        <f>IF(-(E287-E308)&lt;0,0,-(E287-E308))</f>
        <v>0</v>
      </c>
      <c r="J299" s="473">
        <f>IF(-(E287-E308)&gt;0,0,-(E287-E308))</f>
        <v>-98042.790000000037</v>
      </c>
    </row>
    <row r="300" spans="1:10" s="386" customFormat="1" ht="15.6">
      <c r="A300" s="50" t="s">
        <v>151</v>
      </c>
      <c r="B300" s="95"/>
      <c r="C300" s="207"/>
      <c r="D300" s="391"/>
      <c r="E300" s="169">
        <v>0</v>
      </c>
      <c r="F300" s="387"/>
      <c r="G300" s="387"/>
      <c r="H300" s="387"/>
      <c r="I300" s="387"/>
      <c r="J300" s="340">
        <f>SUM(I295:J299)</f>
        <v>0</v>
      </c>
    </row>
    <row r="301" spans="1:10" s="386" customFormat="1" ht="15.6">
      <c r="A301" s="141" t="s">
        <v>143</v>
      </c>
      <c r="B301" s="95">
        <v>146</v>
      </c>
      <c r="C301" s="207"/>
      <c r="D301" s="121"/>
      <c r="E301" s="169">
        <v>0</v>
      </c>
      <c r="F301" s="387"/>
      <c r="G301" s="123"/>
      <c r="H301" s="7"/>
      <c r="I301" s="7"/>
      <c r="J301" s="7"/>
    </row>
    <row r="302" spans="1:10" s="386" customFormat="1" ht="15.6">
      <c r="A302" s="141" t="s">
        <v>105</v>
      </c>
      <c r="B302" s="95"/>
      <c r="C302" s="207"/>
      <c r="D302" s="121"/>
      <c r="E302" s="227">
        <v>0</v>
      </c>
      <c r="F302" s="387"/>
      <c r="G302" s="123"/>
      <c r="H302" s="7"/>
      <c r="I302" s="12"/>
      <c r="J302" s="12"/>
    </row>
    <row r="303" spans="1:10" s="386" customFormat="1" ht="16.2" thickBot="1">
      <c r="A303" s="50"/>
      <c r="B303" s="95"/>
      <c r="C303" s="159">
        <f>SUM(C292:C302)</f>
        <v>30401630</v>
      </c>
      <c r="D303" s="142"/>
      <c r="E303" s="208">
        <f>SUM(E292:E302)</f>
        <v>-101930.34</v>
      </c>
      <c r="F303" s="387"/>
      <c r="G303" s="123"/>
      <c r="H303" s="7"/>
      <c r="I303" s="7"/>
      <c r="J303" s="8"/>
    </row>
    <row r="304" spans="1:10" s="386" customFormat="1" ht="16.2" thickTop="1">
      <c r="A304" s="50"/>
      <c r="B304" s="95"/>
      <c r="C304" s="225">
        <v>34418458</v>
      </c>
      <c r="D304" s="142" t="s">
        <v>161</v>
      </c>
      <c r="E304" s="156">
        <v>0</v>
      </c>
      <c r="F304" s="387"/>
      <c r="G304" s="11"/>
      <c r="H304" s="7"/>
      <c r="I304" s="8"/>
      <c r="J304" s="7"/>
    </row>
    <row r="305" spans="1:10" s="386" customFormat="1" ht="16.2" thickBot="1">
      <c r="A305" s="50"/>
      <c r="B305" s="95"/>
      <c r="C305" s="231">
        <f>C304-C303</f>
        <v>4016828</v>
      </c>
      <c r="D305" s="142"/>
      <c r="E305" s="160">
        <f>SUM(E303:E304)</f>
        <v>-101930.34</v>
      </c>
      <c r="F305" s="387"/>
      <c r="G305" s="65" t="s">
        <v>158</v>
      </c>
      <c r="H305" s="7"/>
      <c r="I305" s="7"/>
      <c r="J305" s="7"/>
    </row>
    <row r="306" spans="1:10" s="386" customFormat="1" ht="16.2" thickTop="1">
      <c r="A306" s="387"/>
      <c r="B306" s="387"/>
      <c r="C306" s="387"/>
      <c r="D306" s="142" t="s">
        <v>87</v>
      </c>
      <c r="E306" s="50">
        <f>E305+E287</f>
        <v>1384439.2610608793</v>
      </c>
      <c r="F306" s="387"/>
      <c r="G306" s="8">
        <f>(E287*(D307/12))+(E305*(D307/24))</f>
        <v>3887.5536674565483</v>
      </c>
      <c r="H306" s="474"/>
      <c r="I306" s="474"/>
      <c r="J306" s="7"/>
    </row>
    <row r="307" spans="1:10" s="386" customFormat="1" ht="15.6">
      <c r="A307" s="387"/>
      <c r="B307" s="387"/>
      <c r="C307" s="50" t="s">
        <v>57</v>
      </c>
      <c r="D307" s="226">
        <v>3.2500000000000001E-2</v>
      </c>
      <c r="E307" s="119">
        <f>ROUND(((E287)+(SUM(E305))/2)*(D307/12),2)</f>
        <v>3887.55</v>
      </c>
      <c r="F307" s="387"/>
      <c r="G307" s="8"/>
      <c r="H307" s="7"/>
      <c r="I307" s="12"/>
      <c r="J307" s="12"/>
    </row>
    <row r="308" spans="1:10" s="386" customFormat="1" ht="15.6">
      <c r="A308" s="387"/>
      <c r="B308" s="387"/>
      <c r="C308" s="50" t="s">
        <v>1</v>
      </c>
      <c r="D308" s="90">
        <f>A290</f>
        <v>41639</v>
      </c>
      <c r="E308" s="50">
        <f>SUM(E306:E307)</f>
        <v>1388326.8110608794</v>
      </c>
      <c r="F308" s="387"/>
      <c r="G308" s="477" t="s">
        <v>246</v>
      </c>
      <c r="H308" s="478" t="e">
        <f>_xll.Get_Balance(I308,"YTD","USD","Total","A","","001","191000","GD","WA","DL")-E308</f>
        <v>#VALUE!</v>
      </c>
      <c r="I308" s="479">
        <v>201312</v>
      </c>
    </row>
    <row r="309" spans="1:10" s="386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4"/>
  <sheetViews>
    <sheetView showGridLines="0" topLeftCell="A10" zoomScale="80" zoomScaleNormal="80" workbookViewId="0">
      <selection activeCell="C31" sqref="C31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4" width="16" style="386"/>
    <col min="15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Jan!C1+1</f>
        <v>201602</v>
      </c>
      <c r="F1" s="534">
        <f>C1</f>
        <v>201602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v>4301469.55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f>125495.66-3984.18</f>
        <v>121511.48000000001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0.69530000000000003</v>
      </c>
      <c r="L5" s="447">
        <f>1-K5</f>
        <v>0.30469999999999997</v>
      </c>
      <c r="M5" s="387"/>
    </row>
    <row r="6" spans="1:13" ht="16.2" thickBot="1">
      <c r="A6" s="49" t="s">
        <v>30</v>
      </c>
      <c r="C6" s="315">
        <f>-2191897.72-416150-69080.9-118900-133762.5-76690.5-95785.84</f>
        <v>-3102267.46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1320713.5700000003</v>
      </c>
      <c r="D7" s="35"/>
      <c r="F7" s="167" t="s">
        <v>139</v>
      </c>
      <c r="G7" s="167"/>
      <c r="H7" s="125">
        <f>C34</f>
        <v>2097506.9400000004</v>
      </c>
      <c r="I7" s="168">
        <f>H7*I5</f>
        <v>1482098.4038040002</v>
      </c>
      <c r="J7" s="168">
        <f>H7*J5</f>
        <v>615408.53619600006</v>
      </c>
      <c r="K7" s="168"/>
      <c r="L7" s="168"/>
      <c r="M7" s="387"/>
    </row>
    <row r="8" spans="1:13" ht="15.6">
      <c r="A8" s="386" t="s">
        <v>89</v>
      </c>
      <c r="C8" s="314">
        <v>236424.21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f>8454.98+1653.03</f>
        <v>10108.01</v>
      </c>
      <c r="D9" s="36"/>
      <c r="F9" s="167" t="s">
        <v>119</v>
      </c>
      <c r="G9" s="387"/>
      <c r="H9" s="168">
        <f>C55</f>
        <v>7474230.1600000001</v>
      </c>
      <c r="I9" s="168"/>
      <c r="J9" s="168"/>
      <c r="K9" s="168">
        <f>H9*K5</f>
        <v>5196832.2302480005</v>
      </c>
      <c r="L9" s="168">
        <f>H9*L5</f>
        <v>2277397.9297519997</v>
      </c>
      <c r="M9" s="387"/>
    </row>
    <row r="10" spans="1:13" ht="15.6">
      <c r="A10" s="49" t="s">
        <v>91</v>
      </c>
      <c r="C10" s="315">
        <v>-3197.93</v>
      </c>
      <c r="D10" s="36"/>
      <c r="F10" s="170" t="s">
        <v>44</v>
      </c>
      <c r="G10" s="387"/>
      <c r="H10" s="168">
        <f>C56</f>
        <v>-62158.28</v>
      </c>
      <c r="I10" s="168"/>
      <c r="J10" s="168"/>
      <c r="K10" s="168">
        <f>H10</f>
        <v>-62158.28</v>
      </c>
      <c r="L10" s="168"/>
      <c r="M10" s="387"/>
    </row>
    <row r="11" spans="1:13">
      <c r="A11" s="66" t="s">
        <v>145</v>
      </c>
      <c r="C11" s="100">
        <f>SUM(C8:C10)</f>
        <v>243334.29</v>
      </c>
      <c r="D11" s="36"/>
      <c r="F11" s="170" t="s">
        <v>45</v>
      </c>
      <c r="G11" s="387"/>
      <c r="H11" s="171">
        <f>C57</f>
        <v>-27277.16</v>
      </c>
      <c r="I11" s="168"/>
      <c r="J11" s="168"/>
      <c r="K11" s="171"/>
      <c r="L11" s="171">
        <f>H11</f>
        <v>-27277.16</v>
      </c>
      <c r="M11" s="387"/>
    </row>
    <row r="12" spans="1:13" ht="15.6">
      <c r="A12" s="386" t="s">
        <v>165</v>
      </c>
      <c r="C12" s="314">
        <f>203893.98+4655.8</f>
        <v>208549.78</v>
      </c>
      <c r="D12" s="36"/>
      <c r="F12" s="170" t="s">
        <v>138</v>
      </c>
      <c r="G12" s="387"/>
      <c r="H12" s="168">
        <f>H9+H10+H11</f>
        <v>7384794.7199999997</v>
      </c>
      <c r="I12" s="168"/>
      <c r="J12" s="168"/>
      <c r="K12" s="168">
        <f>SUM(K9:K11)</f>
        <v>5134673.9502480002</v>
      </c>
      <c r="L12" s="168">
        <f>SUM(L9:L11)</f>
        <v>2250120.7697519995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208549.78</v>
      </c>
      <c r="D14" s="37"/>
      <c r="F14" s="50" t="s">
        <v>69</v>
      </c>
      <c r="G14" s="176"/>
      <c r="H14" s="125">
        <f>H12+H7</f>
        <v>9482301.6600000001</v>
      </c>
      <c r="I14" s="177">
        <f>SUM(I7:I13)</f>
        <v>1482098.4038040002</v>
      </c>
      <c r="J14" s="177">
        <f>SUM(J7:J13)</f>
        <v>615408.53619600006</v>
      </c>
      <c r="K14" s="177">
        <f>K12</f>
        <v>5134673.9502480002</v>
      </c>
      <c r="L14" s="177">
        <f>L12</f>
        <v>2250120.7697519995</v>
      </c>
      <c r="M14" s="387"/>
    </row>
    <row r="15" spans="1:13" ht="15.6">
      <c r="A15" s="386" t="s">
        <v>184</v>
      </c>
      <c r="C15" s="314">
        <f>391627.13+8942.42</f>
        <v>400569.55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400569.55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63066.63+1866.13+7402</f>
        <v>72334.759999999995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v>15150.13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87484.89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f>1850-929.92</f>
        <v>920.08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920.08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14297044</v>
      </c>
      <c r="H23" s="391">
        <v>0.12132999999999999</v>
      </c>
      <c r="I23" s="197">
        <f t="shared" ref="I23:I31" si="0">G23*H23</f>
        <v>1734660.34852</v>
      </c>
      <c r="J23" s="201" t="s">
        <v>37</v>
      </c>
      <c r="K23" s="264">
        <v>6461869</v>
      </c>
      <c r="L23" s="391">
        <v>0.10854999999999999</v>
      </c>
      <c r="M23" s="197">
        <f>K23*L23</f>
        <v>701435.87994999997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>
        <v>14593</v>
      </c>
      <c r="H24" s="391">
        <v>0.12132999999999999</v>
      </c>
      <c r="I24" s="197">
        <f t="shared" si="0"/>
        <v>1770.5686899999998</v>
      </c>
      <c r="J24" s="201" t="s">
        <v>38</v>
      </c>
      <c r="K24" s="264">
        <v>2339216</v>
      </c>
      <c r="L24" s="391">
        <v>0.10854999999999999</v>
      </c>
      <c r="M24" s="197">
        <f t="shared" ref="M24:M27" si="1">K24*L24</f>
        <v>253921.89679999999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5200734</v>
      </c>
      <c r="H25" s="391">
        <v>0.11426</v>
      </c>
      <c r="I25" s="197">
        <f t="shared" si="0"/>
        <v>594235.86684000003</v>
      </c>
      <c r="J25" s="201" t="s">
        <v>39</v>
      </c>
      <c r="K25" s="264">
        <v>2352</v>
      </c>
      <c r="L25" s="391">
        <v>0.10854999999999999</v>
      </c>
      <c r="M25" s="197">
        <f t="shared" si="1"/>
        <v>255.30959999999999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/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408568</v>
      </c>
      <c r="H27" s="391">
        <v>0.10385</v>
      </c>
      <c r="I27" s="197">
        <f t="shared" si="0"/>
        <v>42429.786800000002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67179</v>
      </c>
      <c r="H28" s="391">
        <v>0.10385</v>
      </c>
      <c r="I28" s="197">
        <f t="shared" si="0"/>
        <v>6976.5391499999996</v>
      </c>
      <c r="J28" s="200" t="s">
        <v>127</v>
      </c>
      <c r="K28" s="182">
        <f>SUM(K23:K27)</f>
        <v>8803437</v>
      </c>
      <c r="L28" s="183"/>
      <c r="M28" s="198">
        <f>SUM(M23:M27)</f>
        <v>955613.08635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/>
      <c r="H29" s="391">
        <v>7.1069999999999994E-2</v>
      </c>
      <c r="I29" s="197">
        <f t="shared" si="0"/>
        <v>0</v>
      </c>
      <c r="J29" s="200"/>
      <c r="K29" s="232">
        <v>8803437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2261572.1600000006</v>
      </c>
      <c r="D30" s="37"/>
      <c r="F30" s="201" t="s">
        <v>43</v>
      </c>
      <c r="G30" s="264">
        <v>102322</v>
      </c>
      <c r="H30" s="391">
        <v>7.1069999999999994E-2</v>
      </c>
      <c r="I30" s="197">
        <f t="shared" si="0"/>
        <v>7272.0245399999994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-17295.599999999999</v>
      </c>
      <c r="D31" s="39"/>
      <c r="F31" s="201" t="s">
        <v>74</v>
      </c>
      <c r="G31" s="264">
        <v>2956295</v>
      </c>
      <c r="H31" s="391">
        <v>5.4000000000000001E-4</v>
      </c>
      <c r="I31" s="197">
        <f t="shared" si="0"/>
        <v>1596.3993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2244276.5600000005</v>
      </c>
      <c r="D32" s="40"/>
      <c r="F32" s="200" t="s">
        <v>127</v>
      </c>
      <c r="G32" s="182">
        <f>SUM(G23:G31)</f>
        <v>23046735</v>
      </c>
      <c r="H32" s="7"/>
      <c r="I32" s="198">
        <f>SUM(I23:I31)</f>
        <v>2388941.5338400002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-146769.62000000002</v>
      </c>
      <c r="D33" s="36"/>
      <c r="F33" s="187"/>
      <c r="G33" s="232">
        <v>23046735</v>
      </c>
      <c r="H33" s="188" t="s">
        <v>102</v>
      </c>
      <c r="I33" s="217">
        <f>I32/G32</f>
        <v>0.10365639791666803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2097506.9400000004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6461869</v>
      </c>
      <c r="L36" s="391">
        <v>0.25031999999999999</v>
      </c>
      <c r="M36" s="197">
        <f t="shared" ref="M36:M42" si="2">K36*L36</f>
        <v>1617535.0480799999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7179230.5899999999</v>
      </c>
      <c r="D37" s="36"/>
      <c r="F37" s="201" t="s">
        <v>37</v>
      </c>
      <c r="G37" s="265">
        <f>G23</f>
        <v>14297044</v>
      </c>
      <c r="H37" s="391">
        <v>0.25030999999999998</v>
      </c>
      <c r="I37" s="197">
        <f t="shared" ref="I37:I44" si="3">G37*H37</f>
        <v>3578693.0836399999</v>
      </c>
      <c r="J37" s="201" t="s">
        <v>38</v>
      </c>
      <c r="K37" s="265">
        <f>K24</f>
        <v>2339216</v>
      </c>
      <c r="L37" s="391">
        <v>0.25031999999999999</v>
      </c>
      <c r="M37" s="197">
        <f t="shared" si="2"/>
        <v>585552.54911999998</v>
      </c>
      <c r="P37" s="275"/>
      <c r="Q37" s="275"/>
    </row>
    <row r="38" spans="1:17" ht="15.6">
      <c r="A38" s="144" t="s">
        <v>14</v>
      </c>
      <c r="B38" s="540" t="s">
        <v>115</v>
      </c>
      <c r="C38" s="122">
        <v>0</v>
      </c>
      <c r="D38" s="36"/>
      <c r="F38" s="201" t="s">
        <v>332</v>
      </c>
      <c r="G38" s="265">
        <f>G24</f>
        <v>14593</v>
      </c>
      <c r="H38" s="391">
        <v>0.25030999999999998</v>
      </c>
      <c r="I38" s="197">
        <f t="shared" si="3"/>
        <v>3652.7738299999996</v>
      </c>
      <c r="J38" s="201" t="s">
        <v>39</v>
      </c>
      <c r="K38" s="265">
        <f>K25</f>
        <v>2352</v>
      </c>
      <c r="L38" s="391">
        <v>0.25031999999999999</v>
      </c>
      <c r="M38" s="197">
        <f t="shared" si="2"/>
        <v>588.75263999999993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-12045.71</v>
      </c>
      <c r="D39" s="36"/>
      <c r="F39" s="201" t="s">
        <v>38</v>
      </c>
      <c r="G39" s="265">
        <f t="shared" ref="G39:G44" si="4">G25</f>
        <v>5200734</v>
      </c>
      <c r="H39" s="391">
        <v>0.25030999999999998</v>
      </c>
      <c r="I39" s="197">
        <f t="shared" si="3"/>
        <v>1301795.7275399999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1539251.42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2097.59</v>
      </c>
      <c r="D41" s="36"/>
      <c r="F41" s="201" t="s">
        <v>40</v>
      </c>
      <c r="G41" s="265">
        <f t="shared" si="4"/>
        <v>408568</v>
      </c>
      <c r="H41" s="391">
        <v>0.25030999999999998</v>
      </c>
      <c r="I41" s="197">
        <f t="shared" si="3"/>
        <v>102268.65607999999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1115167.55</v>
      </c>
      <c r="D42" s="37"/>
      <c r="F42" s="201" t="s">
        <v>41</v>
      </c>
      <c r="G42" s="265">
        <f t="shared" si="4"/>
        <v>67179</v>
      </c>
      <c r="H42" s="391">
        <v>0.25030999999999998</v>
      </c>
      <c r="I42" s="197">
        <f t="shared" si="3"/>
        <v>16815.575489999999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9823701.4400000013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8803437</v>
      </c>
      <c r="L43" s="183"/>
      <c r="M43" s="198">
        <f>SUM(M36:M42)</f>
        <v>2203676.3498399998</v>
      </c>
    </row>
    <row r="44" spans="1:17" ht="16.2" thickBot="1">
      <c r="A44" s="83" t="s">
        <v>178</v>
      </c>
      <c r="B44" s="84" t="s">
        <v>120</v>
      </c>
      <c r="C44" s="242">
        <f>7381148.57-139542.3</f>
        <v>7241606.2700000005</v>
      </c>
      <c r="D44" s="37"/>
      <c r="F44" s="201" t="s">
        <v>43</v>
      </c>
      <c r="G44" s="265">
        <f t="shared" si="4"/>
        <v>102322</v>
      </c>
      <c r="H44" s="391">
        <v>0.25030999999999998</v>
      </c>
      <c r="I44" s="197">
        <f t="shared" si="3"/>
        <v>25612.219819999998</v>
      </c>
      <c r="J44" s="195"/>
      <c r="K44" s="233">
        <v>8803437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20090440</v>
      </c>
      <c r="H45" s="183"/>
      <c r="I45" s="198">
        <f>SUM(I37:I44)</f>
        <v>5028838.0363999996</v>
      </c>
      <c r="J45" s="85"/>
      <c r="K45" s="231">
        <f>K43-K44</f>
        <v>0</v>
      </c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20090440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231"/>
      <c r="L47" s="387"/>
      <c r="M47" s="124"/>
    </row>
    <row r="48" spans="1:17" ht="16.2" thickBot="1">
      <c r="A48" s="144" t="s">
        <v>330</v>
      </c>
      <c r="B48" s="6" t="s">
        <v>115</v>
      </c>
      <c r="C48" s="12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28668.11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122">
        <v>3568.74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11764.27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146769.62000000002</v>
      </c>
      <c r="D52" s="33"/>
      <c r="F52" s="387" t="s">
        <v>136</v>
      </c>
      <c r="G52" s="387"/>
      <c r="H52" s="213">
        <f>K12</f>
        <v>5134673.9502480002</v>
      </c>
      <c r="I52" s="115">
        <f>I14</f>
        <v>1482098.4038040002</v>
      </c>
      <c r="J52" s="115">
        <f>L12</f>
        <v>2250120.7697519995</v>
      </c>
      <c r="K52" s="115">
        <f>J14</f>
        <v>615408.53619600006</v>
      </c>
      <c r="L52" s="132">
        <f>SUM(H52:K52)</f>
        <v>9482301.6600000001</v>
      </c>
      <c r="M52" s="387"/>
    </row>
    <row r="53" spans="1:21" ht="16.2" thickBot="1">
      <c r="A53" s="384" t="s">
        <v>124</v>
      </c>
      <c r="B53" s="475" t="s">
        <v>316</v>
      </c>
      <c r="C53" s="314">
        <f>-4800149.49-1135304.3-3478394.5</f>
        <v>-9413848.2899999991</v>
      </c>
      <c r="D53" s="36"/>
      <c r="F53" s="386" t="s">
        <v>109</v>
      </c>
      <c r="H53" s="213">
        <f>-I45</f>
        <v>-5028838.0363999996</v>
      </c>
      <c r="I53" s="115">
        <f>-I32</f>
        <v>-2388941.5338400002</v>
      </c>
      <c r="J53" s="115">
        <f>-M43</f>
        <v>-2203676.3498399998</v>
      </c>
      <c r="K53" s="115">
        <f>-M28</f>
        <v>-955613.08635</v>
      </c>
      <c r="L53" s="263">
        <f>SUM(H53:K53)</f>
        <v>-10577069.00643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-1094767.3464299999</v>
      </c>
    </row>
    <row r="55" spans="1:21" ht="16.2" thickBot="1">
      <c r="A55" s="82" t="s">
        <v>119</v>
      </c>
      <c r="B55" s="84"/>
      <c r="C55" s="160">
        <f>SUM(C43:C54)</f>
        <v>7474230.1600000001</v>
      </c>
      <c r="D55" s="36"/>
      <c r="F55" s="386" t="s">
        <v>71</v>
      </c>
      <c r="H55" s="125">
        <f>IFERROR(H52+H53+H54,0)</f>
        <v>105835.91384800058</v>
      </c>
      <c r="I55" s="125">
        <f>I52+I53+I54</f>
        <v>-906843.13003599993</v>
      </c>
      <c r="J55" s="125">
        <f>IFERROR(J52+J53+J54,0)</f>
        <v>46444.419911999721</v>
      </c>
      <c r="K55" s="125">
        <f>K52+K53+K54</f>
        <v>-340204.55015399994</v>
      </c>
      <c r="L55" s="47">
        <f>SUM(H55:K55)</f>
        <v>-1094767.3464299995</v>
      </c>
    </row>
    <row r="56" spans="1:21" ht="16.8" thickTop="1" thickBot="1">
      <c r="A56" s="386" t="s">
        <v>121</v>
      </c>
      <c r="B56" s="6" t="s">
        <v>115</v>
      </c>
      <c r="C56" s="122">
        <v>-62158.28</v>
      </c>
      <c r="D56" s="36"/>
      <c r="F56" s="241" t="s">
        <v>182</v>
      </c>
      <c r="H56" s="386" t="s">
        <v>173</v>
      </c>
      <c r="I56" s="5">
        <f>SUM(H55:I55)</f>
        <v>-801007.21618799935</v>
      </c>
      <c r="J56" s="15" t="s">
        <v>174</v>
      </c>
      <c r="K56" s="386">
        <f>SUM(J55:K55)</f>
        <v>-293760.13024200022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-27277.16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7384794.7199999997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9482301.6600000001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9482301.6600000001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-10577069.00643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H66" s="9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56" priority="9" stopIfTrue="1" operator="equal">
      <formula>0</formula>
    </cfRule>
    <cfRule type="cellIs" dxfId="655" priority="10" stopIfTrue="1" operator="notEqual">
      <formula>0</formula>
    </cfRule>
  </conditionalFormatting>
  <conditionalFormatting sqref="G34 G47 K30 K47">
    <cfRule type="cellIs" dxfId="654" priority="8" operator="notEqual">
      <formula>0</formula>
    </cfRule>
  </conditionalFormatting>
  <conditionalFormatting sqref="C62">
    <cfRule type="cellIs" dxfId="653" priority="6" stopIfTrue="1" operator="equal">
      <formula>0</formula>
    </cfRule>
    <cfRule type="cellIs" dxfId="652" priority="7" stopIfTrue="1" operator="notEqual">
      <formula>0</formula>
    </cfRule>
  </conditionalFormatting>
  <conditionalFormatting sqref="K30">
    <cfRule type="cellIs" dxfId="651" priority="5" operator="notEqual">
      <formula>0</formula>
    </cfRule>
  </conditionalFormatting>
  <conditionalFormatting sqref="G59">
    <cfRule type="cellIs" dxfId="650" priority="4" operator="equal">
      <formula>"""ERROR"""</formula>
    </cfRule>
  </conditionalFormatting>
  <conditionalFormatting sqref="G59">
    <cfRule type="cellIs" dxfId="649" priority="3" operator="equal">
      <formula>"ERROR"</formula>
    </cfRule>
  </conditionalFormatting>
  <conditionalFormatting sqref="G59">
    <cfRule type="cellIs" dxfId="648" priority="2" operator="equal">
      <formula>"ERROR"</formula>
    </cfRule>
  </conditionalFormatting>
  <conditionalFormatting sqref="K45">
    <cfRule type="cellIs" dxfId="647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R44"/>
  <sheetViews>
    <sheetView topLeftCell="A7" workbookViewId="0">
      <selection activeCell="B45" sqref="B45"/>
    </sheetView>
  </sheetViews>
  <sheetFormatPr defaultRowHeight="12.6"/>
  <cols>
    <col min="1" max="1" width="11.109375" bestFit="1" customWidth="1"/>
    <col min="2" max="3" width="16.109375" style="549" customWidth="1"/>
    <col min="4" max="13" width="16.109375" customWidth="1"/>
    <col min="14" max="14" width="7" style="549" customWidth="1"/>
    <col min="15" max="16" width="16.109375" customWidth="1"/>
  </cols>
  <sheetData>
    <row r="1" spans="1:18">
      <c r="A1" s="549" t="s">
        <v>35</v>
      </c>
    </row>
    <row r="2" spans="1:18">
      <c r="B2" s="555">
        <v>201311</v>
      </c>
      <c r="C2" s="555">
        <v>201312</v>
      </c>
      <c r="D2" s="555">
        <v>201401</v>
      </c>
      <c r="E2" s="555">
        <v>201402</v>
      </c>
      <c r="F2" s="555">
        <v>201403</v>
      </c>
      <c r="G2" s="555">
        <v>201404</v>
      </c>
      <c r="H2" s="555">
        <v>201405</v>
      </c>
      <c r="I2" s="555">
        <v>201406</v>
      </c>
      <c r="J2" s="555">
        <v>201407</v>
      </c>
      <c r="K2" s="555">
        <v>201408</v>
      </c>
      <c r="L2" s="555">
        <v>201409</v>
      </c>
      <c r="M2" s="555">
        <v>201410</v>
      </c>
      <c r="N2" s="555"/>
      <c r="O2" s="555" t="s">
        <v>324</v>
      </c>
      <c r="P2" s="555" t="s">
        <v>325</v>
      </c>
    </row>
    <row r="3" spans="1:18" ht="15">
      <c r="A3" s="549" t="s">
        <v>2</v>
      </c>
      <c r="B3" s="549">
        <v>-363626.86552299373</v>
      </c>
      <c r="C3" s="549">
        <v>-1349424.414729001</v>
      </c>
      <c r="D3">
        <f>Jan!H55</f>
        <v>-173856.58066100068</v>
      </c>
      <c r="E3">
        <f>Feb!H55</f>
        <v>105835.91384800058</v>
      </c>
      <c r="F3">
        <f>Mar!H55</f>
        <v>-604740.2805199977</v>
      </c>
      <c r="G3">
        <f>Apr!H55</f>
        <v>-2253526.4287800011</v>
      </c>
      <c r="H3">
        <f>May!H55</f>
        <v>-1368171.1781060011</v>
      </c>
      <c r="I3">
        <f>Jun!H55</f>
        <v>-2304890.4720699973</v>
      </c>
      <c r="J3">
        <f>Jul!H55</f>
        <v>-1924994.8295020012</v>
      </c>
      <c r="K3">
        <f>Aug!H55</f>
        <v>-801970.65527799854</v>
      </c>
      <c r="L3">
        <f>Sep!H55</f>
        <v>-1342648.9440120016</v>
      </c>
      <c r="M3">
        <f>Oct!H55</f>
        <v>-790814.72967299959</v>
      </c>
      <c r="O3">
        <f>SUM(B3:M3)</f>
        <v>-13172829.465005994</v>
      </c>
      <c r="P3">
        <f>SUM(D3:M3)</f>
        <v>-11459778.184753999</v>
      </c>
      <c r="Q3" s="556" t="s">
        <v>182</v>
      </c>
      <c r="R3" s="399"/>
    </row>
    <row r="4" spans="1:18" ht="15">
      <c r="A4" s="549" t="s">
        <v>3</v>
      </c>
      <c r="B4" s="554">
        <v>-780538.83973299898</v>
      </c>
      <c r="C4" s="554">
        <v>-1676402.6655339997</v>
      </c>
      <c r="D4" s="554">
        <f>Jan!I55</f>
        <v>-1737451.7240159996</v>
      </c>
      <c r="E4" s="554">
        <f>Feb!I55</f>
        <v>-906843.13003599993</v>
      </c>
      <c r="F4" s="554">
        <f>Mar!I55</f>
        <v>-502690.50554600032</v>
      </c>
      <c r="G4" s="554">
        <f>Apr!I55</f>
        <v>531507.01829000015</v>
      </c>
      <c r="H4" s="554">
        <f>May!I55</f>
        <v>778474.07196199952</v>
      </c>
      <c r="I4" s="554">
        <f>Jun!I55</f>
        <v>940413.5291820009</v>
      </c>
      <c r="J4" s="554">
        <f>Jul!I55</f>
        <v>1019103.1667780007</v>
      </c>
      <c r="K4" s="554">
        <f>Aug!I55</f>
        <v>1197349.4836119998</v>
      </c>
      <c r="L4" s="554">
        <f>Sep!I55</f>
        <v>886564.2409099997</v>
      </c>
      <c r="M4" s="554">
        <f>Oct!I55</f>
        <v>715545.96112199978</v>
      </c>
      <c r="N4" s="554"/>
      <c r="O4" s="554">
        <f>SUM(B4:M4)</f>
        <v>465030.60699100129</v>
      </c>
      <c r="P4" s="554">
        <f>SUM(D4:M4)</f>
        <v>2921972.1122580003</v>
      </c>
      <c r="Q4" s="556" t="s">
        <v>183</v>
      </c>
      <c r="R4" s="399"/>
    </row>
    <row r="5" spans="1:18">
      <c r="B5" s="549">
        <f>SUM(B3:B4)</f>
        <v>-1144165.7052559927</v>
      </c>
      <c r="C5" s="549">
        <f t="shared" ref="C5:M5" si="0">SUM(C3:C4)</f>
        <v>-3025827.0802630009</v>
      </c>
      <c r="D5" s="549">
        <f t="shared" si="0"/>
        <v>-1911308.3046770003</v>
      </c>
      <c r="E5" s="549">
        <f t="shared" si="0"/>
        <v>-801007.21618799935</v>
      </c>
      <c r="F5" s="549">
        <f t="shared" si="0"/>
        <v>-1107430.786065998</v>
      </c>
      <c r="G5" s="549">
        <f t="shared" si="0"/>
        <v>-1722019.4104900011</v>
      </c>
      <c r="H5" s="549">
        <f t="shared" si="0"/>
        <v>-589697.10614400159</v>
      </c>
      <c r="I5" s="549">
        <f t="shared" si="0"/>
        <v>-1364476.9428879963</v>
      </c>
      <c r="J5" s="549">
        <f t="shared" si="0"/>
        <v>-905891.66272400052</v>
      </c>
      <c r="K5" s="549">
        <f t="shared" si="0"/>
        <v>395378.82833400124</v>
      </c>
      <c r="L5" s="549">
        <f t="shared" si="0"/>
        <v>-456084.70310200192</v>
      </c>
      <c r="M5" s="549">
        <f t="shared" si="0"/>
        <v>-75268.768550999812</v>
      </c>
      <c r="O5">
        <f>SUM(O3:O4)</f>
        <v>-12707798.858014993</v>
      </c>
      <c r="P5">
        <f>SUM(P3:P4)</f>
        <v>-8537806.0724959988</v>
      </c>
    </row>
    <row r="8" spans="1:18">
      <c r="A8" s="549" t="s">
        <v>63</v>
      </c>
      <c r="D8" s="549"/>
      <c r="E8" s="549"/>
      <c r="F8" s="549"/>
      <c r="G8" s="549"/>
      <c r="H8" s="549"/>
      <c r="I8" s="549"/>
      <c r="J8" s="549"/>
      <c r="K8" s="549"/>
      <c r="L8" s="549"/>
      <c r="M8" s="549"/>
      <c r="O8" s="549"/>
      <c r="P8" s="549"/>
    </row>
    <row r="9" spans="1:18">
      <c r="B9" s="555">
        <v>201311</v>
      </c>
      <c r="C9" s="555">
        <v>201312</v>
      </c>
      <c r="D9" s="555">
        <v>201401</v>
      </c>
      <c r="E9" s="555">
        <v>201402</v>
      </c>
      <c r="F9" s="555">
        <v>201403</v>
      </c>
      <c r="G9" s="555">
        <v>201404</v>
      </c>
      <c r="H9" s="555">
        <v>201405</v>
      </c>
      <c r="I9" s="555">
        <v>201406</v>
      </c>
      <c r="J9" s="555">
        <v>201407</v>
      </c>
      <c r="K9" s="555">
        <v>201408</v>
      </c>
      <c r="L9" s="555">
        <v>201409</v>
      </c>
      <c r="M9" s="555">
        <v>201410</v>
      </c>
      <c r="N9" s="555"/>
      <c r="O9" s="555" t="s">
        <v>324</v>
      </c>
      <c r="P9" s="555" t="s">
        <v>325</v>
      </c>
    </row>
    <row r="10" spans="1:18">
      <c r="A10" s="549" t="s">
        <v>2</v>
      </c>
      <c r="B10" s="549">
        <v>-244467.20447699772</v>
      </c>
      <c r="C10" s="549">
        <v>-725196.73139099963</v>
      </c>
      <c r="D10">
        <f>Jan!J55</f>
        <v>-74080.34529899992</v>
      </c>
      <c r="E10" s="549">
        <f>Feb!$J$55</f>
        <v>46444.419911999721</v>
      </c>
      <c r="F10" s="549">
        <f>Mar!J55</f>
        <v>-278768.33809999912</v>
      </c>
      <c r="G10" s="549">
        <f>Apr!J55</f>
        <v>-1055945.7369300006</v>
      </c>
      <c r="H10" s="549">
        <f>May!J55</f>
        <v>-687696.10780400049</v>
      </c>
      <c r="I10" s="549">
        <f>Jun!J55</f>
        <v>-1172762.1835999992</v>
      </c>
      <c r="J10" s="549">
        <f>Jul!J55</f>
        <v>-1035781.7308680005</v>
      </c>
      <c r="K10" s="549">
        <f>Aug!J55</f>
        <v>-511412.85420199909</v>
      </c>
      <c r="L10" s="549">
        <f>Sep!J55</f>
        <v>-643347.30856800068</v>
      </c>
      <c r="M10" s="549">
        <f>Oct!J55</f>
        <v>-390519.99427700008</v>
      </c>
      <c r="O10" s="549">
        <f>SUM(B10:M10)</f>
        <v>-6773534.1156039983</v>
      </c>
      <c r="P10" s="549">
        <f>SUM(D10:M10)</f>
        <v>-5803870.1797360005</v>
      </c>
    </row>
    <row r="11" spans="1:18">
      <c r="A11" s="549" t="s">
        <v>3</v>
      </c>
      <c r="B11" s="554">
        <v>-348603.87026699982</v>
      </c>
      <c r="C11" s="554">
        <v>-725799.30110599974</v>
      </c>
      <c r="D11" s="554">
        <f>Jan!K55</f>
        <v>-637640.7143839997</v>
      </c>
      <c r="E11" s="554">
        <f>Feb!$K$55</f>
        <v>-340204.55015399994</v>
      </c>
      <c r="F11" s="554">
        <f>Mar!K55</f>
        <v>-217138.12729400001</v>
      </c>
      <c r="G11" s="554">
        <f>Apr!K55</f>
        <v>205714.00478000002</v>
      </c>
      <c r="H11" s="554">
        <f>May!K55</f>
        <v>288686.77386799984</v>
      </c>
      <c r="I11" s="554">
        <f>Jun!K55</f>
        <v>359995.72183800041</v>
      </c>
      <c r="J11" s="554">
        <f>Jul!K55</f>
        <v>382891.64018200024</v>
      </c>
      <c r="K11" s="554">
        <f>Aug!K55</f>
        <v>422438.76608799992</v>
      </c>
      <c r="L11" s="554">
        <f>Sep!K55</f>
        <v>349920.59428999986</v>
      </c>
      <c r="M11" s="554">
        <f>Oct!K55</f>
        <v>258343.08364799991</v>
      </c>
      <c r="N11" s="554"/>
      <c r="O11" s="554">
        <f>SUM(B11:M11)</f>
        <v>-1395.9785109987133</v>
      </c>
      <c r="P11" s="554">
        <f>SUM(D11:M11)</f>
        <v>1073007.1928620008</v>
      </c>
    </row>
    <row r="12" spans="1:18">
      <c r="B12" s="549">
        <f>SUM(B10:B11)</f>
        <v>-593071.07474399754</v>
      </c>
      <c r="C12" s="549">
        <f t="shared" ref="C12:M12" si="1">SUM(C10:C11)</f>
        <v>-1450996.0324969995</v>
      </c>
      <c r="D12" s="549">
        <f t="shared" si="1"/>
        <v>-711721.05968299962</v>
      </c>
      <c r="E12" s="549">
        <f t="shared" si="1"/>
        <v>-293760.13024200022</v>
      </c>
      <c r="F12" s="549">
        <f t="shared" si="1"/>
        <v>-495906.46539399913</v>
      </c>
      <c r="G12" s="549">
        <f t="shared" si="1"/>
        <v>-850231.73215000052</v>
      </c>
      <c r="H12" s="549">
        <f t="shared" si="1"/>
        <v>-399009.33393600065</v>
      </c>
      <c r="I12" s="549">
        <f t="shared" si="1"/>
        <v>-812766.46176199871</v>
      </c>
      <c r="J12" s="549">
        <f t="shared" si="1"/>
        <v>-652890.0906860003</v>
      </c>
      <c r="K12" s="549">
        <f t="shared" si="1"/>
        <v>-88974.088113999169</v>
      </c>
      <c r="L12" s="549">
        <f t="shared" si="1"/>
        <v>-293426.71427800081</v>
      </c>
      <c r="M12" s="549">
        <f t="shared" si="1"/>
        <v>-132176.91062900017</v>
      </c>
      <c r="O12">
        <f>SUM(O10:O11)</f>
        <v>-6774930.0941149974</v>
      </c>
      <c r="P12" s="549">
        <f>SUM(P10:P11)</f>
        <v>-4730862.9868739992</v>
      </c>
    </row>
    <row r="43" spans="2:2">
      <c r="B43" s="549" t="s">
        <v>326</v>
      </c>
    </row>
    <row r="44" spans="2:2">
      <c r="B44" s="549" t="s">
        <v>327</v>
      </c>
    </row>
  </sheetData>
  <printOptions horizontalCentered="1"/>
  <pageMargins left="0" right="0" top="0.75" bottom="0.75" header="0.3" footer="0.3"/>
  <pageSetup scale="50" orientation="landscape" r:id="rId1"/>
  <customProperties>
    <customPr name="xxe4aP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4"/>
  <sheetViews>
    <sheetView showGridLines="0" topLeftCell="A37" zoomScale="85" zoomScaleNormal="85" workbookViewId="0">
      <selection activeCell="C47" sqref="C47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Feb!C1+1</f>
        <v>201603</v>
      </c>
      <c r="F1" s="534">
        <f>C1</f>
        <v>201603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122">
        <f>4584664.7+1688.63</f>
        <v>4586353.33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122">
        <f>72810.95-254.58</f>
        <v>72556.37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0.6855</v>
      </c>
      <c r="L5" s="447">
        <f>1-K5</f>
        <v>0.3145</v>
      </c>
      <c r="M5" s="387"/>
    </row>
    <row r="6" spans="1:13" ht="16.2" thickBot="1">
      <c r="A6" s="49" t="s">
        <v>30</v>
      </c>
      <c r="C6" s="580">
        <f>-2336205.33-443548-73628.97-126728-142569-81739.56-102092.08</f>
        <v>-3306510.9400000004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1352398.7599999998</v>
      </c>
      <c r="D7" s="35"/>
      <c r="F7" s="167" t="s">
        <v>139</v>
      </c>
      <c r="G7" s="167"/>
      <c r="H7" s="125">
        <f>C34</f>
        <v>2241700.5899999994</v>
      </c>
      <c r="I7" s="168">
        <f>H7*I5</f>
        <v>1583985.6368939995</v>
      </c>
      <c r="J7" s="168">
        <f>H7*J5</f>
        <v>657714.95310599986</v>
      </c>
      <c r="K7" s="168"/>
      <c r="L7" s="168"/>
      <c r="M7" s="387"/>
    </row>
    <row r="8" spans="1:13" ht="15.6">
      <c r="A8" s="386" t="s">
        <v>89</v>
      </c>
      <c r="C8" s="122">
        <v>252729.32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122">
        <f>8593.56+609.89</f>
        <v>9203.4499999999989</v>
      </c>
      <c r="D9" s="36"/>
      <c r="F9" s="167" t="s">
        <v>119</v>
      </c>
      <c r="G9" s="387"/>
      <c r="H9" s="168">
        <f>C55</f>
        <v>5499793.8800000027</v>
      </c>
      <c r="I9" s="168"/>
      <c r="J9" s="168"/>
      <c r="K9" s="168">
        <f>H9*K5</f>
        <v>3770108.7047400018</v>
      </c>
      <c r="L9" s="168">
        <f>H9*L5</f>
        <v>1729685.1752600009</v>
      </c>
      <c r="M9" s="387"/>
    </row>
    <row r="10" spans="1:13" ht="15.6">
      <c r="A10" s="49" t="s">
        <v>91</v>
      </c>
      <c r="C10" s="580">
        <v>-3418.47</v>
      </c>
      <c r="D10" s="36"/>
      <c r="F10" s="170" t="s">
        <v>44</v>
      </c>
      <c r="G10" s="387"/>
      <c r="H10" s="168">
        <f>C56</f>
        <v>21382.09</v>
      </c>
      <c r="I10" s="168"/>
      <c r="J10" s="168"/>
      <c r="K10" s="168">
        <f>H10</f>
        <v>21382.09</v>
      </c>
      <c r="L10" s="168"/>
      <c r="M10" s="387"/>
    </row>
    <row r="11" spans="1:13">
      <c r="A11" s="66" t="s">
        <v>145</v>
      </c>
      <c r="C11" s="100">
        <f>SUM(C8:C10)</f>
        <v>258514.30000000002</v>
      </c>
      <c r="D11" s="36"/>
      <c r="F11" s="170" t="s">
        <v>45</v>
      </c>
      <c r="G11" s="387"/>
      <c r="H11" s="171">
        <f>C57</f>
        <v>8987.51</v>
      </c>
      <c r="I11" s="168"/>
      <c r="J11" s="168"/>
      <c r="K11" s="171"/>
      <c r="L11" s="171">
        <f>H11</f>
        <v>8987.51</v>
      </c>
      <c r="M11" s="387"/>
    </row>
    <row r="12" spans="1:13" ht="15.6">
      <c r="A12" s="386" t="s">
        <v>165</v>
      </c>
      <c r="C12" s="122">
        <f>212295.44+7129.95</f>
        <v>219425.39</v>
      </c>
      <c r="D12" s="36"/>
      <c r="F12" s="170" t="s">
        <v>138</v>
      </c>
      <c r="G12" s="387"/>
      <c r="H12" s="168">
        <f>H9+H10+H11</f>
        <v>5530163.4800000023</v>
      </c>
      <c r="I12" s="168"/>
      <c r="J12" s="168"/>
      <c r="K12" s="168">
        <f>SUM(K9:K11)</f>
        <v>3791490.7947400017</v>
      </c>
      <c r="L12" s="168">
        <f>SUM(L9:L11)</f>
        <v>1738672.6852600009</v>
      </c>
      <c r="M12" s="387"/>
    </row>
    <row r="13" spans="1:13" ht="16.2" thickBot="1">
      <c r="A13" s="49" t="s">
        <v>166</v>
      </c>
      <c r="C13" s="580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219425.39</v>
      </c>
      <c r="D14" s="37"/>
      <c r="F14" s="50" t="s">
        <v>69</v>
      </c>
      <c r="G14" s="176"/>
      <c r="H14" s="125">
        <f>H12+H7</f>
        <v>7771864.0700000022</v>
      </c>
      <c r="I14" s="177">
        <f>SUM(I7:I13)</f>
        <v>1583985.6368939995</v>
      </c>
      <c r="J14" s="177">
        <f>SUM(J7:J13)</f>
        <v>657714.95310599986</v>
      </c>
      <c r="K14" s="177">
        <f>K12</f>
        <v>3791490.7947400017</v>
      </c>
      <c r="L14" s="177">
        <f>L12</f>
        <v>1738672.6852600009</v>
      </c>
      <c r="M14" s="387"/>
    </row>
    <row r="15" spans="1:13" ht="15.6">
      <c r="A15" s="386" t="s">
        <v>184</v>
      </c>
      <c r="C15" s="122">
        <f>407764.15+13694.69</f>
        <v>421458.84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580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421458.84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122">
        <f>4778.34-762.28+65665.3</f>
        <v>69681.36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580">
        <v>3873.31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73554.67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580">
        <f>131.76+1850</f>
        <v>1981.76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1981.76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12238194</v>
      </c>
      <c r="H23" s="391">
        <v>0.12132999999999999</v>
      </c>
      <c r="I23" s="197">
        <f t="shared" ref="I23:I31" si="0">G23*H23</f>
        <v>1484860.0780199999</v>
      </c>
      <c r="J23" s="201" t="s">
        <v>37</v>
      </c>
      <c r="K23" s="264">
        <v>5909720</v>
      </c>
      <c r="L23" s="391">
        <v>0.10854999999999999</v>
      </c>
      <c r="M23" s="197">
        <f>K23*L23</f>
        <v>641500.10599999991</v>
      </c>
    </row>
    <row r="24" spans="1:13" ht="15.6">
      <c r="A24" s="209" t="s">
        <v>187</v>
      </c>
      <c r="C24" s="122">
        <v>0</v>
      </c>
      <c r="D24" s="36"/>
      <c r="F24" s="201" t="s">
        <v>332</v>
      </c>
      <c r="G24" s="264">
        <v>18603</v>
      </c>
      <c r="H24" s="391">
        <v>0.12132999999999999</v>
      </c>
      <c r="I24" s="197">
        <f t="shared" si="0"/>
        <v>2257.1019899999997</v>
      </c>
      <c r="J24" s="201" t="s">
        <v>38</v>
      </c>
      <c r="K24" s="264">
        <v>2149496</v>
      </c>
      <c r="L24" s="391">
        <v>0.10854999999999999</v>
      </c>
      <c r="M24" s="197">
        <f t="shared" ref="M24:M27" si="1">K24*L24</f>
        <v>233327.79079999999</v>
      </c>
    </row>
    <row r="25" spans="1:13" ht="15.6">
      <c r="A25" s="209" t="s">
        <v>190</v>
      </c>
      <c r="C25" s="583">
        <v>0</v>
      </c>
      <c r="D25" s="36"/>
      <c r="F25" s="201" t="s">
        <v>38</v>
      </c>
      <c r="G25" s="264">
        <v>4795258</v>
      </c>
      <c r="H25" s="391">
        <v>0.11426</v>
      </c>
      <c r="I25" s="197">
        <f t="shared" si="0"/>
        <v>547906.17908000003</v>
      </c>
      <c r="J25" s="201" t="s">
        <v>39</v>
      </c>
      <c r="K25" s="264">
        <v>232</v>
      </c>
      <c r="L25" s="391">
        <v>0.10854999999999999</v>
      </c>
      <c r="M25" s="197">
        <f t="shared" si="1"/>
        <v>25.183599999999998</v>
      </c>
    </row>
    <row r="26" spans="1:13" ht="15.6">
      <c r="A26" s="210" t="s">
        <v>189</v>
      </c>
      <c r="C26" s="584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/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361566</v>
      </c>
      <c r="H27" s="391">
        <v>0.10385</v>
      </c>
      <c r="I27" s="197">
        <f t="shared" si="0"/>
        <v>37548.629099999998</v>
      </c>
      <c r="J27" s="201" t="s">
        <v>41</v>
      </c>
      <c r="K27" s="264"/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59583</v>
      </c>
      <c r="H28" s="391">
        <v>0.10385</v>
      </c>
      <c r="I28" s="197">
        <f t="shared" si="0"/>
        <v>6187.6945500000002</v>
      </c>
      <c r="J28" s="200" t="s">
        <v>127</v>
      </c>
      <c r="K28" s="182">
        <f>SUM(K23:K27)</f>
        <v>8059448</v>
      </c>
      <c r="L28" s="183"/>
      <c r="M28" s="198">
        <f>SUM(M23:M27)</f>
        <v>874853.08039999986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8059448</v>
      </c>
      <c r="L29" s="188" t="s">
        <v>102</v>
      </c>
      <c r="M29" s="467">
        <f>M28/K28</f>
        <v>0.10854999999999998</v>
      </c>
    </row>
    <row r="30" spans="1:13" ht="16.2" thickBot="1">
      <c r="A30" s="2" t="s">
        <v>111</v>
      </c>
      <c r="C30" s="125">
        <f>C7+C11+C14+C17+C20+C22+C27+C28+C29</f>
        <v>2327333.7199999993</v>
      </c>
      <c r="D30" s="37"/>
      <c r="F30" s="201" t="s">
        <v>43</v>
      </c>
      <c r="G30" s="264">
        <v>89942</v>
      </c>
      <c r="H30" s="391">
        <v>7.1069999999999994E-2</v>
      </c>
      <c r="I30" s="197">
        <f t="shared" si="0"/>
        <v>6392.1779399999996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0</v>
      </c>
      <c r="D31" s="39"/>
      <c r="F31" s="201" t="s">
        <v>74</v>
      </c>
      <c r="G31" s="264">
        <v>2822744</v>
      </c>
      <c r="H31" s="391">
        <v>5.4000000000000001E-4</v>
      </c>
      <c r="I31" s="197">
        <f t="shared" si="0"/>
        <v>1524.2817600000001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2327333.7199999993</v>
      </c>
      <c r="D32" s="40"/>
      <c r="F32" s="200" t="s">
        <v>127</v>
      </c>
      <c r="G32" s="182">
        <f>SUM(G23:G31)</f>
        <v>20385890</v>
      </c>
      <c r="H32" s="7"/>
      <c r="I32" s="198">
        <f>SUM(I23:I31)</f>
        <v>2086676.1424399999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-85633.12999999999</v>
      </c>
      <c r="D33" s="36"/>
      <c r="F33" s="187"/>
      <c r="G33" s="232">
        <v>20385890</v>
      </c>
      <c r="H33" s="188" t="s">
        <v>102</v>
      </c>
      <c r="I33" s="217">
        <f>I32/G32</f>
        <v>0.10235884439874834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2241700.5899999994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5909720</v>
      </c>
      <c r="L36" s="391">
        <v>0.25031999999999999</v>
      </c>
      <c r="M36" s="197">
        <f t="shared" ref="M36:M42" si="2">K36*L36</f>
        <v>1479321.1103999999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8020967.8300000001</v>
      </c>
      <c r="D37" s="36"/>
      <c r="F37" s="201" t="s">
        <v>37</v>
      </c>
      <c r="G37" s="265">
        <f>G23</f>
        <v>12238194</v>
      </c>
      <c r="H37" s="391">
        <v>0.25030999999999998</v>
      </c>
      <c r="I37" s="197">
        <f t="shared" ref="I37:I44" si="3">G37*H37</f>
        <v>3063342.3401399995</v>
      </c>
      <c r="J37" s="201" t="s">
        <v>38</v>
      </c>
      <c r="K37" s="265">
        <f>K24</f>
        <v>2149496</v>
      </c>
      <c r="L37" s="391">
        <v>0.25031999999999999</v>
      </c>
      <c r="M37" s="197">
        <f t="shared" si="2"/>
        <v>538061.83872</v>
      </c>
      <c r="P37" s="275"/>
      <c r="Q37" s="275"/>
    </row>
    <row r="38" spans="1:17" ht="15.6">
      <c r="A38" s="144" t="s">
        <v>14</v>
      </c>
      <c r="B38" s="540" t="s">
        <v>115</v>
      </c>
      <c r="C38" s="122">
        <v>0</v>
      </c>
      <c r="D38" s="36"/>
      <c r="F38" s="201" t="s">
        <v>332</v>
      </c>
      <c r="G38" s="265">
        <f>G24</f>
        <v>18603</v>
      </c>
      <c r="H38" s="391">
        <v>0.25030999999999998</v>
      </c>
      <c r="I38" s="197">
        <f t="shared" si="3"/>
        <v>4656.5169299999998</v>
      </c>
      <c r="J38" s="201" t="s">
        <v>39</v>
      </c>
      <c r="K38" s="265">
        <f>K25</f>
        <v>232</v>
      </c>
      <c r="L38" s="391">
        <v>0.25031999999999999</v>
      </c>
      <c r="M38" s="197">
        <f t="shared" si="2"/>
        <v>58.074239999999996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-22427.1</v>
      </c>
      <c r="D39" s="36"/>
      <c r="F39" s="201" t="s">
        <v>38</v>
      </c>
      <c r="G39" s="265">
        <f t="shared" ref="G39:G44" si="4">G25</f>
        <v>4795258</v>
      </c>
      <c r="H39" s="391">
        <v>0.25030999999999998</v>
      </c>
      <c r="I39" s="197">
        <f t="shared" si="3"/>
        <v>1200301.0299799999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3607136.6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-32819.74</v>
      </c>
      <c r="D41" s="36"/>
      <c r="F41" s="201" t="s">
        <v>40</v>
      </c>
      <c r="G41" s="265">
        <f t="shared" si="4"/>
        <v>361566</v>
      </c>
      <c r="H41" s="391">
        <v>0.25030999999999998</v>
      </c>
      <c r="I41" s="197">
        <f t="shared" si="3"/>
        <v>90503.585459999988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384001.15</v>
      </c>
      <c r="D42" s="37"/>
      <c r="F42" s="201" t="s">
        <v>41</v>
      </c>
      <c r="G42" s="265">
        <f t="shared" si="4"/>
        <v>59583</v>
      </c>
      <c r="H42" s="391">
        <v>0.25030999999999998</v>
      </c>
      <c r="I42" s="197">
        <f t="shared" si="3"/>
        <v>14914.220729999999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11956858.74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8059448</v>
      </c>
      <c r="L43" s="183"/>
      <c r="M43" s="198">
        <f>SUM(M36:M42)</f>
        <v>2017441.02336</v>
      </c>
    </row>
    <row r="44" spans="1:17" ht="16.2" thickBot="1">
      <c r="A44" s="83" t="s">
        <v>178</v>
      </c>
      <c r="B44" s="84" t="s">
        <v>120</v>
      </c>
      <c r="C44" s="242">
        <f>-351270.5+894337.97+31152.66</f>
        <v>574220.13</v>
      </c>
      <c r="D44" s="37"/>
      <c r="F44" s="201" t="s">
        <v>43</v>
      </c>
      <c r="G44" s="265">
        <f t="shared" si="4"/>
        <v>89942</v>
      </c>
      <c r="H44" s="391">
        <v>0.25030999999999998</v>
      </c>
      <c r="I44" s="197">
        <f t="shared" si="3"/>
        <v>22513.382019999997</v>
      </c>
      <c r="J44" s="195"/>
      <c r="K44" s="233">
        <v>8059448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17563146</v>
      </c>
      <c r="H45" s="183"/>
      <c r="I45" s="198">
        <f>SUM(I37:I44)</f>
        <v>4396231.0752599994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17563146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134414.14000000001</v>
      </c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222</v>
      </c>
      <c r="B48" s="6" t="s">
        <v>115</v>
      </c>
      <c r="C48" s="12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31886.26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122">
        <v>1919.22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7990.52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85633.12999999999</v>
      </c>
      <c r="D52" s="33"/>
      <c r="F52" s="387" t="s">
        <v>136</v>
      </c>
      <c r="G52" s="387"/>
      <c r="H52" s="213">
        <f>K12</f>
        <v>3791490.7947400017</v>
      </c>
      <c r="I52" s="115">
        <f>I14</f>
        <v>1583985.6368939995</v>
      </c>
      <c r="J52" s="115">
        <f>L12</f>
        <v>1738672.6852600009</v>
      </c>
      <c r="K52" s="115">
        <f>J14</f>
        <v>657714.95310599986</v>
      </c>
      <c r="L52" s="132">
        <f>SUM(H52:K52)</f>
        <v>7771864.0700000022</v>
      </c>
      <c r="M52" s="387"/>
    </row>
    <row r="53" spans="1:21" ht="16.2" thickBot="1">
      <c r="A53" s="384" t="s">
        <v>124</v>
      </c>
      <c r="B53" s="475" t="s">
        <v>316</v>
      </c>
      <c r="C53" s="122">
        <f>-2349584.51-2604593.83-1970949.92</f>
        <v>-6925128.2599999998</v>
      </c>
      <c r="D53" s="36"/>
      <c r="F53" s="386" t="s">
        <v>109</v>
      </c>
      <c r="H53" s="213">
        <f>-I45</f>
        <v>-4396231.0752599994</v>
      </c>
      <c r="I53" s="115">
        <f>-I32</f>
        <v>-2086676.1424399999</v>
      </c>
      <c r="J53" s="115">
        <f>-M43</f>
        <v>-2017441.02336</v>
      </c>
      <c r="K53" s="115">
        <f>-M28</f>
        <v>-874853.08039999986</v>
      </c>
      <c r="L53" s="263">
        <f>SUM(H53:K53)</f>
        <v>-9375201.3214599993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-1603337.2514599971</v>
      </c>
    </row>
    <row r="55" spans="1:21" ht="16.2" thickBot="1">
      <c r="A55" s="82" t="s">
        <v>119</v>
      </c>
      <c r="B55" s="84"/>
      <c r="C55" s="160">
        <f>SUM(C43:C54)</f>
        <v>5499793.8800000027</v>
      </c>
      <c r="D55" s="36"/>
      <c r="F55" s="386" t="s">
        <v>71</v>
      </c>
      <c r="H55" s="125">
        <f>IFERROR(H52+H53+H54,0)</f>
        <v>-604740.2805199977</v>
      </c>
      <c r="I55" s="125">
        <f>I52+I53+I54</f>
        <v>-502690.50554600032</v>
      </c>
      <c r="J55" s="125">
        <f>IFERROR(J52+J53+J54,0)</f>
        <v>-278768.33809999912</v>
      </c>
      <c r="K55" s="125">
        <f>K52+K53+K54</f>
        <v>-217138.12729400001</v>
      </c>
      <c r="L55" s="47">
        <f>SUM(H55:K55)</f>
        <v>-1603337.2514599971</v>
      </c>
    </row>
    <row r="56" spans="1:21" ht="16.8" thickTop="1" thickBot="1">
      <c r="A56" s="386" t="s">
        <v>121</v>
      </c>
      <c r="B56" s="6" t="s">
        <v>115</v>
      </c>
      <c r="C56" s="122">
        <v>21382.09</v>
      </c>
      <c r="D56" s="36"/>
      <c r="F56" s="241" t="s">
        <v>182</v>
      </c>
      <c r="H56" s="386" t="s">
        <v>173</v>
      </c>
      <c r="I56" s="5">
        <f>SUM(H55:I55)</f>
        <v>-1107430.786065998</v>
      </c>
      <c r="J56" s="15" t="s">
        <v>174</v>
      </c>
      <c r="K56" s="386">
        <f>SUM(J55:K55)</f>
        <v>-495906.46539399913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8987.51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5530163.4800000023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7771864.0700000022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7771864.0700000003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-9375201.3214599993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H66" s="9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46" priority="8" stopIfTrue="1" operator="equal">
      <formula>0</formula>
    </cfRule>
    <cfRule type="cellIs" dxfId="645" priority="9" stopIfTrue="1" operator="notEqual">
      <formula>0</formula>
    </cfRule>
  </conditionalFormatting>
  <conditionalFormatting sqref="G34 G47 K30 K47">
    <cfRule type="cellIs" dxfId="644" priority="7" operator="notEqual">
      <formula>0</formula>
    </cfRule>
  </conditionalFormatting>
  <conditionalFormatting sqref="C62">
    <cfRule type="cellIs" dxfId="643" priority="5" stopIfTrue="1" operator="equal">
      <formula>0</formula>
    </cfRule>
    <cfRule type="cellIs" dxfId="642" priority="6" stopIfTrue="1" operator="notEqual">
      <formula>0</formula>
    </cfRule>
  </conditionalFormatting>
  <conditionalFormatting sqref="K30">
    <cfRule type="cellIs" dxfId="641" priority="4" operator="notEqual">
      <formula>0</formula>
    </cfRule>
  </conditionalFormatting>
  <conditionalFormatting sqref="G59">
    <cfRule type="cellIs" dxfId="640" priority="3" operator="equal">
      <formula>"""ERROR"""</formula>
    </cfRule>
  </conditionalFormatting>
  <conditionalFormatting sqref="G59">
    <cfRule type="cellIs" dxfId="639" priority="2" operator="equal">
      <formula>"ERROR"</formula>
    </cfRule>
  </conditionalFormatting>
  <conditionalFormatting sqref="G59">
    <cfRule type="cellIs" dxfId="638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4"/>
  <sheetViews>
    <sheetView showGridLines="0" topLeftCell="A13" zoomScale="85" zoomScaleNormal="85" workbookViewId="0">
      <selection activeCell="G28" sqref="G28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Mar!C1+1</f>
        <v>201604</v>
      </c>
      <c r="F1" s="534">
        <f>C1</f>
        <v>201604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f>4385068.92+1634.16</f>
        <v>4386703.08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f>213.01+76557.54</f>
        <v>76770.549999999988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0.68100000000000005</v>
      </c>
      <c r="L5" s="447">
        <f>1-K5</f>
        <v>0.31899999999999995</v>
      </c>
      <c r="M5" s="387"/>
    </row>
    <row r="6" spans="1:13" ht="16.2" thickBot="1">
      <c r="A6" s="49" t="s">
        <v>30</v>
      </c>
      <c r="C6" s="315">
        <f>-2209140.49-429240-71253.84-122640-137970-79102.8-98798.78</f>
        <v>-3148145.9099999997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1315327.7200000002</v>
      </c>
      <c r="D7" s="35"/>
      <c r="F7" s="167" t="s">
        <v>139</v>
      </c>
      <c r="G7" s="167"/>
      <c r="H7" s="125">
        <f>C34</f>
        <v>2155897.4500000002</v>
      </c>
      <c r="I7" s="168">
        <f>H7*I5</f>
        <v>1523357.1381700002</v>
      </c>
      <c r="J7" s="168">
        <f>H7*J5</f>
        <v>632540.31183000002</v>
      </c>
      <c r="K7" s="168"/>
      <c r="L7" s="168"/>
      <c r="M7" s="387"/>
    </row>
    <row r="8" spans="1:13" ht="15.6">
      <c r="A8" s="386" t="s">
        <v>89</v>
      </c>
      <c r="C8" s="314">
        <v>185334.94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f>5981.67+515.58</f>
        <v>6497.25</v>
      </c>
      <c r="D9" s="36"/>
      <c r="F9" s="167" t="s">
        <v>119</v>
      </c>
      <c r="G9" s="387"/>
      <c r="H9" s="168">
        <f>C55</f>
        <v>-236694.59000000171</v>
      </c>
      <c r="I9" s="168"/>
      <c r="J9" s="168"/>
      <c r="K9" s="168">
        <f>H9*K5</f>
        <v>-161189.01579000117</v>
      </c>
      <c r="L9" s="168">
        <f>H9*L5</f>
        <v>-75505.57421000053</v>
      </c>
      <c r="M9" s="387"/>
    </row>
    <row r="10" spans="1:13" ht="15.6">
      <c r="A10" s="49" t="s">
        <v>91</v>
      </c>
      <c r="C10" s="315">
        <v>-3308.2</v>
      </c>
      <c r="D10" s="36"/>
      <c r="F10" s="170" t="s">
        <v>44</v>
      </c>
      <c r="G10" s="387"/>
      <c r="H10" s="168">
        <f>C56</f>
        <v>8872.11</v>
      </c>
      <c r="I10" s="168"/>
      <c r="J10" s="168"/>
      <c r="K10" s="168">
        <f>H10</f>
        <v>8872.11</v>
      </c>
      <c r="L10" s="168"/>
      <c r="M10" s="387"/>
    </row>
    <row r="11" spans="1:13">
      <c r="A11" s="66" t="s">
        <v>145</v>
      </c>
      <c r="C11" s="100">
        <f>SUM(C8:C10)</f>
        <v>188523.99</v>
      </c>
      <c r="D11" s="36"/>
      <c r="F11" s="170" t="s">
        <v>45</v>
      </c>
      <c r="G11" s="387"/>
      <c r="H11" s="171">
        <f>C57</f>
        <v>3835.85</v>
      </c>
      <c r="I11" s="168"/>
      <c r="J11" s="168"/>
      <c r="K11" s="171"/>
      <c r="L11" s="171">
        <f>H11</f>
        <v>3835.85</v>
      </c>
      <c r="M11" s="387"/>
    </row>
    <row r="12" spans="1:13" ht="15.6">
      <c r="A12" s="386" t="s">
        <v>165</v>
      </c>
      <c r="C12" s="314">
        <f>219677.71+5190.73</f>
        <v>224868.44</v>
      </c>
      <c r="D12" s="36"/>
      <c r="F12" s="170" t="s">
        <v>138</v>
      </c>
      <c r="G12" s="387"/>
      <c r="H12" s="168">
        <f>H9+H10+H11</f>
        <v>-223986.63000000172</v>
      </c>
      <c r="I12" s="168"/>
      <c r="J12" s="168"/>
      <c r="K12" s="168">
        <f>SUM(K9:K11)</f>
        <v>-152316.90579000115</v>
      </c>
      <c r="L12" s="168">
        <f>SUM(L9:L11)</f>
        <v>-71669.724210000524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224868.44</v>
      </c>
      <c r="D14" s="37"/>
      <c r="F14" s="50" t="s">
        <v>69</v>
      </c>
      <c r="G14" s="176"/>
      <c r="H14" s="125">
        <f>H12+H7</f>
        <v>1931910.8199999984</v>
      </c>
      <c r="I14" s="177">
        <f>SUM(I7:I13)</f>
        <v>1523357.1381700002</v>
      </c>
      <c r="J14" s="177">
        <f>SUM(J7:J13)</f>
        <v>632540.31183000002</v>
      </c>
      <c r="K14" s="177">
        <f>K12</f>
        <v>-152316.90579000115</v>
      </c>
      <c r="L14" s="177">
        <f>L12</f>
        <v>-71669.724210000524</v>
      </c>
      <c r="M14" s="387"/>
    </row>
    <row r="15" spans="1:13" ht="15.6">
      <c r="A15" s="386" t="s">
        <v>184</v>
      </c>
      <c r="C15" s="314">
        <f>9970.04+421943.57</f>
        <v>431913.61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431913.61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6459.75+1725.49+67948.71</f>
        <v>76133.950000000012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v>5452.01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81585.960000000006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f>547.54+1850</f>
        <v>2397.54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2397.54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5348802</v>
      </c>
      <c r="H23" s="391">
        <v>0.12132999999999999</v>
      </c>
      <c r="I23" s="197">
        <f t="shared" ref="I23:I31" si="0">G23*H23</f>
        <v>648970.14665999997</v>
      </c>
      <c r="J23" s="201" t="s">
        <v>37</v>
      </c>
      <c r="K23" s="264">
        <v>2663108</v>
      </c>
      <c r="L23" s="391">
        <v>0.10854999999999999</v>
      </c>
      <c r="M23" s="197">
        <f>K23*L23</f>
        <v>289080.37339999998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>
        <v>12171</v>
      </c>
      <c r="H24" s="391">
        <v>0.12132999999999999</v>
      </c>
      <c r="I24" s="197">
        <f t="shared" si="0"/>
        <v>1476.7074299999999</v>
      </c>
      <c r="J24" s="201" t="s">
        <v>38</v>
      </c>
      <c r="K24" s="264">
        <v>1257156</v>
      </c>
      <c r="L24" s="391">
        <v>0.10854999999999999</v>
      </c>
      <c r="M24" s="197">
        <f t="shared" ref="M24:M27" si="1">K24*L24</f>
        <v>136464.2838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2668983</v>
      </c>
      <c r="H25" s="391">
        <v>0.11426</v>
      </c>
      <c r="I25" s="197">
        <f t="shared" si="0"/>
        <v>304957.99758000002</v>
      </c>
      <c r="J25" s="201" t="s">
        <v>39</v>
      </c>
      <c r="K25" s="264">
        <v>11807</v>
      </c>
      <c r="L25" s="391">
        <v>0.10854999999999999</v>
      </c>
      <c r="M25" s="197">
        <f t="shared" si="1"/>
        <v>1281.64985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227877</v>
      </c>
      <c r="H27" s="391">
        <v>0.10385</v>
      </c>
      <c r="I27" s="197">
        <f t="shared" si="0"/>
        <v>23665.026450000001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54523</v>
      </c>
      <c r="H28" s="391">
        <v>0.10385</v>
      </c>
      <c r="I28" s="197">
        <f t="shared" si="0"/>
        <v>5662.2135499999995</v>
      </c>
      <c r="J28" s="200" t="s">
        <v>127</v>
      </c>
      <c r="K28" s="182">
        <f>SUM(K23:K27)</f>
        <v>3932071</v>
      </c>
      <c r="L28" s="183"/>
      <c r="M28" s="198">
        <f>SUM(M23:M27)</f>
        <v>426826.30705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3932071</v>
      </c>
      <c r="L29" s="188" t="s">
        <v>102</v>
      </c>
      <c r="M29" s="467">
        <f>M28/K28</f>
        <v>0.10855000000000001</v>
      </c>
    </row>
    <row r="30" spans="1:13" ht="16.2" thickBot="1">
      <c r="A30" s="2" t="s">
        <v>111</v>
      </c>
      <c r="C30" s="125">
        <f>C7+C11+C14+C17+C20+C22+C27+C28+C29</f>
        <v>2244617.2600000002</v>
      </c>
      <c r="D30" s="37"/>
      <c r="F30" s="201" t="s">
        <v>43</v>
      </c>
      <c r="G30" s="264">
        <v>82073</v>
      </c>
      <c r="H30" s="391">
        <v>7.1069999999999994E-2</v>
      </c>
      <c r="I30" s="197">
        <f t="shared" si="0"/>
        <v>5832.9281099999998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0</v>
      </c>
      <c r="D31" s="39"/>
      <c r="F31" s="201" t="s">
        <v>74</v>
      </c>
      <c r="G31" s="264">
        <v>2379815</v>
      </c>
      <c r="H31" s="391">
        <v>5.4000000000000001E-4</v>
      </c>
      <c r="I31" s="197">
        <f t="shared" si="0"/>
        <v>1285.1001000000001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2244617.2600000002</v>
      </c>
      <c r="D32" s="40"/>
      <c r="F32" s="200" t="s">
        <v>127</v>
      </c>
      <c r="G32" s="182">
        <f>SUM(G23:G31)</f>
        <v>10774244</v>
      </c>
      <c r="H32" s="7"/>
      <c r="I32" s="198">
        <f>SUM(I23:I31)</f>
        <v>991850.11988000001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-88719.809999999983</v>
      </c>
      <c r="D33" s="36"/>
      <c r="F33" s="187"/>
      <c r="G33" s="232">
        <v>10774244</v>
      </c>
      <c r="H33" s="188" t="s">
        <v>102</v>
      </c>
      <c r="I33" s="217">
        <f>I32/G32</f>
        <v>9.205751418661022E-2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2155897.4500000002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2663108</v>
      </c>
      <c r="L36" s="391">
        <v>0.25031999999999999</v>
      </c>
      <c r="M36" s="197">
        <f t="shared" ref="M36:M42" si="2">K36*L36</f>
        <v>666629.19455999997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5782442.7699999996</v>
      </c>
      <c r="D37" s="36"/>
      <c r="F37" s="201" t="s">
        <v>37</v>
      </c>
      <c r="G37" s="265">
        <f>G23</f>
        <v>5348802</v>
      </c>
      <c r="H37" s="391">
        <v>0.25030999999999998</v>
      </c>
      <c r="I37" s="197">
        <f t="shared" ref="I37:I44" si="3">G37*H37</f>
        <v>1338858.6286199999</v>
      </c>
      <c r="J37" s="201" t="s">
        <v>38</v>
      </c>
      <c r="K37" s="265">
        <f>K24</f>
        <v>1257156</v>
      </c>
      <c r="L37" s="391">
        <v>0.25031999999999999</v>
      </c>
      <c r="M37" s="197">
        <f t="shared" si="2"/>
        <v>314691.28992000001</v>
      </c>
      <c r="P37" s="275"/>
      <c r="Q37" s="275"/>
    </row>
    <row r="38" spans="1:17" ht="15.6">
      <c r="A38" s="144" t="s">
        <v>14</v>
      </c>
      <c r="B38" s="540" t="s">
        <v>115</v>
      </c>
      <c r="C38" s="122"/>
      <c r="D38" s="36"/>
      <c r="F38" s="201" t="s">
        <v>332</v>
      </c>
      <c r="G38" s="265">
        <f>G24</f>
        <v>12171</v>
      </c>
      <c r="H38" s="391">
        <v>0.25030999999999998</v>
      </c>
      <c r="I38" s="197">
        <f t="shared" si="3"/>
        <v>3046.5230099999999</v>
      </c>
      <c r="J38" s="201" t="s">
        <v>39</v>
      </c>
      <c r="K38" s="265">
        <f>K25</f>
        <v>11807</v>
      </c>
      <c r="L38" s="391">
        <v>0.25031999999999999</v>
      </c>
      <c r="M38" s="197">
        <f t="shared" si="2"/>
        <v>2955.5282399999996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-47883.42</v>
      </c>
      <c r="D39" s="36"/>
      <c r="F39" s="201" t="s">
        <v>38</v>
      </c>
      <c r="G39" s="265">
        <f t="shared" ref="G39:G44" si="4">G25</f>
        <v>2668983</v>
      </c>
      <c r="H39" s="391">
        <v>0.25030999999999998</v>
      </c>
      <c r="I39" s="197">
        <f t="shared" si="3"/>
        <v>668073.13472999993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1252084.5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6928.5</v>
      </c>
      <c r="D41" s="36"/>
      <c r="F41" s="201" t="s">
        <v>40</v>
      </c>
      <c r="G41" s="265">
        <f t="shared" si="4"/>
        <v>227877</v>
      </c>
      <c r="H41" s="391">
        <v>0.25030999999999998</v>
      </c>
      <c r="I41" s="197">
        <f t="shared" si="3"/>
        <v>57039.891869999992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157697.09</v>
      </c>
      <c r="D42" s="37"/>
      <c r="F42" s="201" t="s">
        <v>41</v>
      </c>
      <c r="G42" s="265">
        <f t="shared" si="4"/>
        <v>54523</v>
      </c>
      <c r="H42" s="391">
        <v>0.25030999999999998</v>
      </c>
      <c r="I42" s="197">
        <f t="shared" si="3"/>
        <v>13647.652129999999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7151269.4399999995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3932071</v>
      </c>
      <c r="L43" s="183"/>
      <c r="M43" s="198">
        <f>SUM(M36:M42)</f>
        <v>984276.01272</v>
      </c>
    </row>
    <row r="44" spans="1:17" ht="16.2" thickBot="1">
      <c r="A44" s="83" t="s">
        <v>178</v>
      </c>
      <c r="B44" s="84" t="s">
        <v>120</v>
      </c>
      <c r="C44" s="242">
        <f>-1399262.23</f>
        <v>-1399262.23</v>
      </c>
      <c r="D44" s="37"/>
      <c r="F44" s="201" t="s">
        <v>43</v>
      </c>
      <c r="G44" s="265">
        <f t="shared" si="4"/>
        <v>82073</v>
      </c>
      <c r="H44" s="391">
        <v>0.25030999999999998</v>
      </c>
      <c r="I44" s="197">
        <f t="shared" si="3"/>
        <v>20543.692629999998</v>
      </c>
      <c r="J44" s="195"/>
      <c r="K44" s="233">
        <v>3932071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8394429</v>
      </c>
      <c r="H45" s="183"/>
      <c r="I45" s="198">
        <f>SUM(I37:I44)</f>
        <v>2101209.52299</v>
      </c>
      <c r="J45" s="85"/>
      <c r="K45" s="231">
        <f>K43-K44</f>
        <v>0</v>
      </c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8394429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231"/>
      <c r="L47" s="387"/>
      <c r="M47" s="124"/>
    </row>
    <row r="48" spans="1:17" ht="16.2" thickBot="1">
      <c r="A48" s="144" t="s">
        <v>330</v>
      </c>
      <c r="B48" s="6" t="s">
        <v>115</v>
      </c>
      <c r="C48" s="12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27357.64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122">
        <v>1109.81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6641.19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88719.809999999983</v>
      </c>
      <c r="D52" s="33"/>
      <c r="F52" s="387" t="s">
        <v>136</v>
      </c>
      <c r="G52" s="387"/>
      <c r="H52" s="213">
        <f>K12</f>
        <v>-152316.90579000115</v>
      </c>
      <c r="I52" s="115">
        <f>I14</f>
        <v>1523357.1381700002</v>
      </c>
      <c r="J52" s="115">
        <f>L12</f>
        <v>-71669.724210000524</v>
      </c>
      <c r="K52" s="115">
        <f>J14</f>
        <v>632540.31183000002</v>
      </c>
      <c r="L52" s="132">
        <f>SUM(H52:K52)</f>
        <v>1931910.8199999984</v>
      </c>
      <c r="M52" s="387"/>
    </row>
    <row r="53" spans="1:21" ht="16.2" thickBot="1">
      <c r="A53" s="384" t="s">
        <v>124</v>
      </c>
      <c r="B53" s="475" t="s">
        <v>316</v>
      </c>
      <c r="C53" s="314">
        <f>-3360523.15-941112.75-1442894.35</f>
        <v>-5744530.25</v>
      </c>
      <c r="D53" s="36"/>
      <c r="F53" s="386" t="s">
        <v>109</v>
      </c>
      <c r="H53" s="213">
        <f>-I45</f>
        <v>-2101209.52299</v>
      </c>
      <c r="I53" s="115">
        <f>-I32</f>
        <v>-991850.11988000001</v>
      </c>
      <c r="J53" s="115">
        <f>-M43</f>
        <v>-984276.01272</v>
      </c>
      <c r="K53" s="115">
        <f>-M28</f>
        <v>-426826.30705</v>
      </c>
      <c r="L53" s="263">
        <f>SUM(H53:K53)</f>
        <v>-4504161.9626400005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-2572251.1426400021</v>
      </c>
    </row>
    <row r="55" spans="1:21" ht="16.2" thickBot="1">
      <c r="A55" s="82" t="s">
        <v>119</v>
      </c>
      <c r="B55" s="84"/>
      <c r="C55" s="160">
        <f>SUM(C43:C54)</f>
        <v>-236694.59000000171</v>
      </c>
      <c r="D55" s="36"/>
      <c r="F55" s="386" t="s">
        <v>71</v>
      </c>
      <c r="H55" s="125">
        <f>IFERROR(H52+H53+H54,0)</f>
        <v>-2253526.4287800011</v>
      </c>
      <c r="I55" s="125">
        <f>I52+I53+I54</f>
        <v>531507.01829000015</v>
      </c>
      <c r="J55" s="125">
        <f>IFERROR(J52+J53+J54,0)</f>
        <v>-1055945.7369300006</v>
      </c>
      <c r="K55" s="125">
        <f>K52+K53+K54</f>
        <v>205714.00478000002</v>
      </c>
      <c r="L55" s="47">
        <f>SUM(H55:K55)</f>
        <v>-2572251.1426400016</v>
      </c>
    </row>
    <row r="56" spans="1:21" ht="16.8" thickTop="1" thickBot="1">
      <c r="A56" s="386" t="s">
        <v>121</v>
      </c>
      <c r="B56" s="6" t="s">
        <v>115</v>
      </c>
      <c r="C56" s="122">
        <v>8872.11</v>
      </c>
      <c r="D56" s="36"/>
      <c r="F56" s="241" t="s">
        <v>182</v>
      </c>
      <c r="H56" s="386" t="s">
        <v>173</v>
      </c>
      <c r="I56" s="5">
        <f>SUM(H55:I55)</f>
        <v>-1722019.4104900011</v>
      </c>
      <c r="J56" s="15" t="s">
        <v>174</v>
      </c>
      <c r="K56" s="386">
        <f>SUM(J55:K55)</f>
        <v>-850231.73215000052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3835.85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-223986.63000000172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1931910.8199999984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v>1931910.82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-4504161.9626400005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37" priority="9" stopIfTrue="1" operator="equal">
      <formula>0</formula>
    </cfRule>
    <cfRule type="cellIs" dxfId="636" priority="10" stopIfTrue="1" operator="notEqual">
      <formula>0</formula>
    </cfRule>
  </conditionalFormatting>
  <conditionalFormatting sqref="G34 G47 K30 K47">
    <cfRule type="cellIs" dxfId="635" priority="8" operator="notEqual">
      <formula>0</formula>
    </cfRule>
  </conditionalFormatting>
  <conditionalFormatting sqref="C62">
    <cfRule type="cellIs" dxfId="634" priority="6" stopIfTrue="1" operator="equal">
      <formula>0</formula>
    </cfRule>
    <cfRule type="cellIs" dxfId="633" priority="7" stopIfTrue="1" operator="notEqual">
      <formula>0</formula>
    </cfRule>
  </conditionalFormatting>
  <conditionalFormatting sqref="K30">
    <cfRule type="cellIs" dxfId="632" priority="5" operator="notEqual">
      <formula>0</formula>
    </cfRule>
  </conditionalFormatting>
  <conditionalFormatting sqref="G59">
    <cfRule type="cellIs" dxfId="631" priority="4" operator="equal">
      <formula>"""ERROR"""</formula>
    </cfRule>
  </conditionalFormatting>
  <conditionalFormatting sqref="G59">
    <cfRule type="cellIs" dxfId="630" priority="3" operator="equal">
      <formula>"ERROR"</formula>
    </cfRule>
  </conditionalFormatting>
  <conditionalFormatting sqref="G59">
    <cfRule type="cellIs" dxfId="629" priority="2" operator="equal">
      <formula>"ERROR"</formula>
    </cfRule>
  </conditionalFormatting>
  <conditionalFormatting sqref="K45">
    <cfRule type="cellIs" dxfId="628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horizontalDpi="300" verticalDpi="300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4"/>
  <sheetViews>
    <sheetView showGridLines="0" topLeftCell="A16" zoomScale="70" zoomScaleNormal="70" workbookViewId="0">
      <selection activeCell="G29" sqref="G29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Apr!C1+1</f>
        <v>201605</v>
      </c>
      <c r="F1" s="534">
        <f>C1</f>
        <v>201605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314">
        <f>1688.63+4527421.66</f>
        <v>4529110.29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314">
        <f>84651.84+205.86</f>
        <v>84857.7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0.66579999999999995</v>
      </c>
      <c r="L5" s="447">
        <f>1-K5</f>
        <v>0.33420000000000005</v>
      </c>
      <c r="M5" s="387"/>
    </row>
    <row r="6" spans="1:13" ht="16.2" thickBot="1">
      <c r="A6" s="49" t="s">
        <v>30</v>
      </c>
      <c r="C6" s="315">
        <f>-2278962.29-443548-73628.97-126728-142569-81739.56-102092.08</f>
        <v>-3249267.9000000004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1364700.0899999999</v>
      </c>
      <c r="D7" s="35"/>
      <c r="F7" s="167" t="s">
        <v>139</v>
      </c>
      <c r="G7" s="167"/>
      <c r="H7" s="125">
        <f>C34</f>
        <v>2102741.5199999996</v>
      </c>
      <c r="I7" s="168">
        <f>H7*I5</f>
        <v>1485797.1580319996</v>
      </c>
      <c r="J7" s="168">
        <f>H7*J5</f>
        <v>616944.36196799984</v>
      </c>
      <c r="K7" s="168"/>
      <c r="L7" s="168"/>
      <c r="M7" s="387"/>
    </row>
    <row r="8" spans="1:13" ht="15.6">
      <c r="A8" s="386" t="s">
        <v>89</v>
      </c>
      <c r="C8" s="314">
        <f>191512.75</f>
        <v>191512.75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314">
        <f>262.47+5788.99</f>
        <v>6051.46</v>
      </c>
      <c r="D9" s="36"/>
      <c r="F9" s="167" t="s">
        <v>119</v>
      </c>
      <c r="G9" s="387"/>
      <c r="H9" s="168">
        <f>C55</f>
        <v>187587.57999999821</v>
      </c>
      <c r="I9" s="168"/>
      <c r="J9" s="168"/>
      <c r="K9" s="168">
        <f>H9*K5</f>
        <v>124895.8107639988</v>
      </c>
      <c r="L9" s="168">
        <f>H9*L5</f>
        <v>62691.769235999411</v>
      </c>
      <c r="M9" s="387"/>
    </row>
    <row r="10" spans="1:13" ht="15.6">
      <c r="A10" s="49" t="s">
        <v>91</v>
      </c>
      <c r="C10" s="315">
        <v>-3418.47</v>
      </c>
      <c r="D10" s="36"/>
      <c r="F10" s="170" t="s">
        <v>44</v>
      </c>
      <c r="G10" s="387"/>
      <c r="H10" s="168">
        <f>C56</f>
        <v>14694.57</v>
      </c>
      <c r="I10" s="168"/>
      <c r="J10" s="168"/>
      <c r="K10" s="168">
        <f>H10</f>
        <v>14694.57</v>
      </c>
      <c r="L10" s="168"/>
      <c r="M10" s="387"/>
    </row>
    <row r="11" spans="1:13">
      <c r="A11" s="66" t="s">
        <v>145</v>
      </c>
      <c r="C11" s="100">
        <f>SUM(C8:C10)</f>
        <v>194145.74</v>
      </c>
      <c r="D11" s="36"/>
      <c r="F11" s="170" t="s">
        <v>45</v>
      </c>
      <c r="G11" s="387"/>
      <c r="H11" s="171">
        <f>C57</f>
        <v>6585.31</v>
      </c>
      <c r="I11" s="168"/>
      <c r="J11" s="168"/>
      <c r="K11" s="171"/>
      <c r="L11" s="171">
        <f>H11</f>
        <v>6585.31</v>
      </c>
      <c r="M11" s="387"/>
    </row>
    <row r="12" spans="1:13" ht="15.6">
      <c r="A12" s="386" t="s">
        <v>165</v>
      </c>
      <c r="C12" s="314">
        <f>-10030.51+209761.23</f>
        <v>199730.72</v>
      </c>
      <c r="D12" s="36"/>
      <c r="F12" s="170" t="s">
        <v>138</v>
      </c>
      <c r="G12" s="387"/>
      <c r="H12" s="168">
        <f>H9+H10+H11</f>
        <v>208867.45999999822</v>
      </c>
      <c r="I12" s="168"/>
      <c r="J12" s="168"/>
      <c r="K12" s="168">
        <f>SUM(K9:K11)</f>
        <v>139590.38076399881</v>
      </c>
      <c r="L12" s="168">
        <f>SUM(L9:L11)</f>
        <v>69277.079235999408</v>
      </c>
      <c r="M12" s="387"/>
    </row>
    <row r="13" spans="1:13" ht="16.2" thickBot="1">
      <c r="A13" s="49" t="s">
        <v>166</v>
      </c>
      <c r="C13" s="315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199730.72</v>
      </c>
      <c r="D14" s="37"/>
      <c r="F14" s="50" t="s">
        <v>69</v>
      </c>
      <c r="G14" s="176"/>
      <c r="H14" s="125">
        <f>H12+H7</f>
        <v>2311608.9799999977</v>
      </c>
      <c r="I14" s="177">
        <f>SUM(I7:I13)</f>
        <v>1485797.1580319996</v>
      </c>
      <c r="J14" s="177">
        <f>SUM(J7:J13)</f>
        <v>616944.36196799984</v>
      </c>
      <c r="K14" s="177">
        <f>K12</f>
        <v>139590.38076399881</v>
      </c>
      <c r="L14" s="177">
        <f>L12</f>
        <v>69277.079235999408</v>
      </c>
      <c r="M14" s="387"/>
    </row>
    <row r="15" spans="1:13" ht="15.6">
      <c r="A15" s="386" t="s">
        <v>184</v>
      </c>
      <c r="C15" s="314">
        <f>-19266.16+402896.59</f>
        <v>383630.43000000005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383630.43000000005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314">
        <f>64881.44+6168.15-3397.5</f>
        <v>67652.09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315">
        <f>3059.94</f>
        <v>3059.94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70712.03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315">
        <f>-495.46+1850</f>
        <v>1354.54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1354.54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264">
        <v>3384728</v>
      </c>
      <c r="H23" s="391">
        <v>0.12132999999999999</v>
      </c>
      <c r="I23" s="197">
        <f t="shared" ref="I23:I31" si="0">G23*H23</f>
        <v>410669.04823999997</v>
      </c>
      <c r="J23" s="201" t="s">
        <v>37</v>
      </c>
      <c r="K23" s="264">
        <v>1813665</v>
      </c>
      <c r="L23" s="391">
        <v>0.10854999999999999</v>
      </c>
      <c r="M23" s="197">
        <f>K23*L23</f>
        <v>196873.33575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264">
        <v>5734</v>
      </c>
      <c r="H24" s="391">
        <v>0.12132999999999999</v>
      </c>
      <c r="I24" s="197">
        <f t="shared" si="0"/>
        <v>695.70621999999992</v>
      </c>
      <c r="J24" s="201" t="s">
        <v>38</v>
      </c>
      <c r="K24" s="264">
        <v>1182789</v>
      </c>
      <c r="L24" s="391">
        <v>0.10854999999999999</v>
      </c>
      <c r="M24" s="197">
        <f t="shared" ref="M24:M27" si="1">K24*L24</f>
        <v>128391.74595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264">
        <v>2221542</v>
      </c>
      <c r="H25" s="391">
        <v>0.11426</v>
      </c>
      <c r="I25" s="197">
        <f t="shared" si="0"/>
        <v>253833.38892</v>
      </c>
      <c r="J25" s="201" t="s">
        <v>39</v>
      </c>
      <c r="K25" s="264">
        <v>27568</v>
      </c>
      <c r="L25" s="391">
        <v>0.10854999999999999</v>
      </c>
      <c r="M25" s="197">
        <f t="shared" si="1"/>
        <v>2992.5063999999998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264">
        <v>0</v>
      </c>
      <c r="H26" s="391">
        <v>0.11426</v>
      </c>
      <c r="I26" s="197">
        <f t="shared" si="0"/>
        <v>0</v>
      </c>
      <c r="J26" s="201" t="s">
        <v>40</v>
      </c>
      <c r="K26" s="26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264">
        <v>311290</v>
      </c>
      <c r="H27" s="391">
        <v>0.10385</v>
      </c>
      <c r="I27" s="197">
        <f t="shared" si="0"/>
        <v>32327.466499999999</v>
      </c>
      <c r="J27" s="201" t="s">
        <v>41</v>
      </c>
      <c r="K27" s="26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264">
        <v>42598</v>
      </c>
      <c r="H28" s="391">
        <v>0.10385</v>
      </c>
      <c r="I28" s="197">
        <f t="shared" si="0"/>
        <v>4423.8023000000003</v>
      </c>
      <c r="J28" s="200" t="s">
        <v>127</v>
      </c>
      <c r="K28" s="182">
        <f>SUM(K23:K27)</f>
        <v>3024022</v>
      </c>
      <c r="L28" s="183"/>
      <c r="M28" s="198">
        <f>SUM(M23:M27)</f>
        <v>328257.58809999999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264">
        <v>0</v>
      </c>
      <c r="H29" s="391">
        <v>7.1069999999999994E-2</v>
      </c>
      <c r="I29" s="197">
        <f t="shared" si="0"/>
        <v>0</v>
      </c>
      <c r="J29" s="200"/>
      <c r="K29" s="232">
        <v>3024022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2214273.5499999998</v>
      </c>
      <c r="D30" s="37"/>
      <c r="F30" s="201" t="s">
        <v>43</v>
      </c>
      <c r="G30" s="264">
        <v>57685</v>
      </c>
      <c r="H30" s="391">
        <v>7.1069999999999994E-2</v>
      </c>
      <c r="I30" s="197">
        <f t="shared" si="0"/>
        <v>4099.6729499999992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314">
        <v>-17562.93</v>
      </c>
      <c r="D31" s="39"/>
      <c r="F31" s="201" t="s">
        <v>74</v>
      </c>
      <c r="G31" s="264">
        <v>2359261</v>
      </c>
      <c r="H31" s="391">
        <v>5.4000000000000001E-4</v>
      </c>
      <c r="I31" s="197">
        <f t="shared" si="0"/>
        <v>1274.0009400000001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2196710.6199999996</v>
      </c>
      <c r="D32" s="40"/>
      <c r="F32" s="200" t="s">
        <v>127</v>
      </c>
      <c r="G32" s="182">
        <f>SUM(G23:G31)</f>
        <v>8382838</v>
      </c>
      <c r="H32" s="7"/>
      <c r="I32" s="198">
        <f>SUM(I23:I31)</f>
        <v>707323.08607000008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-93969.1</v>
      </c>
      <c r="D33" s="36"/>
      <c r="F33" s="187"/>
      <c r="G33" s="232">
        <v>8382838</v>
      </c>
      <c r="H33" s="188" t="s">
        <v>102</v>
      </c>
      <c r="I33" s="217">
        <f>I32/G32</f>
        <v>8.4377520604597162E-2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2102741.5199999996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1813665</v>
      </c>
      <c r="L36" s="391">
        <v>0.25031999999999999</v>
      </c>
      <c r="M36" s="197">
        <f t="shared" ref="M36:M42" si="2">K36*L36</f>
        <v>453996.62279999995</v>
      </c>
      <c r="P36" s="275"/>
      <c r="Q36" s="275"/>
    </row>
    <row r="37" spans="1:17" ht="15.6">
      <c r="A37" s="7" t="s">
        <v>129</v>
      </c>
      <c r="B37" s="540" t="s">
        <v>115</v>
      </c>
      <c r="C37" s="122">
        <v>5633800.2000000002</v>
      </c>
      <c r="D37" s="36"/>
      <c r="F37" s="201" t="s">
        <v>37</v>
      </c>
      <c r="G37" s="265">
        <f>G23</f>
        <v>3384728</v>
      </c>
      <c r="H37" s="391">
        <v>0.25030999999999998</v>
      </c>
      <c r="I37" s="197">
        <f t="shared" ref="I37:I44" si="3">G37*H37</f>
        <v>847231.26567999995</v>
      </c>
      <c r="J37" s="201" t="s">
        <v>38</v>
      </c>
      <c r="K37" s="265">
        <f>K24</f>
        <v>1182789</v>
      </c>
      <c r="L37" s="391">
        <v>0.25031999999999999</v>
      </c>
      <c r="M37" s="197">
        <f t="shared" si="2"/>
        <v>296075.74247999996</v>
      </c>
      <c r="P37" s="275"/>
      <c r="Q37" s="275"/>
    </row>
    <row r="38" spans="1:17" ht="15.6">
      <c r="A38" s="144" t="s">
        <v>14</v>
      </c>
      <c r="B38" s="540" t="s">
        <v>115</v>
      </c>
      <c r="C38" s="122"/>
      <c r="D38" s="36"/>
      <c r="F38" s="201" t="s">
        <v>332</v>
      </c>
      <c r="G38" s="265">
        <f>G24</f>
        <v>5734</v>
      </c>
      <c r="H38" s="391">
        <v>0.25030999999999998</v>
      </c>
      <c r="I38" s="197">
        <f t="shared" si="3"/>
        <v>1435.2775399999998</v>
      </c>
      <c r="J38" s="201" t="s">
        <v>39</v>
      </c>
      <c r="K38" s="265">
        <f>K25</f>
        <v>27568</v>
      </c>
      <c r="L38" s="391">
        <v>0.25031999999999999</v>
      </c>
      <c r="M38" s="197">
        <f t="shared" si="2"/>
        <v>6900.8217599999998</v>
      </c>
      <c r="P38" s="275"/>
      <c r="Q38" s="275"/>
    </row>
    <row r="39" spans="1:17" ht="15.6">
      <c r="A39" s="7" t="s">
        <v>146</v>
      </c>
      <c r="B39" s="540" t="s">
        <v>147</v>
      </c>
      <c r="C39" s="122">
        <v>-42392.5</v>
      </c>
      <c r="D39" s="36"/>
      <c r="F39" s="201" t="s">
        <v>38</v>
      </c>
      <c r="G39" s="265">
        <f t="shared" ref="G39:G44" si="4">G25</f>
        <v>2221542</v>
      </c>
      <c r="H39" s="391">
        <v>0.25030999999999998</v>
      </c>
      <c r="I39" s="197">
        <f t="shared" si="3"/>
        <v>556074.17801999999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122">
        <v>1537559.73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122">
        <v>64968.46</v>
      </c>
      <c r="D41" s="36"/>
      <c r="F41" s="201" t="s">
        <v>40</v>
      </c>
      <c r="G41" s="265">
        <f t="shared" si="4"/>
        <v>311290</v>
      </c>
      <c r="H41" s="391">
        <v>0.25030999999999998</v>
      </c>
      <c r="I41" s="197">
        <f t="shared" si="3"/>
        <v>77918.999899999995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122">
        <v>485608.1</v>
      </c>
      <c r="D42" s="37"/>
      <c r="F42" s="201" t="s">
        <v>41</v>
      </c>
      <c r="G42" s="265">
        <f t="shared" si="4"/>
        <v>42598</v>
      </c>
      <c r="H42" s="391">
        <v>0.25030999999999998</v>
      </c>
      <c r="I42" s="197">
        <f t="shared" si="3"/>
        <v>10662.705379999999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7679543.9899999993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3024022</v>
      </c>
      <c r="L43" s="183"/>
      <c r="M43" s="198">
        <f>SUM(M36:M42)</f>
        <v>756973.18703999987</v>
      </c>
    </row>
    <row r="44" spans="1:17" ht="16.2" thickBot="1">
      <c r="A44" s="83" t="s">
        <v>178</v>
      </c>
      <c r="B44" s="84" t="s">
        <v>120</v>
      </c>
      <c r="C44" s="242">
        <f>324454.31+10765.44-3047644.61</f>
        <v>-2712424.86</v>
      </c>
      <c r="D44" s="37"/>
      <c r="F44" s="201" t="s">
        <v>43</v>
      </c>
      <c r="G44" s="265">
        <f t="shared" si="4"/>
        <v>57685</v>
      </c>
      <c r="H44" s="391">
        <v>0.25030999999999998</v>
      </c>
      <c r="I44" s="197">
        <f t="shared" si="3"/>
        <v>14439.132349999998</v>
      </c>
      <c r="J44" s="195"/>
      <c r="K44" s="233">
        <v>3024022</v>
      </c>
      <c r="L44" s="190" t="s">
        <v>102</v>
      </c>
      <c r="M44" s="218">
        <f>M43/K43</f>
        <v>0.25031999999999993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6023577</v>
      </c>
      <c r="H45" s="183"/>
      <c r="I45" s="198">
        <f>SUM(I37:I44)</f>
        <v>1507761.5588699998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6023577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/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222</v>
      </c>
      <c r="B48" s="6" t="s">
        <v>115</v>
      </c>
      <c r="C48" s="12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122">
        <v>21593.07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175</v>
      </c>
      <c r="B50" s="540" t="s">
        <v>152</v>
      </c>
      <c r="C50" s="122">
        <v>1386.64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122">
        <v>5630.64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22" t="s">
        <v>118</v>
      </c>
      <c r="B52" s="6"/>
      <c r="C52" s="100">
        <f>-C33</f>
        <v>93969.1</v>
      </c>
      <c r="D52" s="33"/>
      <c r="F52" s="387" t="s">
        <v>136</v>
      </c>
      <c r="G52" s="387"/>
      <c r="H52" s="213">
        <f>K12</f>
        <v>139590.38076399881</v>
      </c>
      <c r="I52" s="115">
        <f>I14</f>
        <v>1485797.1580319996</v>
      </c>
      <c r="J52" s="115">
        <f>L12</f>
        <v>69277.079235999408</v>
      </c>
      <c r="K52" s="115">
        <f>J14</f>
        <v>616944.36196799984</v>
      </c>
      <c r="L52" s="132">
        <f>SUM(H52:K52)</f>
        <v>2311608.9799999977</v>
      </c>
      <c r="M52" s="387"/>
    </row>
    <row r="53" spans="1:21" ht="16.2" thickBot="1">
      <c r="A53" s="384" t="s">
        <v>124</v>
      </c>
      <c r="B53" s="475" t="s">
        <v>316</v>
      </c>
      <c r="C53" s="314">
        <f>-783129.76-2378351.17-1372630.07</f>
        <v>-4534111</v>
      </c>
      <c r="D53" s="36"/>
      <c r="F53" s="386" t="s">
        <v>109</v>
      </c>
      <c r="H53" s="213">
        <f>-I45</f>
        <v>-1507761.5588699998</v>
      </c>
      <c r="I53" s="115">
        <f>-I32</f>
        <v>-707323.08607000008</v>
      </c>
      <c r="J53" s="115">
        <f>-M43</f>
        <v>-756973.18703999987</v>
      </c>
      <c r="K53" s="115">
        <f>-M28</f>
        <v>-328257.58809999999</v>
      </c>
      <c r="L53" s="263">
        <f>SUM(H53:K53)</f>
        <v>-3300315.4200799996</v>
      </c>
    </row>
    <row r="54" spans="1:21" ht="16.2" thickBot="1">
      <c r="A54" s="386" t="s">
        <v>191</v>
      </c>
      <c r="B54" s="6" t="s">
        <v>192</v>
      </c>
      <c r="C54" s="12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-988706.44008000195</v>
      </c>
    </row>
    <row r="55" spans="1:21" ht="16.2" thickBot="1">
      <c r="A55" s="82" t="s">
        <v>119</v>
      </c>
      <c r="B55" s="84"/>
      <c r="C55" s="160">
        <f>SUM(C43:C54)</f>
        <v>187587.57999999821</v>
      </c>
      <c r="D55" s="36"/>
      <c r="F55" s="386" t="s">
        <v>71</v>
      </c>
      <c r="H55" s="125">
        <f>IFERROR(H52+H53+H54,0)</f>
        <v>-1368171.1781060011</v>
      </c>
      <c r="I55" s="125">
        <f>I52+I53+I54</f>
        <v>778474.07196199952</v>
      </c>
      <c r="J55" s="125">
        <f>IFERROR(J52+J53+J54,0)</f>
        <v>-687696.10780400049</v>
      </c>
      <c r="K55" s="125">
        <f>K52+K53+K54</f>
        <v>288686.77386799984</v>
      </c>
      <c r="L55" s="47">
        <f>SUM(H55:K55)</f>
        <v>-988706.44008000218</v>
      </c>
    </row>
    <row r="56" spans="1:21" ht="16.8" thickTop="1" thickBot="1">
      <c r="A56" s="386" t="s">
        <v>121</v>
      </c>
      <c r="B56" s="6" t="s">
        <v>115</v>
      </c>
      <c r="C56" s="122">
        <v>14694.57</v>
      </c>
      <c r="D56" s="36"/>
      <c r="F56" s="241" t="s">
        <v>182</v>
      </c>
      <c r="H56" s="386" t="s">
        <v>173</v>
      </c>
      <c r="I56" s="5">
        <f>SUM(H55:I55)</f>
        <v>-589697.10614400159</v>
      </c>
      <c r="J56" s="15" t="s">
        <v>174</v>
      </c>
      <c r="K56" s="386">
        <f>SUM(J55:K55)</f>
        <v>-399009.33393600065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122">
        <v>6585.31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208867.45999999822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2311608.9799999977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352">
        <f>2311608.98</f>
        <v>2311608.98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-3300315.4200799996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27" priority="7" stopIfTrue="1" operator="equal">
      <formula>0</formula>
    </cfRule>
    <cfRule type="cellIs" dxfId="626" priority="8" stopIfTrue="1" operator="notEqual">
      <formula>0</formula>
    </cfRule>
  </conditionalFormatting>
  <conditionalFormatting sqref="G34 G47 K30 K47">
    <cfRule type="cellIs" dxfId="625" priority="6" operator="notEqual">
      <formula>0</formula>
    </cfRule>
  </conditionalFormatting>
  <conditionalFormatting sqref="C62">
    <cfRule type="cellIs" dxfId="624" priority="4" stopIfTrue="1" operator="equal">
      <formula>0</formula>
    </cfRule>
    <cfRule type="cellIs" dxfId="623" priority="5" stopIfTrue="1" operator="notEqual">
      <formula>0</formula>
    </cfRule>
  </conditionalFormatting>
  <conditionalFormatting sqref="K30">
    <cfRule type="cellIs" dxfId="622" priority="3" operator="notEqual">
      <formula>0</formula>
    </cfRule>
  </conditionalFormatting>
  <conditionalFormatting sqref="G59">
    <cfRule type="cellIs" dxfId="621" priority="2" operator="equal">
      <formula>"ERROR"</formula>
    </cfRule>
  </conditionalFormatting>
  <conditionalFormatting sqref="G59">
    <cfRule type="cellIs" dxfId="620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4"/>
  <sheetViews>
    <sheetView showGridLines="0" zoomScale="70" zoomScaleNormal="70" workbookViewId="0">
      <selection activeCell="C21" sqref="C21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May!C1+1</f>
        <v>201606</v>
      </c>
      <c r="F1" s="534">
        <f>C1</f>
        <v>201606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592">
        <f>4350258.78+1634.16</f>
        <v>4351892.9400000004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592">
        <f>301.46+71248.7</f>
        <v>71550.16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0.66279999999999994</v>
      </c>
      <c r="L5" s="447">
        <f>1-K5</f>
        <v>0.33720000000000006</v>
      </c>
      <c r="M5" s="387"/>
    </row>
    <row r="6" spans="1:13" ht="16.2" thickBot="1">
      <c r="A6" s="49" t="s">
        <v>30</v>
      </c>
      <c r="C6" s="593">
        <f>-2173904.54-429324-71267.78-122664-137997-79118.28-98818.12</f>
        <v>-3113093.7199999997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1310349.3800000008</v>
      </c>
      <c r="D7" s="35"/>
      <c r="F7" s="167" t="s">
        <v>139</v>
      </c>
      <c r="G7" s="167"/>
      <c r="H7" s="125">
        <f>C34</f>
        <v>2122431.3200000012</v>
      </c>
      <c r="I7" s="168">
        <f>H7*I5</f>
        <v>1499709.970712001</v>
      </c>
      <c r="J7" s="168">
        <f>H7*J5</f>
        <v>622721.34928800038</v>
      </c>
      <c r="K7" s="168"/>
      <c r="L7" s="168"/>
      <c r="M7" s="387"/>
    </row>
    <row r="8" spans="1:13" ht="15.6">
      <c r="A8" s="386" t="s">
        <v>89</v>
      </c>
      <c r="C8" s="592">
        <f>185334.94</f>
        <v>185334.94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592">
        <f>4340.28+113.44</f>
        <v>4453.7199999999993</v>
      </c>
      <c r="D9" s="36"/>
      <c r="F9" s="167" t="s">
        <v>119</v>
      </c>
      <c r="G9" s="387"/>
      <c r="H9" s="168">
        <f>C55</f>
        <v>-1670911.5999999968</v>
      </c>
      <c r="I9" s="168"/>
      <c r="J9" s="168"/>
      <c r="K9" s="168">
        <f>H9*K5</f>
        <v>-1107480.2084799977</v>
      </c>
      <c r="L9" s="168">
        <f>H9*L5</f>
        <v>-563431.39151999902</v>
      </c>
      <c r="M9" s="387"/>
    </row>
    <row r="10" spans="1:13" ht="15.6">
      <c r="A10" s="49" t="s">
        <v>91</v>
      </c>
      <c r="C10" s="593">
        <v>-3308.2</v>
      </c>
      <c r="D10" s="36"/>
      <c r="F10" s="170" t="s">
        <v>44</v>
      </c>
      <c r="G10" s="387"/>
      <c r="H10" s="168">
        <f>C56</f>
        <v>-6763.44</v>
      </c>
      <c r="I10" s="168"/>
      <c r="J10" s="168"/>
      <c r="K10" s="168">
        <f>H10</f>
        <v>-6763.44</v>
      </c>
      <c r="L10" s="168"/>
      <c r="M10" s="387"/>
    </row>
    <row r="11" spans="1:13">
      <c r="A11" s="66" t="s">
        <v>145</v>
      </c>
      <c r="C11" s="100">
        <f>SUM(C8:C10)</f>
        <v>186480.46</v>
      </c>
      <c r="D11" s="36"/>
      <c r="F11" s="170" t="s">
        <v>45</v>
      </c>
      <c r="G11" s="387"/>
      <c r="H11" s="171">
        <f>C57</f>
        <v>-3476.54</v>
      </c>
      <c r="I11" s="168"/>
      <c r="J11" s="168"/>
      <c r="K11" s="171"/>
      <c r="L11" s="171">
        <f>H11</f>
        <v>-3476.54</v>
      </c>
      <c r="M11" s="387"/>
    </row>
    <row r="12" spans="1:13" ht="15.6">
      <c r="A12" s="386" t="s">
        <v>165</v>
      </c>
      <c r="C12" s="592">
        <f>212570.9+5309.47</f>
        <v>217880.37</v>
      </c>
      <c r="D12" s="36"/>
      <c r="F12" s="170" t="s">
        <v>138</v>
      </c>
      <c r="G12" s="387"/>
      <c r="H12" s="168">
        <f>H9+H10+H11</f>
        <v>-1681151.5799999968</v>
      </c>
      <c r="I12" s="168"/>
      <c r="J12" s="168"/>
      <c r="K12" s="168">
        <f>SUM(K9:K11)</f>
        <v>-1114243.6484799976</v>
      </c>
      <c r="L12" s="168">
        <f>SUM(L9:L11)</f>
        <v>-566907.93151999905</v>
      </c>
      <c r="M12" s="387"/>
    </row>
    <row r="13" spans="1:13" ht="16.2" thickBot="1">
      <c r="A13" s="49" t="s">
        <v>166</v>
      </c>
      <c r="C13" s="593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217880.37</v>
      </c>
      <c r="D14" s="37"/>
      <c r="F14" s="50" t="s">
        <v>69</v>
      </c>
      <c r="G14" s="176"/>
      <c r="H14" s="125">
        <f>H12+H7</f>
        <v>441279.74000000441</v>
      </c>
      <c r="I14" s="177">
        <f>SUM(I7:I13)</f>
        <v>1499709.970712001</v>
      </c>
      <c r="J14" s="177">
        <f>SUM(J7:J13)</f>
        <v>622721.34928800038</v>
      </c>
      <c r="K14" s="177">
        <f>K12</f>
        <v>-1114243.6484799976</v>
      </c>
      <c r="L14" s="177">
        <f>L12</f>
        <v>-566907.93151999905</v>
      </c>
      <c r="M14" s="387"/>
    </row>
    <row r="15" spans="1:13" ht="15.6">
      <c r="A15" s="386" t="s">
        <v>184</v>
      </c>
      <c r="C15" s="592">
        <f>408293.23+10198.91</f>
        <v>418492.13999999996</v>
      </c>
      <c r="D15" s="36"/>
      <c r="F15" s="172"/>
      <c r="G15" s="173" t="s">
        <v>102</v>
      </c>
      <c r="H15" s="174">
        <f>H14-C60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418492.13999999996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592">
        <f>1290.46+6250.77+65750.5</f>
        <v>73291.73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593">
        <v>612.91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73904.639999999999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593">
        <f>1850-995.55</f>
        <v>854.45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854.45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594">
        <v>2765049</v>
      </c>
      <c r="H23" s="391">
        <v>0.12132999999999999</v>
      </c>
      <c r="I23" s="197">
        <f>G23*H23</f>
        <v>335483.39516999997</v>
      </c>
      <c r="J23" s="201" t="s">
        <v>37</v>
      </c>
      <c r="K23" s="594">
        <v>1388507</v>
      </c>
      <c r="L23" s="391">
        <v>0.10854999999999999</v>
      </c>
      <c r="M23" s="197">
        <f>K23*L23</f>
        <v>150722.43484999999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594">
        <v>4482</v>
      </c>
      <c r="H24" s="391">
        <v>0.12132999999999999</v>
      </c>
      <c r="I24" s="197">
        <f t="shared" ref="I24:I31" si="0">G24*H24</f>
        <v>543.80106000000001</v>
      </c>
      <c r="J24" s="201" t="s">
        <v>38</v>
      </c>
      <c r="K24" s="594">
        <v>1004638</v>
      </c>
      <c r="L24" s="391">
        <v>0.10854999999999999</v>
      </c>
      <c r="M24" s="197">
        <f t="shared" ref="M24:M27" si="1">K24*L24</f>
        <v>109053.4549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594">
        <v>1675034</v>
      </c>
      <c r="H25" s="391">
        <v>0.11426</v>
      </c>
      <c r="I25" s="197">
        <f t="shared" si="0"/>
        <v>191389.38484000001</v>
      </c>
      <c r="J25" s="201" t="s">
        <v>39</v>
      </c>
      <c r="K25" s="594">
        <v>27174</v>
      </c>
      <c r="L25" s="391">
        <v>0.10854999999999999</v>
      </c>
      <c r="M25" s="197">
        <f t="shared" si="1"/>
        <v>2949.7376999999997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594">
        <v>0</v>
      </c>
      <c r="H26" s="391">
        <v>0.11426</v>
      </c>
      <c r="I26" s="197">
        <f t="shared" si="0"/>
        <v>0</v>
      </c>
      <c r="J26" s="201" t="s">
        <v>40</v>
      </c>
      <c r="K26" s="594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594">
        <v>225272</v>
      </c>
      <c r="H27" s="391">
        <v>0.10385</v>
      </c>
      <c r="I27" s="197">
        <f t="shared" si="0"/>
        <v>23394.497199999998</v>
      </c>
      <c r="J27" s="201" t="s">
        <v>41</v>
      </c>
      <c r="K27" s="594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594">
        <v>35139</v>
      </c>
      <c r="H28" s="391">
        <v>0.10385</v>
      </c>
      <c r="I28" s="197">
        <f t="shared" si="0"/>
        <v>3649.1851499999998</v>
      </c>
      <c r="J28" s="200" t="s">
        <v>127</v>
      </c>
      <c r="K28" s="182">
        <f>SUM(K23:K27)</f>
        <v>2420319</v>
      </c>
      <c r="L28" s="183"/>
      <c r="M28" s="198">
        <f>SUM(M23:M27)</f>
        <v>262725.62744999997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594">
        <v>0</v>
      </c>
      <c r="H29" s="391">
        <v>7.1069999999999994E-2</v>
      </c>
      <c r="I29" s="197">
        <f t="shared" si="0"/>
        <v>0</v>
      </c>
      <c r="J29" s="200"/>
      <c r="K29" s="232">
        <v>2420319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2207961.4400000013</v>
      </c>
      <c r="D30" s="37"/>
      <c r="F30" s="201" t="s">
        <v>43</v>
      </c>
      <c r="G30" s="594">
        <v>51713</v>
      </c>
      <c r="H30" s="391">
        <v>7.1069999999999994E-2</v>
      </c>
      <c r="I30" s="197">
        <f t="shared" si="0"/>
        <v>3675.2429099999995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592">
        <v>-8913.33</v>
      </c>
      <c r="D31" s="39"/>
      <c r="F31" s="201" t="s">
        <v>74</v>
      </c>
      <c r="G31" s="594">
        <v>2149880</v>
      </c>
      <c r="H31" s="391">
        <v>5.4000000000000001E-4</v>
      </c>
      <c r="I31" s="197">
        <f t="shared" si="0"/>
        <v>1160.9352000000001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240">
        <f>C30+C31</f>
        <v>2199048.1100000013</v>
      </c>
      <c r="D32" s="40"/>
      <c r="F32" s="200" t="s">
        <v>127</v>
      </c>
      <c r="G32" s="182">
        <f>SUM(G23:G31)</f>
        <v>6906569</v>
      </c>
      <c r="H32" s="7"/>
      <c r="I32" s="198">
        <f>SUM(I23:I31)</f>
        <v>559296.44153000007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-76616.790000000008</v>
      </c>
      <c r="D33" s="36"/>
      <c r="F33" s="187"/>
      <c r="G33" s="232">
        <v>6906569</v>
      </c>
      <c r="H33" s="188" t="s">
        <v>102</v>
      </c>
      <c r="I33" s="217">
        <f>I32/G32</f>
        <v>8.0980359644564487E-2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2122431.3200000012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1388507</v>
      </c>
      <c r="L36" s="391">
        <v>0.25031999999999999</v>
      </c>
      <c r="M36" s="197">
        <f t="shared" ref="M36:M42" si="2">K36*L36</f>
        <v>347571.07224000001</v>
      </c>
      <c r="P36" s="275"/>
      <c r="Q36" s="275"/>
    </row>
    <row r="37" spans="1:17" ht="15.6">
      <c r="A37" s="7" t="s">
        <v>129</v>
      </c>
      <c r="B37" s="540" t="s">
        <v>115</v>
      </c>
      <c r="C37" s="592">
        <v>6898866.1100000003</v>
      </c>
      <c r="D37" s="36"/>
      <c r="F37" s="201" t="s">
        <v>37</v>
      </c>
      <c r="G37" s="265">
        <f>G23</f>
        <v>2765049</v>
      </c>
      <c r="H37" s="391">
        <v>0.25030999999999998</v>
      </c>
      <c r="I37" s="197">
        <f t="shared" ref="I37:I44" si="3">G37*H37</f>
        <v>692119.41518999997</v>
      </c>
      <c r="J37" s="201" t="s">
        <v>38</v>
      </c>
      <c r="K37" s="265">
        <f>K24</f>
        <v>1004638</v>
      </c>
      <c r="L37" s="391">
        <v>0.25031999999999999</v>
      </c>
      <c r="M37" s="197">
        <f t="shared" si="2"/>
        <v>251480.98415999999</v>
      </c>
      <c r="P37" s="275"/>
      <c r="Q37" s="275"/>
    </row>
    <row r="38" spans="1:17" ht="15.6">
      <c r="A38" s="144" t="s">
        <v>14</v>
      </c>
      <c r="B38" s="540" t="s">
        <v>115</v>
      </c>
      <c r="C38" s="592">
        <v>0</v>
      </c>
      <c r="D38" s="36"/>
      <c r="F38" s="201" t="s">
        <v>332</v>
      </c>
      <c r="G38" s="265">
        <f>G24</f>
        <v>4482</v>
      </c>
      <c r="H38" s="391">
        <v>0.25030999999999998</v>
      </c>
      <c r="I38" s="197">
        <f t="shared" si="3"/>
        <v>1121.88942</v>
      </c>
      <c r="J38" s="201" t="s">
        <v>39</v>
      </c>
      <c r="K38" s="265">
        <f>K25</f>
        <v>27174</v>
      </c>
      <c r="L38" s="391">
        <v>0.25031999999999999</v>
      </c>
      <c r="M38" s="197">
        <f t="shared" si="2"/>
        <v>6802.1956799999998</v>
      </c>
      <c r="P38" s="275"/>
      <c r="Q38" s="275"/>
    </row>
    <row r="39" spans="1:17" ht="15.6">
      <c r="A39" s="7" t="s">
        <v>146</v>
      </c>
      <c r="B39" s="540" t="s">
        <v>147</v>
      </c>
      <c r="C39" s="592">
        <v>-47172.81</v>
      </c>
      <c r="D39" s="36"/>
      <c r="F39" s="201" t="s">
        <v>38</v>
      </c>
      <c r="G39" s="265">
        <f t="shared" ref="G39:G44" si="4">G25</f>
        <v>1675034</v>
      </c>
      <c r="H39" s="391">
        <v>0.25030999999999998</v>
      </c>
      <c r="I39" s="197">
        <f t="shared" si="3"/>
        <v>419277.76053999999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592">
        <v>592372.5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592">
        <v>-7957.6</v>
      </c>
      <c r="D41" s="36"/>
      <c r="F41" s="201" t="s">
        <v>40</v>
      </c>
      <c r="G41" s="265">
        <f t="shared" si="4"/>
        <v>225272</v>
      </c>
      <c r="H41" s="391">
        <v>0.25030999999999998</v>
      </c>
      <c r="I41" s="197">
        <f t="shared" si="3"/>
        <v>56387.834319999994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592">
        <v>402090</v>
      </c>
      <c r="D42" s="37"/>
      <c r="F42" s="201" t="s">
        <v>41</v>
      </c>
      <c r="G42" s="265">
        <f t="shared" si="4"/>
        <v>35139</v>
      </c>
      <c r="H42" s="391">
        <v>0.25030999999999998</v>
      </c>
      <c r="I42" s="197">
        <f t="shared" si="3"/>
        <v>8795.6430899999996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7838198.2000000011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2420319</v>
      </c>
      <c r="L43" s="183"/>
      <c r="M43" s="198">
        <f>SUM(M36:M42)</f>
        <v>605854.25208000001</v>
      </c>
    </row>
    <row r="44" spans="1:17" ht="16.2" thickBot="1">
      <c r="A44" s="83" t="s">
        <v>178</v>
      </c>
      <c r="B44" s="84" t="s">
        <v>120</v>
      </c>
      <c r="C44" s="592">
        <f>502212.26-2542320.46+7734.36</f>
        <v>-2032373.8399999999</v>
      </c>
      <c r="D44" s="37"/>
      <c r="F44" s="201" t="s">
        <v>43</v>
      </c>
      <c r="G44" s="265">
        <f t="shared" si="4"/>
        <v>51713</v>
      </c>
      <c r="H44" s="391">
        <v>0.25030999999999998</v>
      </c>
      <c r="I44" s="197">
        <f t="shared" si="3"/>
        <v>12944.281029999998</v>
      </c>
      <c r="J44" s="195"/>
      <c r="K44" s="233">
        <v>2420319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4756689</v>
      </c>
      <c r="H45" s="183"/>
      <c r="I45" s="198">
        <f>SUM(I37:I44)</f>
        <v>1190646.8235899997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4756689</v>
      </c>
      <c r="H46" s="190" t="s">
        <v>102</v>
      </c>
      <c r="I46" s="216">
        <f>I45/G45</f>
        <v>0.25030999999999992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592">
        <v>-53603.519999999997</v>
      </c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222</v>
      </c>
      <c r="B48" s="6" t="s">
        <v>115</v>
      </c>
      <c r="C48" s="59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592">
        <v>24584.400000000001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175</v>
      </c>
      <c r="B50" s="540" t="s">
        <v>152</v>
      </c>
      <c r="C50" s="592">
        <v>211.9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592">
        <v>7115.68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571" t="s">
        <v>118</v>
      </c>
      <c r="B52" s="572"/>
      <c r="C52" s="259">
        <f>-C33</f>
        <v>76616.790000000008</v>
      </c>
      <c r="D52" s="33"/>
      <c r="F52" s="387" t="s">
        <v>136</v>
      </c>
      <c r="G52" s="387"/>
      <c r="H52" s="213">
        <f>K12</f>
        <v>-1114243.6484799976</v>
      </c>
      <c r="I52" s="115">
        <f>I14</f>
        <v>1499709.970712001</v>
      </c>
      <c r="J52" s="115">
        <f>L12</f>
        <v>-566907.93151999905</v>
      </c>
      <c r="K52" s="115">
        <f>J14</f>
        <v>622721.34928800038</v>
      </c>
      <c r="L52" s="132">
        <f>SUM(H52:K52)</f>
        <v>441279.74000000465</v>
      </c>
      <c r="M52" s="387"/>
    </row>
    <row r="53" spans="1:21" ht="16.2" thickBot="1">
      <c r="A53" s="384" t="s">
        <v>124</v>
      </c>
      <c r="B53" s="475" t="s">
        <v>316</v>
      </c>
      <c r="C53" s="592">
        <f>-493777.35-5375362.3-1294521.56</f>
        <v>-7163661.209999999</v>
      </c>
      <c r="D53" s="36"/>
      <c r="F53" s="386" t="s">
        <v>109</v>
      </c>
      <c r="H53" s="213">
        <f>-I45</f>
        <v>-1190646.8235899997</v>
      </c>
      <c r="I53" s="115">
        <f>-I32</f>
        <v>-559296.44153000007</v>
      </c>
      <c r="J53" s="115">
        <f>-M43</f>
        <v>-605854.25208000001</v>
      </c>
      <c r="K53" s="115">
        <f>-M28</f>
        <v>-262725.62744999997</v>
      </c>
      <c r="L53" s="263">
        <f>SUM(H53:K53)</f>
        <v>-2618523.1446499997</v>
      </c>
    </row>
    <row r="54" spans="1:21" ht="16.2" thickBot="1">
      <c r="A54" s="386" t="s">
        <v>191</v>
      </c>
      <c r="B54" s="6" t="s">
        <v>192</v>
      </c>
      <c r="C54" s="592">
        <v>-375000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-2177243.4046499953</v>
      </c>
    </row>
    <row r="55" spans="1:21" ht="16.2" thickBot="1">
      <c r="A55" s="82" t="s">
        <v>119</v>
      </c>
      <c r="B55" s="84"/>
      <c r="C55" s="160">
        <f>SUM(C43:C54)</f>
        <v>-1670911.5999999968</v>
      </c>
      <c r="D55" s="36"/>
      <c r="F55" s="386" t="s">
        <v>71</v>
      </c>
      <c r="H55" s="125">
        <f>IFERROR(H52+H53+H54,0)</f>
        <v>-2304890.4720699973</v>
      </c>
      <c r="I55" s="125">
        <f>I52+I53+I54</f>
        <v>940413.5291820009</v>
      </c>
      <c r="J55" s="125">
        <f>IFERROR(J52+J53+J54,0)</f>
        <v>-1172762.1835999992</v>
      </c>
      <c r="K55" s="125">
        <f>K52+K53+K54</f>
        <v>359995.72183800041</v>
      </c>
      <c r="L55" s="47">
        <f>SUM(H55:K55)</f>
        <v>-2177243.4046499953</v>
      </c>
    </row>
    <row r="56" spans="1:21" ht="16.8" thickTop="1" thickBot="1">
      <c r="A56" s="386" t="s">
        <v>121</v>
      </c>
      <c r="B56" s="6" t="s">
        <v>115</v>
      </c>
      <c r="C56" s="592">
        <v>-6763.44</v>
      </c>
      <c r="D56" s="36"/>
      <c r="F56" s="241" t="s">
        <v>182</v>
      </c>
      <c r="H56" s="386" t="s">
        <v>173</v>
      </c>
      <c r="I56" s="5">
        <f>SUM(H55:I55)</f>
        <v>-1364476.9428879963</v>
      </c>
      <c r="J56" s="15" t="s">
        <v>174</v>
      </c>
      <c r="K56" s="386">
        <f>SUM(J55:K55)</f>
        <v>-812766.46176199871</v>
      </c>
      <c r="L56" s="214">
        <f>ROUND(L54-L55,3)</f>
        <v>0</v>
      </c>
      <c r="T56" s="42"/>
    </row>
    <row r="57" spans="1:21" ht="16.2" thickTop="1">
      <c r="A57" s="386" t="s">
        <v>122</v>
      </c>
      <c r="B57" s="6" t="s">
        <v>115</v>
      </c>
      <c r="C57" s="592">
        <v>-3476.54</v>
      </c>
      <c r="D57" s="36"/>
      <c r="F57" s="399" t="s">
        <v>182</v>
      </c>
      <c r="H57" s="96"/>
    </row>
    <row r="58" spans="1:21" ht="16.2" thickBot="1">
      <c r="A58" s="2" t="s">
        <v>125</v>
      </c>
      <c r="B58" s="2"/>
      <c r="C58" s="160">
        <f>SUM(C55:C57)</f>
        <v>-1681151.5799999968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8" thickTop="1" thickBot="1">
      <c r="A59" s="2"/>
      <c r="C59" s="101"/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2" thickBot="1">
      <c r="A60" s="9"/>
      <c r="B60" s="9" t="s">
        <v>95</v>
      </c>
      <c r="C60" s="125">
        <f>C58+C34</f>
        <v>441279.74000000441</v>
      </c>
      <c r="D60" s="36"/>
      <c r="H60" s="320" t="s">
        <v>176</v>
      </c>
      <c r="I60" s="321" t="s">
        <v>177</v>
      </c>
      <c r="J60" s="5"/>
    </row>
    <row r="61" spans="1:21" ht="16.2" thickBot="1">
      <c r="A61" s="2"/>
      <c r="B61" s="9" t="s">
        <v>160</v>
      </c>
      <c r="C61" s="591">
        <v>441279.74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-2618523.1446499997</v>
      </c>
    </row>
    <row r="62" spans="1:21" ht="15.6">
      <c r="A62" s="9"/>
      <c r="B62" s="9" t="s">
        <v>159</v>
      </c>
      <c r="C62" s="259">
        <f>ROUND(C60-C61,2)</f>
        <v>0</v>
      </c>
      <c r="G62" s="5"/>
      <c r="I62" s="340">
        <f>H61-I61</f>
        <v>0</v>
      </c>
      <c r="N62" s="5"/>
      <c r="O62" s="5"/>
      <c r="P62" s="21"/>
    </row>
    <row r="63" spans="1:21" ht="15.6">
      <c r="A63" s="44"/>
      <c r="C63" s="353"/>
      <c r="D63" s="36"/>
      <c r="S63" s="6"/>
    </row>
    <row r="64" spans="1:21" ht="15.6">
      <c r="A64" s="44"/>
      <c r="C64" s="8"/>
      <c r="D64" s="43"/>
      <c r="N64" s="22"/>
      <c r="U64" s="2"/>
    </row>
    <row r="65" spans="1:21" ht="15.6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6">
        <v>-2130</v>
      </c>
    </row>
    <row r="1484" spans="3:3">
      <c r="C1484" s="386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619" priority="7" stopIfTrue="1" operator="equal">
      <formula>0</formula>
    </cfRule>
    <cfRule type="cellIs" dxfId="618" priority="8" stopIfTrue="1" operator="notEqual">
      <formula>0</formula>
    </cfRule>
  </conditionalFormatting>
  <conditionalFormatting sqref="G34 G47 K30 K47">
    <cfRule type="cellIs" dxfId="617" priority="6" operator="notEqual">
      <formula>0</formula>
    </cfRule>
  </conditionalFormatting>
  <conditionalFormatting sqref="C62">
    <cfRule type="cellIs" dxfId="616" priority="4" stopIfTrue="1" operator="equal">
      <formula>0</formula>
    </cfRule>
    <cfRule type="cellIs" dxfId="615" priority="5" stopIfTrue="1" operator="notEqual">
      <formula>0</formula>
    </cfRule>
  </conditionalFormatting>
  <conditionalFormatting sqref="K30">
    <cfRule type="cellIs" dxfId="614" priority="3" operator="notEqual">
      <formula>0</formula>
    </cfRule>
  </conditionalFormatting>
  <conditionalFormatting sqref="G59">
    <cfRule type="cellIs" dxfId="613" priority="2" operator="equal">
      <formula>"ERROR"</formula>
    </cfRule>
  </conditionalFormatting>
  <conditionalFormatting sqref="G59">
    <cfRule type="cellIs" dxfId="61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2">
    <tabColor rgb="FF00CC66"/>
    <pageSetUpPr fitToPage="1"/>
  </sheetPr>
  <dimension ref="A1:U1485"/>
  <sheetViews>
    <sheetView showGridLines="0" tabSelected="1" topLeftCell="A31" zoomScale="70" zoomScaleNormal="70" workbookViewId="0">
      <selection activeCell="F61" sqref="F61"/>
    </sheetView>
  </sheetViews>
  <sheetFormatPr defaultColWidth="16" defaultRowHeight="15"/>
  <cols>
    <col min="1" max="1" width="44.88671875" style="386" customWidth="1"/>
    <col min="2" max="2" width="25.5546875" style="386" customWidth="1"/>
    <col min="3" max="3" width="25.33203125" style="386" customWidth="1"/>
    <col min="4" max="4" width="2.6640625" style="30" customWidth="1"/>
    <col min="5" max="5" width="4.33203125" style="386" customWidth="1"/>
    <col min="6" max="6" width="26.6640625" style="386" customWidth="1"/>
    <col min="7" max="7" width="19" style="386" customWidth="1"/>
    <col min="8" max="8" width="22" style="386" customWidth="1"/>
    <col min="9" max="9" width="20.44140625" style="386" customWidth="1"/>
    <col min="10" max="10" width="26.33203125" style="386" customWidth="1"/>
    <col min="11" max="11" width="21.88671875" style="386" bestFit="1" customWidth="1"/>
    <col min="12" max="12" width="23.88671875" style="386" customWidth="1"/>
    <col min="13" max="13" width="20.88671875" style="386" bestFit="1" customWidth="1"/>
    <col min="14" max="15" width="16" style="386"/>
    <col min="16" max="16" width="16.33203125" style="386" bestFit="1" customWidth="1"/>
    <col min="17" max="16384" width="16" style="386"/>
  </cols>
  <sheetData>
    <row r="1" spans="1:13" ht="16.2" thickBot="1">
      <c r="A1" s="145" t="s">
        <v>64</v>
      </c>
      <c r="B1" s="29"/>
      <c r="C1" s="534">
        <f>Jun!C1+1</f>
        <v>201607</v>
      </c>
      <c r="F1" s="534">
        <f>C1</f>
        <v>201607</v>
      </c>
      <c r="G1" s="387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7"/>
    </row>
    <row r="2" spans="1:13" ht="15.6">
      <c r="C2" s="31"/>
      <c r="F2" s="387"/>
      <c r="G2" s="387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7"/>
    </row>
    <row r="3" spans="1:13" ht="16.2" thickBot="1">
      <c r="A3" s="63" t="s">
        <v>110</v>
      </c>
      <c r="C3" s="32"/>
      <c r="D3" s="33"/>
      <c r="F3" s="50" t="s">
        <v>72</v>
      </c>
      <c r="G3" s="387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7"/>
    </row>
    <row r="4" spans="1:13" ht="15.6">
      <c r="A4" s="387" t="s">
        <v>88</v>
      </c>
      <c r="C4" s="592">
        <v>4585561.8899999997</v>
      </c>
      <c r="D4" s="34"/>
      <c r="F4" s="387"/>
      <c r="G4" s="387"/>
      <c r="H4" s="11"/>
      <c r="I4" s="387"/>
      <c r="J4" s="387"/>
      <c r="L4" s="387"/>
      <c r="M4" s="387"/>
    </row>
    <row r="5" spans="1:13" ht="14.25" customHeight="1">
      <c r="A5" s="387" t="s">
        <v>31</v>
      </c>
      <c r="C5" s="592">
        <f>54486.78-468.63-602.92</f>
        <v>53415.23</v>
      </c>
      <c r="D5" s="34"/>
      <c r="F5" s="387"/>
      <c r="G5" s="387"/>
      <c r="H5" s="11"/>
      <c r="I5" s="166">
        <v>0.70660000000000001</v>
      </c>
      <c r="J5" s="166">
        <f>1-I5</f>
        <v>0.29339999999999999</v>
      </c>
      <c r="K5" s="447">
        <f>ROUND(G45/(G45+K43),4)</f>
        <v>0.65029999999999999</v>
      </c>
      <c r="L5" s="447">
        <f>1-K5</f>
        <v>0.34970000000000001</v>
      </c>
      <c r="M5" s="387"/>
    </row>
    <row r="6" spans="1:13" ht="16.2" thickBot="1">
      <c r="A6" s="49" t="s">
        <v>30</v>
      </c>
      <c r="C6" s="593">
        <f>-2336662.51-443634.8-73643.38-126752.8-142596.89-81755.56-102112.06</f>
        <v>-3307157.9999999995</v>
      </c>
      <c r="D6" s="34"/>
      <c r="F6" s="387"/>
      <c r="G6" s="387"/>
      <c r="H6" s="387"/>
      <c r="I6" s="387"/>
      <c r="J6" s="387"/>
      <c r="K6" s="387"/>
      <c r="L6" s="387"/>
      <c r="M6" s="387"/>
    </row>
    <row r="7" spans="1:13" ht="16.2" thickBot="1">
      <c r="A7" s="66" t="s">
        <v>140</v>
      </c>
      <c r="C7" s="100">
        <f>SUM(C4:C6)</f>
        <v>1331819.1200000006</v>
      </c>
      <c r="D7" s="35"/>
      <c r="F7" s="167" t="s">
        <v>139</v>
      </c>
      <c r="G7" s="167"/>
      <c r="H7" s="125">
        <f>C34</f>
        <v>2130066.4800000009</v>
      </c>
      <c r="I7" s="168">
        <f>H7*I5</f>
        <v>1505104.9747680007</v>
      </c>
      <c r="J7" s="168">
        <f>H7*J5</f>
        <v>624961.50523200026</v>
      </c>
      <c r="K7" s="168"/>
      <c r="L7" s="168"/>
      <c r="M7" s="387"/>
    </row>
    <row r="8" spans="1:13" ht="15.6">
      <c r="A8" s="386" t="s">
        <v>89</v>
      </c>
      <c r="C8" s="592">
        <v>191512.75</v>
      </c>
      <c r="D8" s="35"/>
      <c r="F8" s="387"/>
      <c r="G8" s="387"/>
      <c r="H8" s="169"/>
      <c r="I8" s="169"/>
      <c r="J8" s="169"/>
      <c r="K8" s="169"/>
      <c r="L8" s="169"/>
      <c r="M8" s="387"/>
    </row>
    <row r="9" spans="1:13" ht="15.6">
      <c r="A9" s="387" t="s">
        <v>90</v>
      </c>
      <c r="C9" s="592">
        <f>4790.5+68.63</f>
        <v>4859.13</v>
      </c>
      <c r="D9" s="36"/>
      <c r="F9" s="167" t="s">
        <v>119</v>
      </c>
      <c r="G9" s="387"/>
      <c r="H9" s="168">
        <f>C56</f>
        <v>-1382176.8400000017</v>
      </c>
      <c r="I9" s="168"/>
      <c r="J9" s="168"/>
      <c r="K9" s="168">
        <f>H9*K5</f>
        <v>-898829.59905200114</v>
      </c>
      <c r="L9" s="168">
        <f>H9*L5</f>
        <v>-483347.24094800063</v>
      </c>
      <c r="M9" s="387"/>
    </row>
    <row r="10" spans="1:13" ht="15.6">
      <c r="A10" s="49" t="s">
        <v>91</v>
      </c>
      <c r="C10" s="593">
        <v>-3418.47</v>
      </c>
      <c r="D10" s="36"/>
      <c r="F10" s="170" t="s">
        <v>44</v>
      </c>
      <c r="G10" s="387"/>
      <c r="H10" s="168">
        <f>C57</f>
        <v>11668.84</v>
      </c>
      <c r="I10" s="168"/>
      <c r="J10" s="168"/>
      <c r="K10" s="168">
        <f>H10</f>
        <v>11668.84</v>
      </c>
      <c r="L10" s="168"/>
      <c r="M10" s="387"/>
    </row>
    <row r="11" spans="1:13">
      <c r="A11" s="66" t="s">
        <v>145</v>
      </c>
      <c r="C11" s="100">
        <f>SUM(C8:C10)</f>
        <v>192953.41</v>
      </c>
      <c r="D11" s="36"/>
      <c r="F11" s="170" t="s">
        <v>45</v>
      </c>
      <c r="G11" s="387"/>
      <c r="H11" s="171">
        <f>C58</f>
        <v>5786.87</v>
      </c>
      <c r="I11" s="168"/>
      <c r="J11" s="168"/>
      <c r="K11" s="171"/>
      <c r="L11" s="171">
        <f>H11</f>
        <v>5786.87</v>
      </c>
      <c r="M11" s="387"/>
    </row>
    <row r="12" spans="1:13" ht="15.6">
      <c r="A12" s="386" t="s">
        <v>165</v>
      </c>
      <c r="C12" s="592">
        <f>211138.51-1308.41</f>
        <v>209830.1</v>
      </c>
      <c r="D12" s="36"/>
      <c r="F12" s="170" t="s">
        <v>138</v>
      </c>
      <c r="G12" s="387"/>
      <c r="H12" s="168">
        <f>H9+H10+H11</f>
        <v>-1364721.1300000015</v>
      </c>
      <c r="I12" s="168"/>
      <c r="J12" s="168"/>
      <c r="K12" s="168">
        <f>SUM(K9:K11)</f>
        <v>-887160.75905200117</v>
      </c>
      <c r="L12" s="168">
        <f>SUM(L9:L11)</f>
        <v>-477560.37094800064</v>
      </c>
      <c r="M12" s="387"/>
    </row>
    <row r="13" spans="1:13" ht="16.2" thickBot="1">
      <c r="A13" s="49" t="s">
        <v>166</v>
      </c>
      <c r="C13" s="593">
        <v>0</v>
      </c>
      <c r="D13" s="36"/>
      <c r="F13" s="172"/>
      <c r="G13" s="173"/>
      <c r="H13" s="174"/>
      <c r="I13" s="175"/>
      <c r="J13" s="174"/>
      <c r="K13" s="169"/>
      <c r="L13" s="174"/>
      <c r="M13" s="387"/>
    </row>
    <row r="14" spans="1:13" ht="16.2" thickBot="1">
      <c r="A14" s="66" t="s">
        <v>92</v>
      </c>
      <c r="C14" s="100">
        <f>SUM(C12:C13)</f>
        <v>209830.1</v>
      </c>
      <c r="D14" s="37"/>
      <c r="F14" s="50" t="s">
        <v>69</v>
      </c>
      <c r="G14" s="176"/>
      <c r="H14" s="125">
        <f>H12+H7</f>
        <v>765345.34999999939</v>
      </c>
      <c r="I14" s="177">
        <f>SUM(I7:I13)</f>
        <v>1505104.9747680007</v>
      </c>
      <c r="J14" s="177">
        <f>SUM(J7:J13)</f>
        <v>624961.50523200026</v>
      </c>
      <c r="K14" s="177">
        <f>K12</f>
        <v>-887160.75905200117</v>
      </c>
      <c r="L14" s="177">
        <f>L12</f>
        <v>-477560.37094800064</v>
      </c>
      <c r="M14" s="387"/>
    </row>
    <row r="15" spans="1:13" ht="15.6">
      <c r="A15" s="386" t="s">
        <v>184</v>
      </c>
      <c r="C15" s="592">
        <f>405542-2513.14</f>
        <v>403028.86</v>
      </c>
      <c r="D15" s="36"/>
      <c r="F15" s="172"/>
      <c r="G15" s="173" t="s">
        <v>102</v>
      </c>
      <c r="H15" s="174">
        <f>H14-C61</f>
        <v>0</v>
      </c>
      <c r="I15" s="178"/>
      <c r="J15" s="174">
        <f>J7+I7-H7</f>
        <v>0</v>
      </c>
      <c r="K15" s="387"/>
      <c r="L15" s="174">
        <f>H12-K14-L14</f>
        <v>0</v>
      </c>
      <c r="M15" s="387"/>
    </row>
    <row r="16" spans="1:13" ht="15.6">
      <c r="A16" s="49" t="s">
        <v>185</v>
      </c>
      <c r="C16" s="315">
        <v>0</v>
      </c>
      <c r="D16" s="36"/>
      <c r="F16" s="179"/>
      <c r="G16" s="173"/>
      <c r="H16" s="180"/>
      <c r="I16" s="181"/>
      <c r="J16" s="180"/>
      <c r="K16" s="387"/>
      <c r="L16" s="180"/>
      <c r="M16" s="387"/>
    </row>
    <row r="17" spans="1:13" ht="15.6" thickBot="1">
      <c r="A17" s="66" t="s">
        <v>186</v>
      </c>
      <c r="C17" s="100">
        <f>SUM(C15:C16)</f>
        <v>403028.86</v>
      </c>
      <c r="D17" s="37"/>
      <c r="F17" s="172"/>
      <c r="G17" s="173"/>
      <c r="H17" s="180"/>
      <c r="I17" s="181"/>
      <c r="J17" s="184"/>
      <c r="K17" s="387"/>
      <c r="L17" s="180"/>
      <c r="M17" s="387"/>
    </row>
    <row r="18" spans="1:13" ht="16.2" thickBot="1">
      <c r="A18" s="386" t="s">
        <v>163</v>
      </c>
      <c r="C18" s="592">
        <f>6208.65-1798.34+61666.5</f>
        <v>66076.81</v>
      </c>
      <c r="D18" s="36"/>
      <c r="F18" s="611" t="s">
        <v>134</v>
      </c>
      <c r="G18" s="612"/>
      <c r="H18" s="612"/>
      <c r="I18" s="613"/>
      <c r="J18" s="611" t="s">
        <v>135</v>
      </c>
      <c r="K18" s="612"/>
      <c r="L18" s="612"/>
      <c r="M18" s="613"/>
    </row>
    <row r="19" spans="1:13" ht="15.6">
      <c r="A19" s="46" t="s">
        <v>164</v>
      </c>
      <c r="C19" s="593">
        <v>0</v>
      </c>
      <c r="D19" s="36"/>
      <c r="F19" s="202" t="s">
        <v>108</v>
      </c>
      <c r="G19" s="164" t="s">
        <v>33</v>
      </c>
      <c r="H19" s="164" t="s">
        <v>33</v>
      </c>
      <c r="I19" s="164" t="s">
        <v>33</v>
      </c>
      <c r="J19" s="202" t="s">
        <v>108</v>
      </c>
      <c r="K19" s="164" t="s">
        <v>33</v>
      </c>
      <c r="L19" s="164" t="s">
        <v>33</v>
      </c>
      <c r="M19" s="186" t="s">
        <v>33</v>
      </c>
    </row>
    <row r="20" spans="1:13" ht="16.2" thickBot="1">
      <c r="A20" s="67" t="s">
        <v>93</v>
      </c>
      <c r="C20" s="100">
        <f>SUM(C18:C19)</f>
        <v>66076.81</v>
      </c>
      <c r="D20" s="36"/>
      <c r="F20" s="196" t="s">
        <v>162</v>
      </c>
      <c r="G20" s="165" t="s">
        <v>101</v>
      </c>
      <c r="H20" s="165" t="s">
        <v>36</v>
      </c>
      <c r="I20" s="165" t="s">
        <v>34</v>
      </c>
      <c r="J20" s="196" t="s">
        <v>162</v>
      </c>
      <c r="K20" s="165" t="s">
        <v>101</v>
      </c>
      <c r="L20" s="165" t="s">
        <v>36</v>
      </c>
      <c r="M20" s="165" t="s">
        <v>34</v>
      </c>
    </row>
    <row r="21" spans="1:13" ht="15.6">
      <c r="A21" s="46" t="s">
        <v>149</v>
      </c>
      <c r="C21" s="593">
        <f>3516.01-1356.7</f>
        <v>2159.3100000000004</v>
      </c>
      <c r="D21" s="36"/>
      <c r="F21" s="185"/>
      <c r="G21" s="12"/>
      <c r="H21" s="12"/>
      <c r="I21" s="186"/>
      <c r="J21" s="129"/>
      <c r="K21" s="13"/>
      <c r="L21" s="13"/>
      <c r="M21" s="206"/>
    </row>
    <row r="22" spans="1:13" ht="18" customHeight="1">
      <c r="A22" s="65" t="s">
        <v>149</v>
      </c>
      <c r="C22" s="100">
        <f>SUM(C21)</f>
        <v>2159.3100000000004</v>
      </c>
      <c r="D22" s="36"/>
      <c r="F22" s="200" t="s">
        <v>126</v>
      </c>
      <c r="G22" s="7"/>
      <c r="H22" s="7"/>
      <c r="I22" s="98"/>
      <c r="J22" s="200" t="s">
        <v>126</v>
      </c>
      <c r="K22" s="7"/>
      <c r="L22" s="7"/>
      <c r="M22" s="98"/>
    </row>
    <row r="23" spans="1:13" ht="15.6">
      <c r="A23" s="209" t="s">
        <v>181</v>
      </c>
      <c r="C23" s="100">
        <v>0</v>
      </c>
      <c r="D23" s="36"/>
      <c r="F23" s="201" t="s">
        <v>37</v>
      </c>
      <c r="G23" s="598">
        <v>2292583</v>
      </c>
      <c r="H23" s="391">
        <v>0.12132999999999999</v>
      </c>
      <c r="I23" s="197">
        <f t="shared" ref="I23:I31" si="0">G23*H23</f>
        <v>278159.09538999997</v>
      </c>
      <c r="J23" s="201" t="s">
        <v>37</v>
      </c>
      <c r="K23" s="598">
        <v>1156092</v>
      </c>
      <c r="L23" s="391">
        <v>0.10854999999999999</v>
      </c>
      <c r="M23" s="197">
        <f>K23*L23</f>
        <v>125493.78659999999</v>
      </c>
    </row>
    <row r="24" spans="1:13" ht="15.6">
      <c r="A24" s="209" t="s">
        <v>187</v>
      </c>
      <c r="C24" s="314">
        <v>0</v>
      </c>
      <c r="D24" s="36"/>
      <c r="F24" s="201" t="s">
        <v>332</v>
      </c>
      <c r="G24" s="598">
        <v>3610</v>
      </c>
      <c r="H24" s="391">
        <v>0.12132999999999999</v>
      </c>
      <c r="I24" s="197">
        <f t="shared" si="0"/>
        <v>438.00129999999996</v>
      </c>
      <c r="J24" s="201" t="s">
        <v>38</v>
      </c>
      <c r="K24" s="598">
        <v>1000390</v>
      </c>
      <c r="L24" s="391">
        <v>0.10854999999999999</v>
      </c>
      <c r="M24" s="197">
        <f t="shared" ref="M24:M27" si="1">K24*L24</f>
        <v>108592.3345</v>
      </c>
    </row>
    <row r="25" spans="1:13" ht="15.6">
      <c r="A25" s="209" t="s">
        <v>190</v>
      </c>
      <c r="C25" s="316">
        <v>0</v>
      </c>
      <c r="D25" s="36"/>
      <c r="F25" s="201" t="s">
        <v>38</v>
      </c>
      <c r="G25" s="598">
        <v>1510014</v>
      </c>
      <c r="H25" s="391">
        <v>0.11426</v>
      </c>
      <c r="I25" s="197">
        <f t="shared" si="0"/>
        <v>172534.19964000001</v>
      </c>
      <c r="J25" s="201" t="s">
        <v>39</v>
      </c>
      <c r="K25" s="598">
        <v>73549</v>
      </c>
      <c r="L25" s="391">
        <v>0.10854999999999999</v>
      </c>
      <c r="M25" s="197">
        <f t="shared" si="1"/>
        <v>7983.7439499999991</v>
      </c>
    </row>
    <row r="26" spans="1:13" ht="15.6">
      <c r="A26" s="210" t="s">
        <v>189</v>
      </c>
      <c r="C26" s="317">
        <v>0</v>
      </c>
      <c r="D26" s="36"/>
      <c r="F26" s="201" t="s">
        <v>39</v>
      </c>
      <c r="G26" s="598">
        <v>0</v>
      </c>
      <c r="H26" s="391">
        <v>0.11426</v>
      </c>
      <c r="I26" s="197">
        <f t="shared" si="0"/>
        <v>0</v>
      </c>
      <c r="J26" s="201" t="s">
        <v>40</v>
      </c>
      <c r="K26" s="598">
        <v>0</v>
      </c>
      <c r="L26" s="391">
        <v>0.10854999999999999</v>
      </c>
      <c r="M26" s="197">
        <f t="shared" si="1"/>
        <v>0</v>
      </c>
    </row>
    <row r="27" spans="1:13" ht="15.6">
      <c r="A27" s="65" t="s">
        <v>96</v>
      </c>
      <c r="C27" s="100">
        <f>SUM(C23:C26)</f>
        <v>0</v>
      </c>
      <c r="D27" s="36"/>
      <c r="F27" s="201" t="s">
        <v>40</v>
      </c>
      <c r="G27" s="598">
        <v>266816</v>
      </c>
      <c r="H27" s="391">
        <v>0.10385</v>
      </c>
      <c r="I27" s="197">
        <f t="shared" si="0"/>
        <v>27708.8416</v>
      </c>
      <c r="J27" s="201" t="s">
        <v>41</v>
      </c>
      <c r="K27" s="598">
        <v>0</v>
      </c>
      <c r="L27" s="391">
        <v>0.10854999999999999</v>
      </c>
      <c r="M27" s="197">
        <f t="shared" si="1"/>
        <v>0</v>
      </c>
    </row>
    <row r="28" spans="1:13" ht="16.2" thickBot="1">
      <c r="A28" s="211" t="s">
        <v>150</v>
      </c>
      <c r="C28" s="314">
        <v>0</v>
      </c>
      <c r="D28" s="37"/>
      <c r="F28" s="201" t="s">
        <v>41</v>
      </c>
      <c r="G28" s="598">
        <v>27605</v>
      </c>
      <c r="H28" s="391">
        <v>0.10385</v>
      </c>
      <c r="I28" s="197">
        <f t="shared" si="0"/>
        <v>2866.77925</v>
      </c>
      <c r="J28" s="200" t="s">
        <v>127</v>
      </c>
      <c r="K28" s="182">
        <f>SUM(K23:K27)</f>
        <v>2230031</v>
      </c>
      <c r="L28" s="183"/>
      <c r="M28" s="198">
        <f>SUM(M23:M27)</f>
        <v>242069.86504999999</v>
      </c>
    </row>
    <row r="29" spans="1:13" ht="16.8" thickTop="1" thickBot="1">
      <c r="A29" s="211" t="s">
        <v>167</v>
      </c>
      <c r="B29" s="387"/>
      <c r="C29" s="314">
        <v>0</v>
      </c>
      <c r="D29" s="36"/>
      <c r="F29" s="201" t="s">
        <v>42</v>
      </c>
      <c r="G29" s="598">
        <v>0</v>
      </c>
      <c r="H29" s="391">
        <v>7.1069999999999994E-2</v>
      </c>
      <c r="I29" s="197">
        <f t="shared" si="0"/>
        <v>0</v>
      </c>
      <c r="J29" s="200"/>
      <c r="K29" s="232">
        <v>2230031</v>
      </c>
      <c r="L29" s="188" t="s">
        <v>102</v>
      </c>
      <c r="M29" s="467">
        <f>M28/K28</f>
        <v>0.10854999999999999</v>
      </c>
    </row>
    <row r="30" spans="1:13" ht="16.2" thickBot="1">
      <c r="A30" s="2" t="s">
        <v>111</v>
      </c>
      <c r="C30" s="125">
        <f>C7+C11+C14+C17+C20+C22+C27+C28+C29</f>
        <v>2205867.6100000008</v>
      </c>
      <c r="D30" s="37"/>
      <c r="F30" s="201" t="s">
        <v>43</v>
      </c>
      <c r="G30" s="598">
        <v>45567</v>
      </c>
      <c r="H30" s="391">
        <v>7.1069999999999994E-2</v>
      </c>
      <c r="I30" s="197">
        <f t="shared" si="0"/>
        <v>3238.4466899999998</v>
      </c>
      <c r="J30" s="201"/>
      <c r="K30" s="231">
        <f>K28-K29</f>
        <v>0</v>
      </c>
      <c r="L30" s="183"/>
      <c r="M30" s="199"/>
    </row>
    <row r="31" spans="1:13" ht="15.6">
      <c r="A31" s="386" t="s">
        <v>112</v>
      </c>
      <c r="C31" s="592">
        <v>-17526.77</v>
      </c>
      <c r="D31" s="39"/>
      <c r="F31" s="201" t="s">
        <v>74</v>
      </c>
      <c r="G31" s="598">
        <v>1956378</v>
      </c>
      <c r="H31" s="391">
        <v>5.4000000000000001E-4</v>
      </c>
      <c r="I31" s="197">
        <f t="shared" si="0"/>
        <v>1056.4441200000001</v>
      </c>
      <c r="J31" s="153"/>
      <c r="K31" s="7"/>
      <c r="L31" s="183"/>
      <c r="M31" s="199"/>
    </row>
    <row r="32" spans="1:13" ht="16.2" thickBot="1">
      <c r="A32" s="2" t="s">
        <v>116</v>
      </c>
      <c r="B32" s="2" t="s">
        <v>117</v>
      </c>
      <c r="C32" s="604">
        <f>C30+C31</f>
        <v>2188340.8400000008</v>
      </c>
      <c r="D32" s="40"/>
      <c r="F32" s="200" t="s">
        <v>127</v>
      </c>
      <c r="G32" s="182">
        <f>SUM(G23:G31)</f>
        <v>6102573</v>
      </c>
      <c r="H32" s="7"/>
      <c r="I32" s="198">
        <f>SUM(I23:I31)</f>
        <v>486001.80799</v>
      </c>
      <c r="J32" s="193"/>
      <c r="K32" s="194"/>
      <c r="L32" s="7"/>
      <c r="M32" s="191"/>
    </row>
    <row r="33" spans="1:17" ht="16.8" thickTop="1" thickBot="1">
      <c r="A33" s="386" t="s">
        <v>113</v>
      </c>
      <c r="C33" s="313">
        <f>-C5-C9-C13-C16-C19</f>
        <v>-58274.36</v>
      </c>
      <c r="D33" s="36"/>
      <c r="F33" s="187"/>
      <c r="G33" s="232">
        <v>6102573</v>
      </c>
      <c r="H33" s="188" t="s">
        <v>102</v>
      </c>
      <c r="I33" s="217">
        <f>I32/G32</f>
        <v>7.9638835617369924E-2</v>
      </c>
      <c r="J33" s="193"/>
      <c r="K33" s="194"/>
      <c r="L33" s="7"/>
      <c r="M33" s="98"/>
    </row>
    <row r="34" spans="1:17" ht="16.2" thickBot="1">
      <c r="A34" s="2" t="s">
        <v>114</v>
      </c>
      <c r="C34" s="125">
        <f>SUM(C32:C33)</f>
        <v>2130066.4800000009</v>
      </c>
      <c r="D34" s="36"/>
      <c r="F34" s="153"/>
      <c r="G34" s="231">
        <f>G32-G33</f>
        <v>0</v>
      </c>
      <c r="H34" s="7"/>
      <c r="I34" s="98"/>
      <c r="J34" s="193"/>
      <c r="K34" s="192"/>
      <c r="L34" s="7"/>
      <c r="M34" s="98"/>
    </row>
    <row r="35" spans="1:17" ht="18" customHeight="1">
      <c r="A35" s="2"/>
      <c r="C35" s="101"/>
      <c r="D35" s="36"/>
      <c r="F35" s="185"/>
      <c r="G35" s="12"/>
      <c r="H35" s="12"/>
      <c r="I35" s="186"/>
      <c r="J35" s="200" t="s">
        <v>128</v>
      </c>
      <c r="K35" s="609"/>
      <c r="L35" s="609"/>
      <c r="M35" s="610"/>
    </row>
    <row r="36" spans="1:17" ht="15.6">
      <c r="A36" s="16" t="s">
        <v>94</v>
      </c>
      <c r="B36" s="2"/>
      <c r="C36" s="100"/>
      <c r="D36" s="36"/>
      <c r="F36" s="200" t="s">
        <v>128</v>
      </c>
      <c r="G36" s="7"/>
      <c r="H36" s="7"/>
      <c r="I36" s="98"/>
      <c r="J36" s="201" t="s">
        <v>37</v>
      </c>
      <c r="K36" s="265">
        <f>K23</f>
        <v>1156092</v>
      </c>
      <c r="L36" s="391">
        <v>0.25031999999999999</v>
      </c>
      <c r="M36" s="197">
        <f t="shared" ref="M36:M42" si="2">K36*L36</f>
        <v>289392.94944</v>
      </c>
      <c r="P36" s="275"/>
      <c r="Q36" s="275"/>
    </row>
    <row r="37" spans="1:17" ht="15.6">
      <c r="A37" s="7" t="s">
        <v>129</v>
      </c>
      <c r="B37" s="540" t="s">
        <v>115</v>
      </c>
      <c r="C37" s="592">
        <v>9564188.4199999999</v>
      </c>
      <c r="D37" s="36"/>
      <c r="F37" s="201" t="s">
        <v>37</v>
      </c>
      <c r="G37" s="265">
        <f>G23</f>
        <v>2292583</v>
      </c>
      <c r="H37" s="391">
        <v>0.25030999999999998</v>
      </c>
      <c r="I37" s="197">
        <f t="shared" ref="I37:I44" si="3">G37*H37</f>
        <v>573856.45072999992</v>
      </c>
      <c r="J37" s="201" t="s">
        <v>38</v>
      </c>
      <c r="K37" s="265">
        <f>K24</f>
        <v>1000390</v>
      </c>
      <c r="L37" s="391">
        <v>0.25031999999999999</v>
      </c>
      <c r="M37" s="197">
        <f t="shared" si="2"/>
        <v>250417.62479999999</v>
      </c>
      <c r="P37" s="275"/>
      <c r="Q37" s="275"/>
    </row>
    <row r="38" spans="1:17" ht="15.6">
      <c r="A38" s="144" t="s">
        <v>14</v>
      </c>
      <c r="B38" s="540" t="s">
        <v>115</v>
      </c>
      <c r="C38" s="122">
        <v>0</v>
      </c>
      <c r="D38" s="36"/>
      <c r="F38" s="201" t="s">
        <v>332</v>
      </c>
      <c r="G38" s="265">
        <f>G24</f>
        <v>3610</v>
      </c>
      <c r="H38" s="391">
        <v>0.25030999999999998</v>
      </c>
      <c r="I38" s="197">
        <f t="shared" si="3"/>
        <v>903.61909999999989</v>
      </c>
      <c r="J38" s="201" t="s">
        <v>39</v>
      </c>
      <c r="K38" s="265">
        <f>K25</f>
        <v>73549</v>
      </c>
      <c r="L38" s="391">
        <v>0.25031999999999999</v>
      </c>
      <c r="M38" s="197">
        <f t="shared" si="2"/>
        <v>18410.785679999997</v>
      </c>
      <c r="P38" s="275"/>
      <c r="Q38" s="275"/>
    </row>
    <row r="39" spans="1:17" ht="15.6">
      <c r="A39" s="7" t="s">
        <v>146</v>
      </c>
      <c r="B39" s="540" t="s">
        <v>147</v>
      </c>
      <c r="C39" s="592">
        <v>-34035.58</v>
      </c>
      <c r="D39" s="36"/>
      <c r="F39" s="201" t="s">
        <v>38</v>
      </c>
      <c r="G39" s="265">
        <f t="shared" ref="G39:G44" si="4">G25</f>
        <v>1510014</v>
      </c>
      <c r="H39" s="391">
        <v>0.25030999999999998</v>
      </c>
      <c r="I39" s="197">
        <f t="shared" si="3"/>
        <v>377971.60433999996</v>
      </c>
      <c r="J39" s="201" t="s">
        <v>40</v>
      </c>
      <c r="K39" s="265">
        <f>K26</f>
        <v>0</v>
      </c>
      <c r="L39" s="391">
        <v>0.25031999999999999</v>
      </c>
      <c r="M39" s="197">
        <f t="shared" si="2"/>
        <v>0</v>
      </c>
      <c r="P39" s="275"/>
      <c r="Q39" s="275"/>
    </row>
    <row r="40" spans="1:17" ht="15.6">
      <c r="A40" s="7" t="s">
        <v>131</v>
      </c>
      <c r="B40" s="540" t="s">
        <v>132</v>
      </c>
      <c r="C40" s="592">
        <v>17687.07</v>
      </c>
      <c r="D40" s="36"/>
      <c r="F40" s="201" t="s">
        <v>39</v>
      </c>
      <c r="G40" s="265">
        <f t="shared" si="4"/>
        <v>0</v>
      </c>
      <c r="H40" s="391">
        <v>0.25030999999999998</v>
      </c>
      <c r="I40" s="197">
        <f t="shared" si="3"/>
        <v>0</v>
      </c>
      <c r="J40" s="201" t="s">
        <v>41</v>
      </c>
      <c r="K40" s="265">
        <f>K27</f>
        <v>0</v>
      </c>
      <c r="L40" s="391">
        <v>0.25031999999999999</v>
      </c>
      <c r="M40" s="197">
        <f t="shared" si="2"/>
        <v>0</v>
      </c>
      <c r="P40" s="275"/>
      <c r="Q40" s="275"/>
    </row>
    <row r="41" spans="1:17" ht="15.6">
      <c r="A41" s="7" t="s">
        <v>153</v>
      </c>
      <c r="B41" s="6" t="s">
        <v>155</v>
      </c>
      <c r="C41" s="592">
        <f>-14825.34-19890.8</f>
        <v>-34716.14</v>
      </c>
      <c r="D41" s="36"/>
      <c r="F41" s="201" t="s">
        <v>40</v>
      </c>
      <c r="G41" s="265">
        <f t="shared" si="4"/>
        <v>266816</v>
      </c>
      <c r="H41" s="391">
        <v>0.25030999999999998</v>
      </c>
      <c r="I41" s="197">
        <f t="shared" si="3"/>
        <v>66786.71295999999</v>
      </c>
      <c r="J41" s="201" t="s">
        <v>42</v>
      </c>
      <c r="K41" s="264">
        <v>0</v>
      </c>
      <c r="L41" s="391">
        <v>0.25031999999999999</v>
      </c>
      <c r="M41" s="197">
        <f t="shared" si="2"/>
        <v>0</v>
      </c>
      <c r="P41" s="275"/>
      <c r="Q41" s="275"/>
    </row>
    <row r="42" spans="1:17" ht="16.2" thickBot="1">
      <c r="A42" s="7" t="s">
        <v>179</v>
      </c>
      <c r="B42" s="540" t="s">
        <v>180</v>
      </c>
      <c r="C42" s="592">
        <v>554022.52</v>
      </c>
      <c r="D42" s="37"/>
      <c r="F42" s="201" t="s">
        <v>41</v>
      </c>
      <c r="G42" s="265">
        <f t="shared" si="4"/>
        <v>27605</v>
      </c>
      <c r="H42" s="391">
        <v>0.25030999999999998</v>
      </c>
      <c r="I42" s="197">
        <f t="shared" si="3"/>
        <v>6909.8075499999995</v>
      </c>
      <c r="J42" s="201" t="s">
        <v>43</v>
      </c>
      <c r="K42" s="266">
        <v>0</v>
      </c>
      <c r="L42" s="391">
        <v>0.25031999999999999</v>
      </c>
      <c r="M42" s="197">
        <f t="shared" si="2"/>
        <v>0</v>
      </c>
      <c r="P42" s="275"/>
      <c r="Q42" s="275"/>
    </row>
    <row r="43" spans="1:17" ht="16.2" thickBot="1">
      <c r="A43" s="85" t="s">
        <v>123</v>
      </c>
      <c r="B43" s="12"/>
      <c r="C43" s="125">
        <f>SUM(C37:C42)</f>
        <v>10067146.289999999</v>
      </c>
      <c r="D43" s="36"/>
      <c r="F43" s="201" t="s">
        <v>42</v>
      </c>
      <c r="G43" s="265">
        <f t="shared" si="4"/>
        <v>0</v>
      </c>
      <c r="H43" s="391">
        <v>0.25030999999999998</v>
      </c>
      <c r="I43" s="197">
        <f t="shared" si="3"/>
        <v>0</v>
      </c>
      <c r="J43" s="200" t="s">
        <v>133</v>
      </c>
      <c r="K43" s="182">
        <f>SUM(K36:K42)</f>
        <v>2230031</v>
      </c>
      <c r="L43" s="183"/>
      <c r="M43" s="198">
        <f>SUM(M36:M42)</f>
        <v>558221.35991999996</v>
      </c>
    </row>
    <row r="44" spans="1:17" ht="16.2" thickBot="1">
      <c r="A44" s="83" t="s">
        <v>178</v>
      </c>
      <c r="B44" s="84" t="s">
        <v>120</v>
      </c>
      <c r="C44" s="592">
        <f>794939.95-1684362.46+255.53</f>
        <v>-889166.98</v>
      </c>
      <c r="D44" s="37"/>
      <c r="F44" s="201" t="s">
        <v>43</v>
      </c>
      <c r="G44" s="265">
        <f t="shared" si="4"/>
        <v>45567</v>
      </c>
      <c r="H44" s="391">
        <v>0.25030999999999998</v>
      </c>
      <c r="I44" s="197">
        <f t="shared" si="3"/>
        <v>11405.875769999999</v>
      </c>
      <c r="J44" s="195"/>
      <c r="K44" s="233">
        <v>2230031</v>
      </c>
      <c r="L44" s="190" t="s">
        <v>102</v>
      </c>
      <c r="M44" s="218">
        <f>M43/K43</f>
        <v>0.25031999999999999</v>
      </c>
    </row>
    <row r="45" spans="1:17" ht="16.2" thickBot="1">
      <c r="A45" s="212" t="s">
        <v>168</v>
      </c>
      <c r="B45" s="6" t="s">
        <v>115</v>
      </c>
      <c r="C45" s="122">
        <v>0</v>
      </c>
      <c r="D45" s="39"/>
      <c r="F45" s="200" t="s">
        <v>133</v>
      </c>
      <c r="G45" s="182">
        <f>SUM(G37:G44)</f>
        <v>4146195</v>
      </c>
      <c r="H45" s="183"/>
      <c r="I45" s="198">
        <f>SUM(I37:I44)</f>
        <v>1037834.07045</v>
      </c>
      <c r="J45" s="85"/>
      <c r="K45" s="232"/>
      <c r="L45" s="188"/>
      <c r="M45" s="581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9"/>
      <c r="G46" s="233">
        <v>4146195</v>
      </c>
      <c r="H46" s="190" t="s">
        <v>102</v>
      </c>
      <c r="I46" s="216">
        <f>I45/G45</f>
        <v>0.25030999999999998</v>
      </c>
      <c r="J46" s="85"/>
      <c r="K46" s="232"/>
      <c r="L46" s="188"/>
      <c r="M46" s="581"/>
    </row>
    <row r="47" spans="1:17" ht="19.5" customHeight="1">
      <c r="A47" s="386" t="s">
        <v>137</v>
      </c>
      <c r="B47" s="6" t="s">
        <v>115</v>
      </c>
      <c r="C47" s="122">
        <v>0</v>
      </c>
      <c r="D47" s="36"/>
      <c r="F47" s="387"/>
      <c r="G47" s="231">
        <f>G45-G46</f>
        <v>0</v>
      </c>
      <c r="H47" s="387"/>
      <c r="I47" s="387"/>
      <c r="J47" s="124"/>
      <c r="K47" s="231">
        <f>K43-K44</f>
        <v>0</v>
      </c>
      <c r="L47" s="387"/>
      <c r="M47" s="124"/>
    </row>
    <row r="48" spans="1:17" ht="16.2" thickBot="1">
      <c r="A48" s="144" t="s">
        <v>330</v>
      </c>
      <c r="B48" s="6" t="s">
        <v>115</v>
      </c>
      <c r="C48" s="592">
        <v>7000</v>
      </c>
      <c r="D48" s="36"/>
      <c r="F48" s="387"/>
      <c r="G48" s="387"/>
      <c r="H48" s="387"/>
      <c r="I48" s="387"/>
      <c r="J48" s="124"/>
      <c r="K48" s="114"/>
      <c r="L48" s="387"/>
      <c r="M48" s="68"/>
    </row>
    <row r="49" spans="1:21" ht="15.6">
      <c r="A49" s="7" t="s">
        <v>130</v>
      </c>
      <c r="B49" s="540" t="s">
        <v>152</v>
      </c>
      <c r="C49" s="592">
        <v>26193.9</v>
      </c>
      <c r="D49" s="36"/>
      <c r="F49" s="387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7"/>
    </row>
    <row r="50" spans="1:21" ht="16.2" thickBot="1">
      <c r="A50" s="7" t="s">
        <v>331</v>
      </c>
      <c r="B50" s="540" t="s">
        <v>152</v>
      </c>
      <c r="C50" s="592">
        <v>131.94999999999999</v>
      </c>
      <c r="D50" s="37"/>
      <c r="F50" s="50" t="s">
        <v>73</v>
      </c>
      <c r="G50" s="387"/>
      <c r="H50" s="130" t="s">
        <v>2</v>
      </c>
      <c r="I50" s="131" t="s">
        <v>3</v>
      </c>
      <c r="J50" s="131" t="s">
        <v>2</v>
      </c>
      <c r="K50" s="128" t="s">
        <v>3</v>
      </c>
      <c r="L50" s="387"/>
      <c r="M50" s="387"/>
    </row>
    <row r="51" spans="1:21" ht="15.6">
      <c r="A51" s="7" t="s">
        <v>224</v>
      </c>
      <c r="B51" s="540" t="s">
        <v>152</v>
      </c>
      <c r="C51" s="592">
        <v>3175.8</v>
      </c>
      <c r="D51" s="36"/>
      <c r="F51" s="387"/>
      <c r="G51" s="387"/>
      <c r="H51" s="151"/>
      <c r="I51" s="152"/>
      <c r="J51" s="152"/>
      <c r="K51" s="152"/>
      <c r="L51" s="126" t="s">
        <v>103</v>
      </c>
      <c r="M51" s="387"/>
    </row>
    <row r="52" spans="1:21" ht="15.6">
      <c r="A52" s="7" t="s">
        <v>342</v>
      </c>
      <c r="B52" s="597" t="s">
        <v>152</v>
      </c>
      <c r="C52" s="592">
        <v>4048.04</v>
      </c>
      <c r="D52" s="33"/>
      <c r="F52" s="387" t="s">
        <v>136</v>
      </c>
      <c r="G52" s="387"/>
      <c r="H52" s="213">
        <f>K12</f>
        <v>-887160.75905200117</v>
      </c>
      <c r="I52" s="115">
        <f>I14</f>
        <v>1505104.9747680007</v>
      </c>
      <c r="J52" s="115">
        <f>L12</f>
        <v>-477560.37094800064</v>
      </c>
      <c r="K52" s="115">
        <f>J14</f>
        <v>624961.50523200026</v>
      </c>
      <c r="L52" s="132">
        <f>SUM(H52:K52)</f>
        <v>765345.34999999916</v>
      </c>
      <c r="M52" s="387"/>
    </row>
    <row r="53" spans="1:21" ht="16.2" thickBot="1">
      <c r="A53" s="22" t="s">
        <v>118</v>
      </c>
      <c r="B53" s="6"/>
      <c r="C53" s="100">
        <f>-C33</f>
        <v>58274.36</v>
      </c>
      <c r="D53" s="36"/>
      <c r="F53" s="386" t="s">
        <v>109</v>
      </c>
      <c r="H53" s="213">
        <f>-I45</f>
        <v>-1037834.07045</v>
      </c>
      <c r="I53" s="115">
        <f>-I32</f>
        <v>-486001.80799</v>
      </c>
      <c r="J53" s="115">
        <f>-M43</f>
        <v>-558221.35991999996</v>
      </c>
      <c r="K53" s="115">
        <f>-M28</f>
        <v>-242069.86504999999</v>
      </c>
      <c r="L53" s="263">
        <f>SUM(H53:K53)</f>
        <v>-2324127.10341</v>
      </c>
    </row>
    <row r="54" spans="1:21" ht="16.2" thickBot="1">
      <c r="A54" s="384" t="s">
        <v>124</v>
      </c>
      <c r="B54" s="475" t="s">
        <v>316</v>
      </c>
      <c r="C54" s="592">
        <v>-10283980.199999999</v>
      </c>
      <c r="D54" s="36"/>
      <c r="F54" s="386" t="s">
        <v>86</v>
      </c>
      <c r="H54" s="235">
        <v>0</v>
      </c>
      <c r="I54" s="236">
        <v>0</v>
      </c>
      <c r="J54" s="236">
        <v>0</v>
      </c>
      <c r="K54" s="237">
        <v>0</v>
      </c>
      <c r="L54" s="215">
        <f>SUM(L52:L53)</f>
        <v>-1558781.7534100008</v>
      </c>
    </row>
    <row r="55" spans="1:21" ht="16.2" thickBot="1">
      <c r="A55" s="386" t="s">
        <v>191</v>
      </c>
      <c r="B55" s="6" t="s">
        <v>192</v>
      </c>
      <c r="C55" s="592">
        <v>-375000</v>
      </c>
      <c r="D55" s="36"/>
      <c r="F55" s="386" t="s">
        <v>71</v>
      </c>
      <c r="H55" s="125">
        <f>IFERROR(H52+H53+H54,0)</f>
        <v>-1924994.8295020012</v>
      </c>
      <c r="I55" s="125">
        <f>I52+I53+I54</f>
        <v>1019103.1667780007</v>
      </c>
      <c r="J55" s="125">
        <f>IFERROR(J52+J53+J54,0)</f>
        <v>-1035781.7308680005</v>
      </c>
      <c r="K55" s="125">
        <f>K52+K53+K54</f>
        <v>382891.64018200024</v>
      </c>
      <c r="L55" s="47">
        <f>SUM(H55:K55)</f>
        <v>-1558781.7534100008</v>
      </c>
    </row>
    <row r="56" spans="1:21" ht="16.2" thickBot="1">
      <c r="A56" s="82" t="s">
        <v>119</v>
      </c>
      <c r="B56" s="84"/>
      <c r="C56" s="160">
        <f>SUM(C43:C55)</f>
        <v>-1382176.8400000017</v>
      </c>
      <c r="D56" s="36"/>
      <c r="F56" s="241" t="s">
        <v>182</v>
      </c>
      <c r="H56" s="386" t="s">
        <v>173</v>
      </c>
      <c r="I56" s="5">
        <f>SUM(H55:I55)</f>
        <v>-905891.66272400052</v>
      </c>
      <c r="J56" s="15" t="s">
        <v>174</v>
      </c>
      <c r="K56" s="386">
        <f>SUM(J55:K55)</f>
        <v>-652890.0906860003</v>
      </c>
      <c r="L56" s="214">
        <f>ROUND(L54-L55,3)</f>
        <v>0</v>
      </c>
      <c r="T56" s="42"/>
    </row>
    <row r="57" spans="1:21" ht="16.2" thickTop="1">
      <c r="A57" s="386" t="s">
        <v>121</v>
      </c>
      <c r="B57" s="6" t="s">
        <v>115</v>
      </c>
      <c r="C57" s="592">
        <v>11668.84</v>
      </c>
      <c r="D57" s="36"/>
      <c r="F57" s="399" t="s">
        <v>182</v>
      </c>
      <c r="H57" s="96"/>
    </row>
    <row r="58" spans="1:21" ht="16.2" thickBot="1">
      <c r="A58" s="386" t="s">
        <v>122</v>
      </c>
      <c r="B58" s="6" t="s">
        <v>115</v>
      </c>
      <c r="C58" s="592">
        <v>5786.87</v>
      </c>
      <c r="D58" s="36"/>
      <c r="F58" s="399" t="s">
        <v>183</v>
      </c>
      <c r="H58" s="157"/>
      <c r="I58" s="120"/>
      <c r="J58" s="120"/>
      <c r="K58" s="205"/>
      <c r="L58" s="120"/>
    </row>
    <row r="59" spans="1:21" ht="16.2" thickBot="1">
      <c r="A59" s="2" t="s">
        <v>125</v>
      </c>
      <c r="B59" s="2"/>
      <c r="C59" s="160">
        <f>SUM(C56:C58)</f>
        <v>-1364721.1300000015</v>
      </c>
      <c r="D59" s="36"/>
      <c r="F59" s="551" t="s">
        <v>323</v>
      </c>
      <c r="G59" s="552" t="str">
        <f>IF(OR(AND(I56&gt;0,K56&gt;0),AND(I56&lt;0,K56&lt;0)),"OK","ERROR")</f>
        <v>OK</v>
      </c>
      <c r="H59" s="388" t="s">
        <v>314</v>
      </c>
      <c r="I59" s="389"/>
    </row>
    <row r="60" spans="1:21" ht="16.8" thickTop="1" thickBot="1">
      <c r="A60" s="2"/>
      <c r="C60" s="101"/>
      <c r="D60" s="36"/>
      <c r="H60" s="320" t="s">
        <v>176</v>
      </c>
      <c r="I60" s="321" t="s">
        <v>177</v>
      </c>
      <c r="J60" s="5"/>
    </row>
    <row r="61" spans="1:21" ht="16.2" thickBot="1">
      <c r="A61" s="9"/>
      <c r="B61" s="9" t="s">
        <v>95</v>
      </c>
      <c r="C61" s="125">
        <f>C59+C34</f>
        <v>765345.34999999939</v>
      </c>
      <c r="D61" s="37"/>
      <c r="H61" s="351">
        <f>SUM('WA - Def-Amtz (current)'!AX5:AX10,'WA - Def-Amtz (current)'!AX41:AX46,'WA - Def-Amtz (current)'!AX76:AX79,'ID - Def-Amtz (current)'!AX5:AX10,'ID - Def-Amtz (current)'!AX42:AX47,'ID - Def-Amtz (current)'!AX75:AX80)</f>
        <v>1748602.033023108</v>
      </c>
      <c r="I61" s="451">
        <f>SUM('WA - Def-Amtz (current)'!AY5:AY10,'WA - Def-Amtz (current)'!AY41:AY46,'WA - Def-Amtz (current)'!AY76:AY79,'ID - Def-Amtz (current)'!AY5:AY10,'ID - Def-Amtz (current)'!AY42:AY47,'ID - Def-Amtz (current)'!AY75:AY80)</f>
        <v>1748602.033023108</v>
      </c>
      <c r="J61" s="386">
        <f>H53+I53+J53+K53</f>
        <v>-2324127.10341</v>
      </c>
    </row>
    <row r="62" spans="1:21" ht="15.6">
      <c r="A62" s="2"/>
      <c r="B62" s="9" t="s">
        <v>160</v>
      </c>
      <c r="C62" s="352">
        <v>765345.35</v>
      </c>
      <c r="G62" s="5"/>
      <c r="I62" s="340">
        <f>H61-I61</f>
        <v>0</v>
      </c>
      <c r="N62" s="5"/>
      <c r="O62" s="5"/>
      <c r="P62" s="21"/>
    </row>
    <row r="63" spans="1:21" ht="15.6">
      <c r="A63" s="9"/>
      <c r="B63" s="9" t="s">
        <v>159</v>
      </c>
      <c r="C63" s="259">
        <f>ROUND(C61-C62,2)</f>
        <v>0</v>
      </c>
      <c r="D63" s="36"/>
      <c r="S63" s="6"/>
    </row>
    <row r="64" spans="1:21" ht="15.6">
      <c r="A64" s="44"/>
      <c r="C64" s="353"/>
      <c r="D64" s="43"/>
      <c r="N64" s="22"/>
      <c r="U64" s="2"/>
    </row>
    <row r="65" spans="1:21" ht="15.6">
      <c r="A65" s="44"/>
      <c r="C65" s="8"/>
      <c r="D65" s="36"/>
      <c r="N65" s="22"/>
      <c r="S65" s="23"/>
    </row>
    <row r="66" spans="1:21" ht="15.6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6">
        <v>-2130</v>
      </c>
    </row>
    <row r="1485" spans="3:3">
      <c r="C1485" s="386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611" priority="7" stopIfTrue="1" operator="equal">
      <formula>0</formula>
    </cfRule>
    <cfRule type="cellIs" dxfId="610" priority="8" stopIfTrue="1" operator="notEqual">
      <formula>0</formula>
    </cfRule>
  </conditionalFormatting>
  <conditionalFormatting sqref="G34 G47 K30 K47">
    <cfRule type="cellIs" dxfId="609" priority="6" operator="notEqual">
      <formula>0</formula>
    </cfRule>
  </conditionalFormatting>
  <conditionalFormatting sqref="C63">
    <cfRule type="cellIs" dxfId="608" priority="4" stopIfTrue="1" operator="equal">
      <formula>0</formula>
    </cfRule>
    <cfRule type="cellIs" dxfId="607" priority="5" stopIfTrue="1" operator="notEqual">
      <formula>0</formula>
    </cfRule>
  </conditionalFormatting>
  <conditionalFormatting sqref="K30">
    <cfRule type="cellIs" dxfId="606" priority="3" operator="notEqual">
      <formula>0</formula>
    </cfRule>
  </conditionalFormatting>
  <conditionalFormatting sqref="G59">
    <cfRule type="cellIs" dxfId="605" priority="2" operator="equal">
      <formula>"ERROR"</formula>
    </cfRule>
  </conditionalFormatting>
  <conditionalFormatting sqref="G59">
    <cfRule type="cellIs" dxfId="604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ABNkDAh4AAERjb20uZXhjZWw0YXBwcy53YW5kLm9yYWNsZS5n
bHdhbmQuY2FsY3VsYXRpb25zLmdldGJhbGFuY2UuR2V0QmFsYW5jZQIBAAk0OTk3
NTcxNzYCAgABMAIDAAYyMDEzMDk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gAAAAF1cgIaAAJbQqzzF/gGCFTgAgAAeHAA
AAAEAnbqnXh4d1UCHgACAQICAhsABjIwMTYwNQIEAgUCBgIHAggCCQIcAAYxOTEw
MDACCwIMAg0CCAIIAggCCAIIAggCCAIIAggCCAIIAggCCAIIAggCCAIIAiECAwId
c3EAfgAAAAAAAnNxAH4ABP///////////////v////7/////dXEAfgAHAAAABAHN
Snd4eHdNAh4AAgECAgIeAAYyMDE0MTECBAIFAgYCBwIIAgkCCgILAgwCDQIIAggC
CAIIAggCCAIIAggCCAIIAggCCAIIAggCCAIIAggCIQIDAh9zcQB+AAAAAAACc3EA
fgAE///////////////+/////gAAAAF1cQB+AAcAAAAEAdzCYXh4d00CHgACAQIC
AiAABjIwMTYwMgIEAgUCBgIHAggCCQIKAgsCDAINAggCCAIIAggCCAIIAggCCAII
AggCCAIIAggCCAIIAggCCAIhAgMCIXNxAH4AAAAAAAJzcQB+AAT/////////////
//7////+/////3VxAH4ABwAAAAQbsx5ceHh3TQIeAAIBAgICIgAGMjAxNTA2AgQC
BQIGAgcCCAIJAgoCCwIMAg0CCAIIAggCCAIIAggCCAIIAggCCAIIAggCCAIIAggC
CAIIAiECAwIjc3EAfgAAAAAAAnNxAH4ABP///////////////v////7/////dXEA
fgAHAAAABAoBb7x4eHdVAh4AAgECAgIkAAYyMDE2MDYCBAIFAgYCBwIIAgkCJQAG
MTkxMDE1AgsCDAINAggCCAIIAggCCAIIAggCCAIIAggCCAIIAggCCAIIAggCCAIh
AgMCJnNxAH4AAAAAAAJzcQB+AAT///////////////7////+/////3VxAH4ABwAA
AAMSZ2t4eHdFAh4AAgECAgIiAgQCBQIGAgcCCAIJAiUCCwIMAg0CCAIIAggCCAII
AggCCAIIAggCCAIIAggCCAIIAggCCAIIAiECAwInc3EAfgAAAAAAAnNxAH4ABP///////////////v////7/////dXEAfgAHAAAAAxI4j3h4d00CHgACAQICAigABjIwMTYwMwIEAgUCBgIHAggCCQIcAgsCDAINAggCCAIIAggCCAIIAggCCAIIAggCCAIIAggCCAIIAggCCAIhAgMCKXNxAH4AAAAAAAJzcQB+AAT///////////////7////+/////3VxAH4ABwAAAAQC+0uLeHh3TQIeAAIBAgICKgAGMjAxNjA3AgQCBQIGAgcCCAIJAgoCCwIMAg0CCAIIAggCCAIIAggCCAIIAggCCAIIAggCCAIIAggCCAIIAiECAwIrc3EAfgAAAAAAAnNxAH4ABP///////////////v////7/////dXEAfgAHAAAABCsQC1F4eHdNAh4AAgECAgIsAAYyMDE1MTECBAIFAgYCBwIIAgkCCgILAgwCDQIIAggCCAIIAggCCAIIAggCCAIIAggCCAIIAggCCAIIAggCIQIDAi1zcQB+AAAAAAACc3EAfgAE///////////////+/////v////91cQB+AAcAAAAED//8Qnh4d00CHgACAQICAi4ABjIwMTUwOAIEAgUCBgIHAggCCQIcAgsCDAINAggCCAIIAggCCAIIAggCCAIIAggCCAIIAggCCAIIAggCCAIhAgMCL3NxAH4AAAAAAAJzcQB+AAT///////////////7////+/////3VxAH4ABwAAAAQC9WGSeHh3RQIeAAIBAgICAwIEAgUCBgIHAggCCQIcAgsCDAINAggCCAIIAggCCAIIAggCCAIIAggCCAIIAggCCAIIAggCCAIhAgMCMHNxAH4AAAAAAAJzcQB+AAT///////////////7////+/////3VxAH4ABwAAAAMIfR14eHdNAh4AAgECAgIxAAYyMDE0MTICBAIFAgYCBwIIAgkCCgILAgwCDQIIAggCCAIIAggCCAIIAggCCAIIAggCCAIIAggCCAIIAggCIQIDAjJzcQB+AAAAAAACc3EAfgAE///////////////+/////v////91cQB+AAcAAAAEAnSESXh4d0UCHgACAQICAi4CBAIFAgYCBwIIAgkCCgILAgwCDQIIAggCCAIIAggCCAIIAggCCAIIAggCCAIIAggCCAIIAggCIQIDAjNzcQB+AAAAAAACc3EAfgAE///////////////+/////v////91cQB+AAcAAAAEDmrsqXh4d0UCHgACAQICAh4CBAIFAgYCBwIIAgkCHAILAgwCDQIIAggCCAIIAggCCAIIAggCCAIIAggCCAIIAggCCAIIAggCIQIDAjRzcQB+AAAAAAACc3EAfgAE///////////////+/////v////91cQB+AAcAAAAEDQi6snh4d0UCHgACAQICAiICBAIFAgYCBwIIAgkCHAILAgwCDQIIAggCCAIIAggCCAIIAggCCAIIAggCCAIIAggCCAIIAggCIQIDAjVzcQB+AAAAAAACc3EAfgAE///////////////+/////v////91cQB+AAcAAAAEA7ctM3h4d00CHgACAQICAjYABjIwMTUwNQIEAgUCBgIHAggCCQIKAgsCDAINAggCCAIIAggCCAIIAggCCAIIAggCCAIIAggCCAIIAggCCAIhAgMCN3NxAH4AAAAAAAJzcQB+AAT///////////////7////+/////3VxAH4ABwAAAAQISVOheHh3RQIeAAIBAgICGwIEAgUCBgIHAggCCQIlAgsCDAINAggCCAIIAggCCAIIAggCCAIIAggCCAIIAggCCAIIAggCCAIhAgMCOHNxAH4AAAAAAAJzcQB+AAT///////////////7////+/////3VxAH4ABwAAAAMSY394eHdNAh4AAgECAgI5AAYyMDE1MDECBAIFAgYCBwIIAgkCHAILAgwCDQIIAggCCAIIAggCCAIIAggCCAIIAggCCAIIAggCCAIIAggCIQIDAjpzcQB+AAAAAAACc3EAfgAE///////////////+/////v////91cQB+AAcAAAAECDkkJ3h4d0UCHgACAQICAjYCBAIFAgYCBwIIAgkCHAILAgwCDQIIAggCCAIIAggCCAIIAggCCAIIAggCCAIIAggCCAIIAggCIQIDAjtzcQB+AAAAAAACc3EAfgAE///////////////+/////v////91cQB+AAcAAAAEBBabOHh4d0UCHgACAQICAigCBAIFAgYCBwIIAgkCCgILAgwCDQIIAggCCAIIAggCCAIIAggCCAIIAggCCAIIAggCCAIIAggCIQIDAjxzcQB+AAAAAAACc3EAfgAE///////////////+/////v////91cQB+AAcAAAAEHq4JT3h4d00CHgACAQICAj0ABjIwMTYxMgIEAgUCBgIHAggCCQIcAgsCDAINAggCCAIIAggCCAIIAggCCAIIAggCCAIIAggCCAIIAggCCAIhAgMCPnNxAH4AAAAAAABzcQB+AAT///////////////7////+AAAAAHVxAH4ABwAAAAB4eHdNAh4AAgECAgI/AAYyMDE1MDICBAIFAgYCBwIIAgkCHAILAgwCDQIIAggCCAIIAggCCAIIAggCCAIIAggCCAIIAggCCAIIAggCIQIDAkBzcQB+AAAAAAACc3EAfgAE///////////////+/////v////91cQB+AAcAAAAEBspGxHh4d00CHgACAQICAkEABjIwMTYwNAIEAgUCBgIHAggCCQIlAgsCDAINAggCCAIIAggCCAIIAggCCAIIAggCCAIIAggCCAIIAggCCAIhAgMCQnNxAH4AAAAAAAJzcQB+AAT///////////////7////+/////3VxAH4ABwAAAAMSX5R4eHdFAh4AAgECAgI5AgQCBQIGAgcCCAIJAgoCCwIMAg0CCAIIAggCCAIIAggCCAIIAggCCAIIAggCCAIIAggCCAIIAiECAwJDc3EAfgAAAAAAAnNxAH4ABP///////////////v////7/////dXEAfgAHAAAABAPYqcN4eHdNAh4AAgECAgJEAAYyMDEzMTICBAIFAgYCBwIIAgkCCgILAgwCDQIIAggCCAIIAggCCAIIAggCCAIIAggCCAIIAggCCAIIAggCIQIDAkVzcQB+AAAAAAACc3EAfgAE///////////////+/////v////91cQB+AAcAAAAEECf293h4d5oCHgACAQICAkYABjIwMTYwOAIEAgUCBgIHAggCCQIlAgsCDAINAggCCAIIAggCCAIIAggCCAIIAggCCAIIAggCCAIIAggCCAIhAgMCJgIeAAIBAgICRwAGMjAxNTA5AgQCBQIGAgcCCAIJAhwCCwIMAg0CCAIIAggCCAIIAggCCAIIAggCCAIIAggCCAIIAggCCAIIAiECAwJIc3EAfgAAAAAAAnNxAH4ABP///////////////v////7/////dXEAfgAHAAAABAJ7zQp4eHdFAh4AAgECAgIuAgQCBQIGAgcCCAIJAiUCCwIMAg0CCAIIAggCCAIIAggCCAIIAggCCAIIAggCCAIIAggCCAIIAiECAwJJc3EAfgAAAAAAAnNxAH4ABP///////////////v////7/////dXEAfgAHAAAAAxJAVnh4d00CHgACAQICAkoABjIwMTMxMAIEAgUCBgIHAggCCQIcAgsCDAINAggCCAIIAggCCAIIAggCCAIIAggCCAIIAggCCAIIAggCCAIhAgMCS3NxAH4AAAAAAAJzcQB+AAT///////////////7////+AAAAAXVxAH4ABwAAAAO6VHZ4eHdFAh4AAgECAgIbAgQCBQIGAgcCCAIJAgoCCwIMAg0CCAIIAggCCAIIAggCCAIIAggCCAIIAggCCAIIAggCCAIIAiECAwJMc3EAfgAAAAAAAnNxAH4ABP///////////////v////7/////dXEAfgAHAAAABCYvMsJ4eHdFAh4AAgECAgIsAgQCBQIGAgcCCAIJAhwCCwIMAg0CCAIIAggCCAIIAggCCAIIAggCCAIIAggCCAIIAggCCAIIAiECAwJNc3EAfgAAAAAAAnNxAH4ABP///////////////v////7/////dXEAfgAHAAAABAnitrd4eHdNAh4AAgECAgJOAAYyMDE1MDcCBAIFAgYCBwIIAgkCJQILAgwCDQIIAggCCAIIAggCCAIIAggCCAIIAggCCAIIAggCCAIIAggCIQIDAk9zcQB+AAAAAAACc3EAfgAE///////////////+/////v////91cQB+AAcAAAADEjxyeHh6AAABYQIeAAIBAgICPQIEAgUCBgIHAggCCQIlAgsCDAINAggCCAIIAggCCAIIAggCCAIIAggCCAIIAggCCAIIAggCCAIhAgMCPgIeAAIBAgICRgIEAgUCBgIHAggCCQIKAgsCDAINAggCCAIIAggCCAIIAggCCAIIAggCCAIIAggCCAIIAggCCAIhAgMCKwIeAAIBAgICPQIEAgUCBgIHAggCCQIKAgsCDAINAggCCAIIAggCCAIIAggCCAIIAggCCAIIAggCCAIIAggCCAIhAgMCPgIeAAIBAgICUAAGMjAxNjEwAgQCBQIGAgcCCAIJAgoCCwIMAg0CCAIIAggCCAIIAggCCAIIAggCCAIIAggCCAIIAggCCAIIAiECAwI+Ah4AAgECAgIkAgQCBQIGAgcCCAIJAhwCCwIMAg0CCAIIAggCCAIIAggCCAIIAggCCAIIAggCCAIIAggCCAIIAiECAwJRc3EAfgAAAAAAAnNxAH4ABP///////////////v////7/////dXEAfgAHAAAABAFkyvJ4eHdNAh4AAgECAgJSAAYyMDE1MTICBAIFAgYCBwIIAgkCJQILAgwCDQIIAggCCAIIAggCCAIIAggCCAIIAggCCAIIAggCCAIIAggCIQIDAlNzcQB+AAAAAAACc3EAfgAE///////////////+/////v////91cQB+AAcAAAADEk/ueHh3RQIeAAIBAgICTgIEAgUCBgIHAggCCQIcAgsCDAINAggCCAIIAggCCAIIAggCCAIIAggCCAIIAggCCAIIAggCCAIhAgMCVHNxAH4AAAAAAAJzcQB+AAT///////////////7////+/////3VxAH4ABwAAAAQDXT+eeHh3TQIeAAIBAgICVQAGMjAxNTEwAgQCBQIGAgcCCAIJAgoCCwIMAg0CCAIIAggCCAIIAggCCAIIAggCCAIIAggCCAIIAggCCAIIAiECAwJWc3EAfgAAAAAAAnNxAH4ABP///////////////v////7/////dXEAfgAHAAAABBYv8Ht4eHdNAh4AAgECAgJXAAYyMDE1MDMCBAIFAgYCBwIIAgkCJQILAgwCDQIIAggCCAIIAggCCAIIAggCCAIIAggCCAIIAggCCAIIAggCIQIDAlhzcQB+AAAAAAACc3EAfgAE///////////////+/////v////91cQB+AAcAAAADEizreHh3RQIeAAIBAgICVwIEAgUCBgIHAggCCQIKAgsCDAINAggCCAIIAggCCAIIAggCCAIIAggCCAIIAggCCAIIAggCCAIhAgMCWXNxAH4AAAAAAAJzcQB+AAT///////////////7////+/////3VxAH4ABwAAAAQBtqgNeHh3TQIeAAIBAgICWgAGMjAxNTA0AgQCBQIGAgcCCAIJAiUCCwIMAg0CCAIIAggCCAIIAggCCAIIAggCCAIIAggCCAIIAggCCAIIAiECAwJbc3EAfgAAAAAAAnNxAH4ABP///////////////v////7/////dXEAfgAHAAAAAxIwzHh4d0UCHgACAQICAkQCBAIFAgYCBwIIAgkCHAILAgwCDQIIAggCCAIIAggCCAIIAggCCAIIAggCCAIIAggCCAIIAggCIQIDAlxzcQB+AAAAAAACc3EAfgAE///////////////+/////gAAAAF1cQB+AAcAAAADtuGPeHh3igIeAAIBAgICJAIEAgUCBgIHAggCCQIKAgsCDAINAggCCAIIAggCCAIIAggCCAIIAggCCAIIAggCCAIIAggCCAIhAgMCKwIeAAIBAgICPwIEAgUCBgIHAggCCQIlAgsCDAINAggCCAIIAggCCAIIAggCCAIIAggCCAIIAggCCAIIAggCCAIhAgMCXXNxAH4AAAAAAAJzcQB+AAT///////////////7////+/////3VxAH4ABwAAAAMSKQt4eHdFAh4AAgECAgJBAgQCBQIGAgcCCAIJAhwCCwIMAg0CCAIIAggCCAIIAggCCAIIAggCCAIIAggCCAIIAggCCAIIAiECAwJec3EAfgAAAAAAAnNxAH4ABP///////////////v////7/////dXEAfgAHAAAABAJQHul4eHdFAh4AAgECAgJaAgQCBQIGAgcCCAIJAgoCCwIMAg0CCAIIAggCCAIIAggCCAIIAggCCAIIAggCCAIIAggCCAIIAiECAwJfc3EAfgAAAAAAAnNxAH4ABP///////////////v////7/////dXEAfgAHAAAABAdMHyF4eHdFAh4AAgECAgIgAgQCBQIGAgcCCAIJAhwCCwIMAg0CCAIIAggCCAIIAggCCAIIAggCCAIIAggCCAIIAggCCAIIAiECAwJgc3EAfgAAAAAAAnNxAH4ABP///////////////v////7/////dXEAfgAHAAAABARbkhB4eHdFAh4AAgECAgIxAgQCBQIGAgcCCAIJAhwCCwIMAg0CCAIIAggCCAIIAggCCAIIAggCCAIIAggCCAIIAggCCAIIAiECAwJhc3EAfgAAAAAAAnNxAH4ABP///////////////v////7/////dXEAfgAHAAAABApbKpV4eHeKAh4AAgECAgJGAgQCBQIGAgcCCAIJAhwCCwIMAg0CCAIIAggCCAIIAggCCAIIAggCCAIIAggCCAIIAggCCAIIAiECAwJRAh4AAgECAgJSAgQCBQIGAgcCCAIJAgoCCwIMAg0CCAIIAggCCAIIAggCCAIIAggCCAIIAggCCAIIAggCCAIIAiECAwJic3EAfgAAAAAAAnNxAH4ABP///////////////v////7/////dXEAfgAHAAAABBWqFYd4eHdFAh4AAgECAgJVAgQCBQIGAgcCCAIJAhwCCwIMAg0CCAIIAggCCAIIAggCCAIIAggCCAIIAggCCAIIAggCCAIIAiECAwJjc3EAfgAAAAAAAnNxAH4ABP///////////////v////7/////dXEAfgAHAAAABAHItvZ4eHdNAh4AAgECAgJkAAYyMDEzMTECBAIFAgYCBwIIAgkCHAILAgwCDQIIAggCCAIIAggCCAIIAggCCAIIAggCCAIIAggCCAIIAggCIQIDAmVzcQB+AAAAAAACc3EAfgAE///////////////+/////gAAAAF1cQB+AAcAAAADueCJeHh3RQIeAAIBAgICLAIEAgUCBgIHAggCCQIlAgsCDAINAggCCAIIAggCCAIIAggCCAIIAggCCAIIAggCCAIIAggCCAIhAgMCZnNxAH4AAAAAAAJzcQB+AAT///////////////7////+/////3VxAH4ABwAAAAMSTAd4eHdFAh4AAgECAgJBAgQCBQIGAgcCCAIJAgoCCwIMAg0CCAIIAggCCAIIAggCCAIIAggCCAIIAggCCAIIAggCCAIIAiECAwJnc3EAfgAAAAAAAnNxAH4ABP///////////////v////7/////dXEAfgAHAAAABCPGeP14eHdNAh4AAgECAgJoAAYyMDE2MDECBAIFAgYCBwIIAgkCCgILAgwCDQIIAggCCAIIAggCCAIIAggCCAIIAggCCAIIAggCCAIIAggCIQIDAmlzcQB+AAAAAAACc3EAfgAE///////////////+/////v////91cQB+AAcAAAAEGe0oknh4egAAAa4CHgACAQICAmoABjIwMTYwOQIEAgUCBgIHAggCCQIcAgsCDAINAggCCAIIAggCCAIIAggCCAIIAggCCAIIAggCCAIIAggCCAIhAgMCPgIeAAIBAgICawAGMjAxNjExAgQCBQIGAgcCCAIJAhwCCwIMAg0CCAIIAggCCAIIAggCCAIIAggCCAIIAggCCAIIAggCCAIIAiECAwI+Ah4AAgECAgJQAgQCBQIGAgcCCAIJAiUCCwIMAg0CCAIIAggCCAIIAggCCAIIAggCCAIIAggCCAIIAggCCAIIAiECAwI+Ah4AAgECAgJqAgQCBQIGAgcCCAIJAgoCCwIMAg0CCAIIAggCCAIIAggCCAIIAggCCAIIAggCCAIIAggCCAIIAiECAwI+Ah4AAgECAgJQAgQCBQIGAgcCCAIJAhwCCwIMAg0CCAIIAggCCAIIAggCCAIIAggCCAIIAggCCAIIAggCCAIIAiECAwI+Ah4AAgECAgJSAgQCBQIGAgcCCAIJAhwCCwIMAg0CCAIIAggCCAIIAggCCAIIAggCCAIIAggCCAIIAggCCAIIAiECAwJsc3EAfgAAAAAAAnNxAH4ABP///////////////v////7/////dXEAfgAHAAAABAfaeUh4eHeKAh4AAgECAgIqAgQCBQIGAgcCCAIJAhwCCwIMAg0CCAIIAggCCAIIAggCCAIIAggCCAIIAggCCAIIAggCCAIIAiECAwJRAh4AAgECAgJVAgQCBQIGAgcCCAIJAiUCCwIMAg0CCAIIAggCCAIIAggCCAIIAggCCAIIAggCCAIIAggCCAIIAiECAwJtc3EAfgAAAAAAAnNxAH4ABP///////////////v////7/////dXEAfgAHAAAAAxJIIXh4d0UCHgACAQICAjYCBAIFAgYCBwIIAgkCJQILAgwCDQIIAggCCAIIAggCCAIIAggCCAIIAggCCAIIAggCCAIIAggCIQIDAm5zcQB+AAAAAAACc3EAfgAE///////////////+/////v////91cQB+AAcAAAADEjSteHh3RQIeAAIBAgICSgIEAgUCBgIHAggCCQIKAgsCDAINAggCCAIIAggCCAIIAggCCAIIAggCCAIIAggCCAIIAggCCAIhAgMCb3NxAH4AAAAAAAJzcQB+AAT///////////////7////+/////3VxAH4ABwAAAAQBEh/yeHh3RQIeAAIBAgICTgIEAgUCBgIHAggCCQIKAgsCDAINAggCCAIIAggCCAIIAggCCAIIAggCCAIIAggCCAIIAggCCAIhAgMCcHNxAH4AAAAAAAJzcQB+AAT///////////////7////+/////3VxAH4ABwAAAAQMDfkOeHh3RQIeAAIBAgICKAIEAgUCBgIHAggCCQIlAgsCDAINAggCCAIIAggCCAIIAggCCAIIAggCCAIIAggCCAIIAggCCAIhAgMCcXNxAH4AAAAAAAJzcQB+AAT///////////////7////+/////3VxAH4ABwAAAAMSW6l4eHfPAh4AAgECAgJqAgQCBQIGAgcCCAIJAiUCCwIMAg0CCAIIAggCCAIIAggCCAIIAggCCAIIAggCCAIIAggCCAIIAiECAwI+Ah4AAgECAgJrAgQCBQIGAgcCCAIJAgoCCwIMAg0CCAIIAggCCAIIAggCCAIIAggCCAIIAggCCAIIAggCCAIIAiECAwI+Ah4AAgECAgIgAgQCBQIGAgcCCAIJAiUCCwIMAg0CCAIIAggCCAIIAggCCAIIAggCCAIIAggCCAIIAggCCAIIAiECAwJyc3EAfgAAAAAAAnNxAH4ABP///////////////v////7/////dXEAfgAHAAAAAxJXv3h4d0UCHgACAQICAj8CBAIFAgYCBwIIAgkCCgILAgwCDQIIAggCCAIIAggCCAIIAggCCAIIAggCCAIIAggCCAIIAggCIQIDAnNzcQB+AAAAAAACc3EAfgAE///////////////+/////v////91cQB+AAcAAAAEBH/KaHh4d4oCHgACAQICAmsCBAIFAgYCBwIIAgkCJQILAgwCDQIIAggCCAIIAggCCAIIAggCCAIIAggCCAIIAggCCAIIAggCIQIDAj4CHgACAQICAkcCBAIFAgYCBwIIAgkCCgILAgwCDQIIAggCCAIIAggCCAIIAggCCAIIAggCCAIIAggCCAIIAggCIQIDAnRzcQB+AAAAAAACc3EAfgAE///////////////+/////v////91cQB+AAcAAAAEEkfzrXh4d0UCHgACAQICAkcCBAIFAgYCBwIIAgkCJQILAgwCDQIIAggCCAIIAggCCAIIAggCCAIIAggCCAIIAggCCAIIAggCIQIDAnVzcQB+AAAAAAACc3EAfgAE///////////////+/////v////91cQB+AAcAAAADEkQ7eHh3RQIeAAIBAgICVwIEAgUCBgIHAggCCQIcAgsCDAINAggCCAIIAggCCAIIAggCCAIIAggCCAIIAggCCAIIAggCCAIhAgMCdnNxAH4AAAAAAAJzcQB+AAT///////////////7////+/////3VxAH4ABwAAAAQFh+tKeHh3igIeAAIBAgICKgIEAgUCBgIHAggCCQIlAgsCDAINAggCCAIIAggCCAIIAggCCAIIAggCCAIIAggCCAIIAggCCAIhAgMCJgIeAAIBAgICWgIEAgUCBgIHAggCCQIcAgsCDAINAggCCAIIAggCCAIIAggCCAIIAggCCAIIAggCCAIIAggCCAIhAgMCd3NxAH4AAAAAAAJzcQB+AAT///////////////7////+/////3VxAH4ABwAAAAQEkvcseHh3RQIeAAIBAgICZAIEAgUCBgIHAggCCQIKAgsCDAINAggCCAIIAggCCAIIAggCCAIIAggCCAIIAggCCAIIAggCCAIhAgMCeHNxAH4AAAAAAAJzcQB+AAT///////////////7////+/////3VxAH4ABwAAAAQEmBHzeHh3RQIeAAIBAgICaAIEAgUCBgIHAggCCQIcAgsCDAINAggCCAIIAggCCAIIAggCCAIIAggCCAIIAggCCAIIAggCCAIhAgMCeXNxAH4AAAAAAAJzcQB+AAT///////////////7////+/////3VxAH4ABwAAAAQF3An5eHh3RQIeAAIBAgICaAIEAgUCBgIHAggCCQIlAgsCDAINAggCCAIIAggCCAIIAggCCAIIAggCCAIIAggCCAIIAggCCAIhAgMCenNxAH4AAAAAAAJzcQB+AAT///////////////7////+/////3VxAH4ABwAAAAMSU9Z4eHdUAh4AAnsACTQ5OTc0NDQxNgICAi4CBAIFAgYCBwIIAgkCHAILAnwAAldBAg0CCAIIAggCCAIIAggCCAIIAggCCAIIAggCCAIIAggCCAIIAg4CAwJ9c3EAfgAAAAAAAnNxAH4ABP///////////////v////7/////dXEAfgAHAAAABAL/9AZ4eHdFAh4AAnsCAgI/AgQCBQIGAgcCCAIJAgoCCwJ8Ag0CCAIIAggCCAIIAggCCAIIAggCCAIIAggCCAIIAggCCAIIAg4CAwJ+c3EAfgAAAAAAAnNxAH4ABP///////////////v////7/////dXEAfgAHAAAABAoZgqJ4eHdFAh4AAnsCAgIDAgQCBQIGAgcCCAIJAhwCCwJ8Ag0CCAIIAggCCAIIAggCCAIIAggCCAIIAggCCAIIAggCCAIIAg4CAwJ/c3EAfgAAAAAAAnNxAH4ABP///////////////v////7/////dXEAfgAHAAAAA0Y+enh4d0UCHgACewICAmQCBAIFAgYCBwIIAgkCHAILAnwCDQIIAggCCAIIAggCCAIIAggCCAIIAggCCAIIAggCCAIIAggCDgIDAoBzcQB+AAAAAAACc3EAfgAE///////////////+/////gAAAAF1cQB+AAcAAAAECNwFNnh4d0UCHgACewICAjYCBAIFAgYCBwIIAgkCCgILAnwCDQIIAggCCAIIAggCCAIIAggCCAIIAggCCAIIAggCCAIIAggCDgIDAoFzcQB+AAAAAAACc3EAfgAE///////////////+/////v////91cQB+AAcAAAAEEYd3rXh4d0UCHgACewICAiwCBAIFAgYCBwIIAgkCHAILAnwCDQIIAggCCAIIAggCCAIIAggCCAIIAggCCAIIAggCCAIIAggCDgIDAoJzcQB+AAAAAAACc3EAfgAE///////////////+/////v////91cQB+AAcAAAAEEa8NQ3h4d5ICHgACewICAmoCBAIFAgYCBwIIAgkCgwAGMTkxMDI1AgsCfAINAggCCAIIAggCCAIIAggCCAIIAggCCAIIAggCCAIIAggCCAIOAgMCPgIeAAJ7AgICGwIEAgUCBgIHAggCCQIcAgsCfAINAggCCAIIAggCCAIIAggCCAIIAggCCAIIAggCCAIIAggCCAIOAgMChHNxAH4AAAAAAAJzcQB+AAT///////////////7////+/////3VxAH4ABwAAAAQENonjeHh3RQIeAAJ7AgICLAIEAgUCBgIHAggCCQIKAgsCfAINAggCCAIIAggCCAIIAggCCAIIAggCCAIIAggCCAIIAggCCAIOAgMChXNxAH4AAAAAAAJzcQB+AAT///////////////7////+/////3VxAH4ABwAAAAQaRc5ReHh3RQIeAAJ7AgICKgIEAgUCBgIHAggCCQKDAgsCfAINAggCCAIIAggCCAIIAggCCAIIAggCCAIIAggCCAIIAggCCAIOAgMChnNxAH4AAAAAAAJzcQB+AAT///////////////7////+/////3VxAH4ABwAAAAMKgFR4eHdFAh4AAnsCAgJaAgQCBQIGAgcCCAIJAhwCCwJ8Ag0CCAIIAggCCAIIAggCCAIIAggCCAIIAggCCAIIAggCCAIIAg4CAwKHc3EAfgAAAAAAAnNxAH4ABP///////////////v////7/////dXEAfgAHAAAABAP9O454eHdFAh4AAnsCAgIiAgQCBQIGAgcCCAIJAoMCCwJ8Ag0CCAIIAggCCAIIAggCCAIIAggCCAIIAggCCAIIAggCCAIIAg4CAwKIc3EAfgAAAAAAAnNxAH4ABP///////////////v////7/////dXEAfgAHAAAAAyvOLXh4d0UCHgACewICAj8CBAIFAgYCBwIIAgkCgwILAnwCDQIIAggCCAIIAggCCAIIAggCCAIIAggCCAIIAggCCAIIAggCDgIDAolzcQB+AAAAAAACc3EAfgAE///////////////+/////v////91cQB+AAcAAAADOjG1eHh3RQIeAAJ7AgICRAIEAgUCBgIHAggCCQKDAgsCfAINAggCCAIIAggCCAIIAggCCAIIAggCCAIIAggCCAIIAggCCAIOAgMCinNxAH4AAAAAAAJzcQB+AAT///////////////7////+/////3VxAH4ABwAAAAMU5eR4eHdFAh4AAnsCAgJBAgQCBQIGAgcCCAIJAhwCCwJ8Ag0CCAIIAggCCAIIAggCCAIIAggCCAIIAggCCAIIAggCCAIIAg4CAwKLc3EAfgAAAAAAAnNxAH4ABP///////////////v////7/////dXEAfgAHAAAABATkMA94eHdFAh4AAnsCAgJGAgQCBQIGAgcCCAIJAhwCCwJ8Ag0CCAIIAggCCAIIAggCCAIIAggCCAIIAggCCAIIAggCCAIIAg4CAwKMc3EAfgAAAAAAAnNxAH4ABP///////////////v////7/////dXEAfgAHAAAABAOri614eHdFAh4AAnsCAgI2AgQCBQIGAgcCCAIJAoMCCwJ8Ag0CCAIIAggCCAIIAggCCAIIAggCCAIIAggCCAIIAggCCAIIAg4CAwKNc3EAfgAAAAAAAnNxAH4ABP///////////////v////7/////dXEAfgAHAAAAAy1tRnh4d0UCHgACewICAkoCBAIFAgYCBwIIAgkCgwILAnwCDQIIAggCCAIIAggCCAIIAggCCAIIAggCCAIIAggCCAIIAggCDgIDAo5zcQB+AAAAAAACc3EAfgAE///////////////+/////gAAAAF1cQB+AAcAAAADDGvIeHh3RQIeAAJ7AgICTgIEAgUCBgIHAggCCQIcAgsCfAINAggCCAIIAggCCAIIAggCCAIIAggCCAIIAggCCAIIAggCCAIOAgMCj3NxAH4AAAAAAAJzcQB+AAT///////////////7////+/////3VxAH4ABwAAAAQDNC1CeHh3RQIeAAJ7AgICIAIEAgUCBgIHAggCCQKDAgsCfAINAggCCAIIAggCCAIIAggCCAIIAggCCAIIAggCCAIIAggCCAIOAgMCkHNxAH4AAAAAAAJzcQB+AAT///////////////7////+/////3VxAH4ABwAAAAMSFct4eHdFAh4AAnsCAgIiAgQCBQIGAgcCCAIJAhwCCwJ8Ag0CCAIIAggCCAIIAggCCAIIAggCCAIIAggCCAIIAggCCAIIAg4CAwKRc3EAfgAAAAAAAnNxAH4ABP///////////////v////7/////dXEAfgAHAAAABANtSwp4eHdFAh4AAnsCAgJXAgQCBQIGAgcCCAIJAgoCCwJ8Ag0CCAIIAggCCAIIAggCCAIIAggCCAIIAggCCAIIAggCCAIIAg4CAwKSc3EAfgAAAAAAAnNxAH4ABP///////////////v////7/////dXEAfgAHAAAABAQSyzV4eHdFAh4AAnsCAgIoAgQCBQIGAgcCCAIJAoMCCwJ8Ag0CCAIIAggCCAIIAggCCAIIAggCCAIIAggCCAIIAggCCAIIAg4CAwKTc3EAfgAAAAAAAnNxAH4ABP///////////////v////7/////dXEAfgAHAAAAAw6D3Xh4d4oCHgACewICAj0CBAIFAgYCBwIIAgkCgwILAnwCDQIIAggCCAIIAggCCAIIAggCCAIIAggCCAIIAggCCAIIAggCDgIDAj4CHgACewICAlcCBAIFAgYCBwIIAgkCHAILAnwCDQIIAggCCAIIAggCCAIIAggCCAIIAggCCAIIAggCCAIIAggCDgIDApRzcQB+AAAAAAACc3EAfgAE///////////////+/////v////91cQB+AAcAAAAEBMbof3h4d0UCHgACewICAiwCBAIFAgYCBwIIAgkCgwILAnwCDQIIAggCCAIIAggCCAIIAggCCAIIAggCCAIIAggCCAIIAggCDgIDApVzcQB+AAAAAAACc3EAfgAE///////////////+/////v////91cQB+AAcAAAADIJ/ueHh3RQIeAAJ7AgICTgIEAgUCBgIHAggCCQIKAgsCfAINAggCCAIIAggCCAIIAggCCAIIAggCCAIIAggCCAIIAggCCAIOAgMClnNxAH4AAAAAAAJzcQB+AAT///////////////7////+/////3VxAH4ABwAAAAQUpmRbeHh3RQIeAAJ7AgICRwIEAgUCBgIHAggCCQIcAgsCfAINAggCCAIIAggCCAIIAggCCAIIAggCCAIIAggCCAIIAggCCAIOAgMCl3NxAH4AAAAAAAJzcQB+AAT///////////////7////+/////3VxAH4ABwAAAAQCqKEneHh3RQIeAAJ7AgICQQIEAgUCBgIHAggCCQIKAgsCfAINAggCCAIIAggCCAIIAggCCAIIAggCCAIIAggCCAIIAggCCAIOAgMCmHNxAH4AAAAAAAJzcQB+AAT///////////////7////+/////3VxAH4ABwAAAARIcHiveHh3RQIeAAJ7AgICRAIEAgUCBgIHAggCCQIKAgsCfAINAggCCAIIAggCCAIIAggCCAIIAggCCAIIAggCCAIIAggCCAIOAgMCmXNxAH4AAAAAAAJzcQB+AAT///////////////7////+/////3VxAH4ABwAAAAQZJ63EeHh3RQIeAAJ7AgICNgIEAgUCBgIHAggCCQIcAgsCfAINAggCCAIIAggCCAIIAggCCAIIAggCCAIIAggCCAIIAggCCAIOAgMCmnNxAH4AAAAAAAJzcQB+AAT///////////////7////+/////3VxAH4ABwAAAAQDpCHKeHh3RQIeAAJ7AgICWgIEAgUCBgIHAggCCQIKAgsCfAINAggCCAIIAggCCAIIAggCCAIIAggCCAIIAggCCAIIAggCCAIOAgMCm3NxAH4AAAAAAAJzcQB+AAT///////////////7////+/////3VxAH4ABwAAAAQQgcN/eHh3RQIeAAJ7AgICGwIEAgUCBgIHAggCCQKDAgsCfAINAggCCAIIAggCCAIIAggCCAIIAggCCAIIAggCCAIIAggCCAIOAgMCnHNxAH4AAAAAAAJzcQB+AAT///////////////7////+/////3VxAH4ABwAAAAMLgq14eHdFAh4AAnsCAgJVAgQCBQIGAgcCCAIJAhwCCwJ8Ag0CCAIIAggCCAIIAggCCAIIAggCCAIIAggCCAIIAggCCAIIAg4CAwKdc3EAfgAAAAAAAnNxAH4ABP///////////////v////7/////dXEAfgAHAAAABAIlzSh4eHdFAh4AAnsCAgIuAgQCBQIGAgcCCAIJAgoCCwJ8Ag0CCAIIAggCCAIIAggCCAIIAggCCAIIAggCCAIIAggCCAIIAg4CAwKec3EAfgAAAAAAAnNxAH4ABP///////////////v////7/////dXEAfgAHAAAABBUw9F94eHdFAh4AAnsCAgJSAgQCBQIGAgcCCAIJAoMCCwJ8Ag0CCAIIAggCCAIIAggCCAIIAggCCAIIAggCCAIIAggCCAIIAg4CAwKfc3EAfgAAAAAAAnNxAH4ABP///////////////v////7/////dXEAfgAHAAAAAxuwpnh4d0UCHgACewICAhsCBAIFAgYCBwIIAgkCCgILAnwCDQIIAggCCAIIAggCCAIIAggCCAIIAggCCAIIAggCCAIIAggCDgIDAqBzcQB+AAAAAAACc3EAfgAE///////////////+/////v////91cQB+AAcAAAAETCsLgHh4d0UCHgACewICAgMCBAIFAgYCBwIIAgkCCgILAnwCDQIIAggCCAIIAggCCAIIAggCCAIIAggCCAIIAggCCAIIAggCDgIDAqFzcQB+AAAAAAACc3EAfgAE///////////////+/////gAAAAF1cQB+AAcAAAAEECtfyXh4d0UCHgACewICAlICBAIFAgYCBwIIAgkCHAILAnwCDQIIAggCCAIIAggCCAIIAggCCAIIAggCCAIIAggCCAIIAggCDgIDAqJzcQB+AAAAAAACc3EAfgAE///////////////+/////v////91cQB+AAcAAAAEDk9gcXh4d0UCHgACewICAlcCBAIFAgYCBwIIAgkCgwILAnwCDQIIAggCCAIIAggCCAIIAggCCAIIAggCCAIIAggCCAIIAggCDgIDAqNzcQB+AAAAAAACc3EAfgAE///////////////+/////v////91cQB+AAcAAAADNE/JeHh3RQIeAAJ7AgICIAIEAgUCBgIHAggCCQIcAgsCfAINAggCCAIIAggCCAIIAggCCAIIAggCCAIIAggCCAIIAggCCAIOAgMCpHNxAH4AAAAAAAJzcQB+AAT///////////////7////+/////3VxAH4ABwAAAAQIJf+xeHh3igIeAAJ7AgICagIEAgUCBgIHAggCCQIKAgsCfAINAggCCAIIAggCCAIIAggCCAIIAggCCAIIAggCCAIIAggCCAIOAgMCPgIeAAJ7AgICAwIEAgUCBgIHAggCCQKDAgsCfAINAggCCAIIAggCCAIIAggCCAIIAggCCAIIAggCCAIIAggCCAIOAgMCpXNxAH4AAAAAAAJzcQB+AAT///////////////7////+AAAAAXVxAH4ABwAAAAM7aBl4eHdFAh4AAnsCAgJBAgQCBQIGAgcCCAIJAoMCCwJ8Ag0CCAIIAggCCAIIAggCCAIIAggCCAIIAggCCAIIAggCCAIIAg4CAwKmc3EAfgAAAAAAAnNxAH4ABP///////////////v////7/////dXEAfgAHAAAAAwzG/nh4d0UCHgACewICAloCBAIFAgYCBwIIAgkCgwILAnwCDQIIAggCCAIIAggCCAIIAggCCAIIAggCCAIIAggCCAIIAggCDgIDAqdzcQB+AAAAAAACc3EAfgAE///////////////+/////v////91cQB+AAcAAAADL7CMeHh3RQIeAAJ7AgICJAIEAgUCBgIHAggCCQIKAgsCfAINAggCCAIIAggCCAIIAggCCAIIAggCCAIIAggCCAIIAggCCAIOAgMCqHNxAH4AAAAAAAJzcQB+AAT///////////////7////+/////3VxAH4ABwAAAARUiEubeHh3RQIeAAJ7AgICZAIEAgUCBgIHAggCCQIKAgsCfAINAggCCAIIAggCCAIIAggCCAIIAggCCAIIAggCCAIIAggCCAIOAgMCqXNxAH4AAAAAAAJzcQB+AAT///////////////7////+/////3VxAH4ABwAAAAMzHXN4eHdFAh4AAnsCAgJoAgQCBQIGAgcCCAIJAoMCCwJ8Ag0CCAIIAggCCAIIAggCCAIIAggCCAIIAggCCAIIAggCCAIIAg4CAwKqc3EAfgAAAAAAAnNxAH4ABP///////////////v////7/////dXEAfgAHAAAAAxYpG3h4d4oCHgACewICAj0CBAIFAgYCBwIIAgkCHAILAnwCDQIIAggCCAIIAggCCAIIAggCCAIIAggCCAIIAggCCAIIAggCDgIDAj4CHgACewICAmgCBAIFAgYCBwIIAgkCCgILAnwCDQIIAggCCAIIAggCCAIIAggCCAIIAggCCAIIAggCCAIIAggCDgIDAqtzcQB+AAAAAAACc3EAfgAE///////////////+/////v////91cQB+AAcAAAAEMkKnVHh4d0UCHgACewICAiACBAIFAgYCBwIIAgkCCgILAnwCDQIIAggCCAIIAggCCAIIAggCCAIIAggCCAIIAggCCAIIAggCDgIDAqxzcQB+AAAAAAACc3EAfgAE///////////////+/////v////91cQB+AAcAAAAENzj1T3h4d0UCHgACewICAk4CBAIFAgYCBwIIAgkCgwILAnwCDQIIAggCCAIIAggCCAIIAggCCAIIAggCCAIIAggCCAIIAggCDgIDAq1zcQB+AAAAAAACc3EAfgAE///////////////+/////v////91cQB+AAcAAAADKkFheHh6AAABFAIeAAJ7AgICRgIEAgUCBgIHAggCCQIKAgsCfAINAggCCAIIAggCCAIIAggCCAIIAggCCAIIAggCCAIIAggCCAIOAgMCqAIeAAJ7AgICUAIEAgUCBgIHAggCCQIKAgsCfAINAggCCAIIAggCCAIIAggCCAIIAggCCAIIAggCCAIIAggCCAIOAgMCPgIeAAJ7AgICPQIEAgUCBgIHAggCCQIKAgsCfAINAggCCAIIAggCCAIIAggCCAIIAggCCAIIAggCCAIIAggCCAIOAgMCPgIeAAJ7AgICPwIEAgUCBgIHAggCCQIcAgsCfAINAggCCAIIAggCCAIIAggCCAIIAggCCAIIAggCCAIIAggCCAIOAgMCrnNxAH4AAAAAAAJzcQB+AAT///////////////7////+/////3VxAH4ABwAAAAQF1TuAeHh3igIeAAJ7AgICUAIEAgUCBgIHAggCCQIcAgsCfAINAggCCAIIAggCCAIIAggCCAIIAggCCAIIAggCCAIIAggCCAIOAgMCPgIeAAJ7AgICRAIEAgUCBgIHAggCCQIcAgsCfAINAggCCAIIAggCCAIIAggCCAIIAggCCAIIAggCCAIIAggCCAIOAgMCr3NxAH4AAAAAAAJzcQB+AAT///////////////7////+AAAAAXVxAH4ABwAAAAQIRms/eHh3RQIeAAJ7AgICSgIEAgUCBgIHAggCCQIKAgsCfAINAggCCAIIAggCCAIIAggCCAIIAggCCAIIAggCCAIIAggCCAIOAgMCsHNxAH4AAAAAAAJzcQB+AAT///////////////7////+AAAAAXVxAH4ABwAAAAQNcODWeHh3zwIeAAJ7AgICRgIEAgUCBgIHAggCCQKDAgsCfAINAggCCAIIAggCCAIIAggCCAIIAggCCAIIAggCCAIIAggCCAIOAgMChgIeAAJ7AgICKgIEAgUCBgIHAggCCQIcAgsCfAINAggCCAIIAggCCAIIAggCCAIIAggCCAIIAggCCAIIAggCCAIOAgMCjAIeAAJ7AgICRwIEAgUCBgIHAggCCQKDAgsCfAINAggCCAIIAggCCAIIAggCCAIIAggCCAIIAggCCAIIAggCCAIOAgMCsXNxAH4AAAAAAAJzcQB+AAT///////////////7////+/////3VxAH4ABwAAAAMmhvZ4eHdFAh4AAnsCAgJKAgQCBQIGAgcCCAIJAhwCCwJ8Ag0CCAIIAggCCAIIAggCCAIIAggCCAIIAggCCAIIAggCCAIIAg4CAwKyc3EAfgAAAAAAAnNxAH4ABP///////////////v////4AAAABdXEAfgAHAAAABAJpzoV4eHdFAh4AAnsCAgJVAgQCBQIGAgcCCAIJAgoCCwJ8Ag0CCAIIAggCCAIIAggCCAIIAggCCAIIAggCCAIIAggCCAIIAg4CAwKzc3EAfgAAAAAAAnNxAH4ABP///////////////v////7/////dXEAfgAHAAAABCMrPEJ4eHfPAh4AAnsCAgIqAgQCBQIGAgcCCAIJAgoCCwJ8Ag0CCAIIAggCCAIIAggCCAIIAggCCAIIAggCCAIIAggCCAIIAg4CAwKoAh4AAnsCAgJrAgQCBQIGAgcCCAIJAgoCCwJ8Ag0CCAIIAggCCAIIAggCCAIIAggCCAIIAggCCAIIAggCCAIIAg4CAwI+Ah4AAnsCAgJSAgQCBQIGAgcCCAIJAgoCCwJ8Ag0CCAIIAggCCAIIAggCCAIIAggCCAIIAggCCAIIAggCCAIIAg4CAwK0c3EAfgAAAAAAAnNxAH4ABP///////////////v////7/////dXEAfgAHAAAABCbK6gN4eHdFAh4AAnsCAgJVAgQCBQIGAgcCCAIJAoMCCwJ8Ag0CCAIIAggCCAIIAggCCAIIAggCCAIIAggCCAIIAggCCAIIAg4CAwK1c3EAfgAAAAAAAnNxAH4ABP///////////////v////7/////dXEAfgAHAAAAAyNbinh4d0UCHgACewICAmgCBAIFAgYCBwIIAgkCHAILAnwCDQIIAggCCAIIAggCCAIIAggCCAIIAggCCAIIAggCCAIIAggCDgIDArZzcQB+AAAAAAACc3EAfgAE///////////////+/////v////91cQB+AAcAAAAECrp+bnh4d4oCHgACewICAmsCBAIFAgYCBwIIAgkCHAILAnwCDQIIAggCCAIIAggCCAIIAggCCAIIAggCCAIIAggCCAIIAggCDgIDAj4CHgACewICAi4CBAIFAgYCBwIIAgkCgwILAnwCDQIIAggCCAIIAggCCAIIAggCCAIIAggCCAIIAggCCAIIAggCDgIDArdzcQB+AAAAAAACc3EAfgAE///////////////+/////v////91cQB+AAcAAAADKMJVeHh3RQIeAAJ7AgICKAIEAgUCBgIHAggCCQIKAgsCfAINAggCCAIIAggCCAIIAggCCAIIAggCCAIIAggCCAIIAggCCAIOAgMCuHNxAH4AAAAAAAJzcQB+AAT///////////////7////+/////3VxAH4ABwAAAAQ9+1bieHh3RQIeAAJ7AgICRwIEAgUCBgIHAggCCQIKAgsCfAINAggCCAIIAggCCAIIAggCCAIIAggCCAIIAggCCAIIAggCCAIOAgMCuXNxAH4AAAAAAAJzcQB+AAT///////////////7////+/////3VxAH4ABwAAAAQcWN0JeHh6AAABFAIeAAJ7AgICJAIEAgUCBgIHAggCCQKDAgsCfAINAggCCAIIAggCCAIIAggCCAIIAggCCAIIAggCCAIIAggCCAIOAgMChgIeAAJ7AgICUAIEAgUCBgIHAggCCQKDAgsCfAINAggCCAIIAggCCAIIAggCCAIIAggCCAIIAggCCAIIAggCCAIOAgMCPgIeAAJ7AgICagIEAgUCBgIHAggCCQIcAgsCfAINAggCCAIIAggCCAIIAggCCAIIAggCCAIIAggCCAIIAggCCAIOAgMCPgIeAAJ7AgICKAIEAgUCBgIHAggCCQIcAgsCfAINAggCCAIIAggCCAIIAggCCAIIAggCCAIIAggCCAIIAggCCAIOAgMCunNxAH4AAAAAAAJzcQB+AAT///////////////7////+/////3VxAH4ABwAAAAQF6I5ueHh3RQIeAAJ7AgICIgIEAgUCBgIHAggCCQIKAgsCfAINAggCCAIIAggCCAIIAggCCAIIAggCCAIIAggCCAIIAggCCAIOAgMCu3NxAH4AAAAAAAJzcQB+AAT///////////////7////+/////3VxAH4ABwAAAAQSjaK7eHh3RQIeAAJ7AgICZAIEAgUCBgIHAggCCQKDAgsCfAINAggCCAIIAggCCAIIAggCCAIIAggCCAIIAggCCAIIAggCCAIOAgMCvHNxAH4AAAAAAAJzcQB+AAT///////////////7////+/////3VxAH4ABwAAAAMBDvh4eHoAAAQAAh4AAnsCAgIkAgQCBQIGAgcCCAIJAhwCCwJ8Ag0CCAIIAggCCAIIAggCCAIIAggCCAIIAggCCAIIAggCCAIIAg4CAwKMAh4AAnsCAgJrAgQCBQIGAgcCCAIJAoMCCwJ8Ag0CCAIIAggCCAIIAggCCAIIAggCCAIIAggCCAIIAggCCAIIAg4CAwI+Ah4AAr0ACTQ5OTc0OTA1NgICAiwCBAIFAgYCBwIIAgkCCgILAnwCDQIIAggCCAIIAggCCAIIAggCCAIIAggCCAIIAggCCAIIAggAAgMChQIeAAK9AgICIAIEAgUCBgIHAggCCQIKAgsCfAINAggCCAIIAggCCAIIAggCCAIIAggCCAIIAggCCAIIAggCCAACAwKsAh4AAr0CAgJqAgQCBQIGAgcCCAIJAhwCCwJ8Ag0CCAIIAggCCAIIAggCCAIIAggCCAIIAggCCAIIAggCCAIIAAIDAj4CHgACvQICAmQCBAIFAgYCBwIIAgkCHAILAnwCDQIIAggCCAIIAggCCAIIAggCCAIIAggCCAIIAggCCAIIAggAAgMCgAIeAAK9AgICIAIEAgUCBgIHAggCCQIcAgsCfAINAggCCAIIAggCCAIIAggCCAIIAggCCAIIAggCCAIIAggCCAACAwKkAh4AAr0CAgJSAgQCBQIGAgcCCAIJAhwCCwJ8Ag0CCAIIAggCCAIIAggCCAIIAggCCAIIAggCCAIIAggCCAIIAAIDAqICHgACvQICAiICBAIFAgYCBwIIAgkCgwILAnwCDQIIAggCCAIIAggCCAIIAggCCAIIAggCCAIIAggCCAIIAggAAgMCiAIeAAK9AgICKgIEAgUCBgIHAggCCQIKAgsCfAINAggCCAIIAggCCAIIAggCCAIIAggCCAIIAggCCAIIAggCCAACAwKoAh4AAr0CAgIgAgQCBQIGAgcCCAIJAoMCCwJ8Ag0CCAIIAggCCAIIAggCCAIIAggCCAIIAggCCAIIAggCCAIIAAIDApACHgACvQICAmQCBAIFAgYCBwIIAgkCCgILAnwCDQIIAggCCAIIAggCCAIIAggCCAIIAggCCAIIAggCCAIIAggAAgMCqQIeAAK9AgICaAIEAgUCBgIHAggCCQIKAgsCfAINAggCCAIIAggCCAIIAggCCAIIAggCCAIIAggCCAIIAggCCAACAwKrAh4AAr0CAgJSAgQCBQIGAgcCCAIJAoMCCwJ8Ag0CCAIIAggCCAIIAggCCAIIAggCCAIIAggCCAIIAggCCAIIAAIDAp8CHgACvQICAloCBAIFAgYCBwIIAgkCHAILAnwCDQIIAggCCAIIAggCCAIIAggCCAIIAggCCAIIAggCCHoAAAQAAggCCAACAwKHAh4AAr0CAgJEAgQCBQIGAgcCCAIJAoMCCwJ8Ag0CCAIIAggCCAIIAggCCAIIAggCCAIIAggCCAIIAggCCAIIAAIDAooCHgACvQICAkQCBAIFAgYCBwIIAgkCCgILAnwCDQIIAggCCAIIAggCCAIIAggCCAIIAggCCAIIAggCCAIIAggAAgMCmQIeAAK9AgICaAIEAgUCBgIHAggCCQIcAgsCfAINAggCCAIIAggCCAIIAggCCAIIAggCCAIIAggCCAIIAggCCAACAwK2Ah4AAr0CAgJQAgQCBQIGAgcCCAIJAoMCCwJ8Ag0CCAIIAggCCAIIAggCCAIIAggCCAIIAggCCAIIAggCCAIIAAIDAj4CHgACvQICAgMCBAIFAgYCBwIIAgkCHAILAnwCDQIIAggCCAIIAggCCAIIAggCCAIIAggCCAIIAggCCAIIAggAAgMCfwIeAAK9AgICPQIEAgUCBgIHAggCCQIKAgsCfAINAggCCAIIAggCCAIIAggCCAIIAggCCAIIAggCCAIIAggCCAACAwI+Ah4AAr0CAgIqAgQCBQIGAgcCCAIJAhwCCwJ8Ag0CCAIIAggCCAIIAggCCAIIAggCCAIIAggCCAIIAggCCAIIAAIDAowCHgACvQICAlcCBAIFAgYCBwIIAgkCCgILAnwCDQIIAggCCAIIAggCCAIIAggCCAIIAggCCAIIAggCCAIIAggAAgMCkgIeAAK9AgICawIEAgUCBgIHAggCCQIcAgsCfAINAggCCAIIAggCCAIIAggCCAIIAggCCAIIAggCCAIIAggCCAACAwI+Ah4AAr0CAgJVAgQCBQIGAgcCCAIJAgoCCwJ8Ag0CCAIIAggCCAIIAggCCAIIAggCCAIIAggCCAIIAggCCAIIAAIDArMCHgACvQICAmoCBAIFAgYCBwIIAgkCCgILAnwCDQIIAggCCAIIAggCCAIIAggCCAIIAggCCAIIAggCCAIIAggAAgMCPgIeAAK9AgICJAIEAgUCBgIHAggCCQIcAgsCfAINAggCCAIIAggCCAIIAggCCAIIAggCCAIIAggCCAIIAggCCAACAwKMAh4AAr0CAgJEAgQCBQIGAgcCCAIJAhwCCwJ8Ag0CCAIIAggCCAIIAggCCAIIAggCCAIIAggCCAIIAggCCAIIAAIDAq8CHgACvQICAj8CBAIFAgYCBwIIAgkCgwILAnwCDQIIAggCCAIIAggCCAIIAggCCAIIAggCCAIIAggCCAIIAggAAgMCiQIeAAK9AgICNgIEAgUCBgIHAggCCQIcAgsCfAINAggCCAIIAggCCAIIAggCCAIIAggCCAIIAggCCAIIAggCCHoAAAQAAAIDApoCHgACvQICAk4CBAIFAgYCBwIIAgkCHAILAnwCDQIIAggCCAIIAggCCAIIAggCCAIIAggCCAIIAggCCAIIAggAAgMCjwIeAAK9AgICAwIEAgUCBgIHAggCCQIKAgsCfAINAggCCAIIAggCCAIIAggCCAIIAggCCAIIAggCCAIIAggCCAACAwKhAh4AAr0CAgJQAgQCBQIGAgcCCAIJAgoCCwJ8Ag0CCAIIAggCCAIIAggCCAIIAggCCAIIAggCCAIIAggCCAIIAAIDAj4CHgACvQICAloCBAIFAgYCBwIIAgkCgwILAnwCDQIIAggCCAIIAggCCAIIAggCCAIIAggCCAIIAggCCAIIAggAAgMCpwIeAAK9AgICGwIEAgUCBgIHAggCCQIKAgsCfAINAggCCAIIAggCCAIIAggCCAIIAggCCAIIAggCCAIIAggCCAACAwKgAh4AAr0CAgIbAgQCBQIGAgcCCAIJAhwCCwJ8Ag0CCAIIAggCCAIIAggCCAIIAggCCAIIAggCCAIIAggCCAIIAAIDAoQCHgACvQICAmsCBAIFAgYCBwIIAgkCgwILAnwCDQIIAggCCAIIAggCCAIIAggCCAIIAggCCAIIAggCCAIIAggAAgMCPgIeAAK9AgICLAIEAgUCBgIHAggCCQIcAgsCfAINAggCCAIIAggCCAIIAggCCAIIAggCCAIIAggCCAIIAggCCAACAwKCAh4AAr0CAgJOAgQCBQIGAgcCCAIJAgoCCwJ8Ag0CCAIIAggCCAIIAggCCAIIAggCCAIIAggCCAIIAggCCAIIAAIDApYCHgACvQICAmoCBAIFAgYCBwIIAgkCgwILAnwCDQIIAggCCAIIAggCCAIIAggCCAIIAggCCAIIAggCCAIIAggAAgMCPgIeAAK9AgICKgIEAgUCBgIHAggCCQKDAgsCfAINAggCCAIIAggCCAIIAggCCAIIAggCCAIIAggCCAIIAggCCAACAwKGAh4AAr0CAgIuAgQCBQIGAgcCCAIJAgoCCwJ8Ag0CCAIIAggCCAIIAggCCAIIAggCCAIIAggCCAIIAggCCAIIAAIDAp4CHgACvQICAiQCBAIFAgYCBwIIAgkCgwILAnwCDQIIAggCCAIIAggCCAIIAggCCAIIAggCCAIIAggCCAIIAggAAgMChgIeAAK9AgICRwIEAgUCBgIHAggCCQKDAgsCfAINAggCCAIIAggCCAIIAggCCAIIAggCCAIIAggCCAIIAggCCAACAwKxAh4AAr0CAgI9AgQCBQIGAgcCCAIJAoMCCwJ8Ag0CCAIIAggCCAIIAggCCAIIAggCCAIIAggCCAIIAggCCAIIAAIDAnoAAAQAPgIeAAK9AgICRgIEAgUCBgIHAggCCQIKAgsCfAINAggCCAIIAggCCAIIAggCCAIIAggCCAIIAggCCAIIAggCCAACAwKoAh4AAr0CAgJXAgQCBQIGAgcCCAIJAhwCCwJ8Ag0CCAIIAggCCAIIAggCCAIIAggCCAIIAggCCAIIAggCCAIIAAIDApQCHgACvQICAi4CBAIFAgYCBwIIAgkCHAILAnwCDQIIAggCCAIIAggCCAIIAggCCAIIAggCCAIIAggCCAIIAggAAgMCfQIeAAK9AgICUgIEAgUCBgIHAggCCQIKAgsCfAINAggCCAIIAggCCAIIAggCCAIIAggCCAIIAggCCAIIAggCCAACAwK0Ah4AAr0CAgJGAgQCBQIGAgcCCAIJAoMCCwJ8Ag0CCAIIAggCCAIIAggCCAIIAggCCAIIAggCCAIIAggCCAIIAAIDAoYCHgACvQICAigCBAIFAgYCBwIIAgkCCgILAnwCDQIIAggCCAIIAggCCAIIAggCCAIIAggCCAIIAggCCAIIAggAAgMCuAIeAAK9AgICVQIEAgUCBgIHAggCCQKDAgsCfAINAggCCAIIAggCCAIIAggCCAIIAggCCAIIAggCCAIIAggCCAACAwK1Ah4AAr0CAgIDAgQCBQIGAgcCCAIJAoMCCwJ8Ag0CCAIIAggCCAIIAggCCAIIAggCCAIIAggCCAIIAggCCAIIAAIDAqUCHgACvQICAkcCBAIFAgYCBwIIAgkCCgILAnwCDQIIAggCCAIIAggCCAIIAggCCAIIAggCCAIIAggCCAIIAggAAgMCuQIeAAK9AgICIgIEAgUCBgIHAggCCQIKAgsCfAINAggCCAIIAggCCAIIAggCCAIIAggCCAIIAggCCAIIAggCCAACAwK7Ah4AAr0CAgIsAgQCBQIGAgcCCAIJAoMCCwJ8Ag0CCAIIAggCCAIIAggCCAIIAggCCAIIAggCCAIIAggCCAIIAAIDApUCHgACvQICAjYCBAIFAgYCBwIIAgkCCgILAnwCDQIIAggCCAIIAggCCAIIAggCCAIIAggCCAIIAggCCAIIAggAAgMCgQIeAAK9AgICPwIEAgUCBgIHAggCCQIcAgsCfAINAggCCAIIAggCCAIIAggCCAIIAggCCAIIAggCCAIIAggCCAACAwKuAh4AAr0CAgIiAgQCBQIGAgcCCAIJAhwCCwJ8Ag0CCAIIAggCCAIIAggCCAIIAggCCAIIAggCCAIIAggCCAIIAAIDApECHgACvQICAiQCBAIFAgYCBwIIAgkCCgILAnwCDQIIAggCCAIIAggCCAIIAggCCAIIAggCCAIIAggCCAIIAggAAgMCqAIeAHoAAAQAAr0CAgJkAgQCBQIGAgcCCAIJAoMCCwJ8Ag0CCAIIAggCCAIIAggCCAIIAggCCAIIAggCCAIIAggCCAIIAAIDArwCHgACvQICAlUCBAIFAgYCBwIIAgkCHAILAnwCDQIIAggCCAIIAggCCAIIAggCCAIIAggCCAIIAggCCAIIAggAAgMCnQIeAAK9AgICaAIEAgUCBgIHAggCCQKDAgsCfAINAggCCAIIAggCCAIIAggCCAIIAggCCAIIAggCCAIIAggCCAACAwKqAh4AAr0CAgIoAgQCBQIGAgcCCAIJAhwCCwJ8Ag0CCAIIAggCCAIIAggCCAIIAggCCAIIAggCCAIIAggCCAIIAAIDAroCHgACvQICAloCBAIFAgYCBwIIAgkCCgILAnwCDQIIAggCCAIIAggCCAIIAggCCAIIAggCCAIIAggCCAIIAggAAgMCmwIeAAK9AgICUAIEAgUCBgIHAggCCQIcAgsCfAINAggCCAIIAggCCAIIAggCCAIIAggCCAIIAggCCAIIAggCCAACAwI+Ah4AAr0CAgJrAgQCBQIGAgcCCAIJAgoCCwJ8Ag0CCAIIAggCCAIIAggCCAIIAggCCAIIAggCCAIIAggCCAIIAAIDAj4CHgACvQICAk4CBAIFAgYCBwIIAgkCgwILAnwCDQIIAggCCAIIAggCCAIIAggCCAIIAggCCAIIAggCCAIIAggAAgMCrQIeAAK9AgICQQIEAgUCBgIHAggCCQIKAgsCfAINAggCCAIIAggCCAIIAggCCAIIAggCCAIIAggCCAIIAggCCAACAwKYAh4AAr0CAgJHAgQCBQIGAgcCCAIJAhwCCwJ8Ag0CCAIIAggCCAIIAggCCAIIAggCCAIIAggCCAIIAggCCAIIAAIDApcCHgACvQICAkoCBAIFAgYCBwIIAgkCCgILAnwCDQIIAggCCAIIAggCCAIIAggCCAIIAggCCAIIAggCCAIIAggAAgMCsAIeAAK9AgICPQIEAgUCBgIHAggCCQIcAgsCfAINAggCCAIIAggCCAIIAggCCAIIAggCCAIIAggCCAIIAggCCAACAwI+Ah4AAr0CAgJXAgQCBQIGAgcCCAIJAoMCCwJ8Ag0CCAIIAggCCAIIAggCCAIIAggCCAIIAggCCAIIAggCCAIIAAIDAqMCHgACvQICAj8CBAIFAgYCBwIIAgkCCgILAnwCDQIIAggCCAIIAggCCAIIAggCCAIIAggCCAIIAggCCAIIAggAAgMCfgIeAAK9AgICRgIEAgUCBgIHAggCCQIcAgsCfAINAggCCAIIAggCCAIIAggCCAIIAggCCAIIAggCCAIIAggCCAACAwKMAh4AAr0CAnoAAAQAAi4CBAIFAgYCBwIIAgkCgwILAnwCDQIIAggCCAIIAggCCAIIAggCCAIIAggCCAIIAggCCAIIAggAAgMCtwIeAAK9AgICSgIEAgUCBgIHAggCCQIcAgsCfAINAggCCAIIAggCCAIIAggCCAIIAggCCAIIAggCCAIIAggCCAACAwKyAh4AAr0CAgIbAgQCBQIGAgcCCAIJAoMCCwJ8Ag0CCAIIAggCCAIIAggCCAIIAggCCAIIAggCCAIIAggCCAIIAAIDApwCHgACvQICAigCBAIFAgYCBwIIAgkCgwILAnwCDQIIAggCCAIIAggCCAIIAggCCAIIAggCCAIIAggCCAIIAggAAgMCkwIeAAK9AgICSgIEAgUCBgIHAggCCQKDAgsCfAINAggCCAIIAggCCAIIAggCCAIIAggCCAIIAggCCAIIAggCCAACAwKOAh4AAr0CAgI2AgQCBQIGAgcCCAIJAoMCCwJ8Ag0CCAIIAggCCAIIAggCCAIIAggCCAIIAggCCAIIAggCCAIIAAIDAo0CHgACvQICAkECBAIFAgYCBwIIAgkCgwILAnwCDQIIAggCCAIIAggCCAIIAggCCAIIAggCCAIIAggCCAIIAggAAgMCpgIeAAK9AgICQQIEAgUCBgIHAggCCQIcAgsCfAINAggCCAIIAggCCAIIAggCCAIIAggCCAIIAggCCAIIAggCCAACAwKLAh4AAr4ACTQ5OTc1NDg1NgICAiACBAIFAgYCBwIIAgkCgwILAnwCDQIIAggCCAIIAggCCAIIAggCCAIIAggCCAIIAggCCAIIAggCIAIDApACHgACvgICAiwCBAIFAgYCBwIIAgkCHAILAnwCDQIIAggCCAIIAggCCAIIAggCCAIIAggCCAIIAggCCAIIAggCIAIDAoICHgACvgICAmoCBAIFAgYCBwIIAgkCHAILAnwCDQIIAggCCAIIAggCCAIIAggCCAIIAggCCAIIAggCCAIIAggCIAIDAj4CHgACvgICAmsCBAIFAgYCBwIIAgkCgwILAnwCDQIIAggCCAIIAggCCAIIAggCCAIIAggCCAIIAggCCAIIAggCIAIDAj4CHgACvgICAiICBAIFAgYCBwIIAgkCCgILAnwCDQIIAggCCAIIAggCCAIIAggCCAIIAggCCAIIAggCCAIIAggCIAIDArsCHgACvgICAk4CBAIFAgYCBwIIAgkCCgILAnwCDQIIAggCCAIIAggCCAIIAggCCAIIAggCCAIIAggCCAIIAggCIAIDApYCHgACvgICAlICBAIFAgYCBwIIAgkCCgILAnwCDQIIAggCCAIIAggCCAIIAggCCAIIAggCCAIIAggCCAIIAnoAAAQACAIgAgMCtAIeAAK+AgICAwIEAgUCBgIHAggCCQIKAgsCfAINAggCCAIIAggCCAIIAggCCAIIAggCCAIIAggCCAIIAggCCAIgAgMCoQIeAAK+AgICZAIEAgUCBgIHAggCCQKDAgsCfAINAggCCAIIAggCCAIIAggCCAIIAggCCAIIAggCCAIIAggCCAIgAgMCvAIeAAK+AgICWgIEAgUCBgIHAggCCQKDAgsCfAINAggCCAIIAggCCAIIAggCCAIIAggCCAIIAggCCAIIAggCCAIgAgMCpwIeAAK+AgICIgIEAgUCBgIHAggCCQIcAgsCfAINAggCCAIIAggCCAIIAggCCAIIAggCCAIIAggCCAIIAggCCAIgAgMCkQIeAAK+AgICSgIEAgUCBgIHAggCCQKDAgsCfAINAggCCAIIAggCCAIIAggCCAIIAggCCAIIAggCCAIIAggCCAIgAgMCjgIeAAK+AgICPwIEAgUCBgIHAggCCQKDAgsCfAINAggCCAIIAggCCAIIAggCCAIIAggCCAIIAggCCAIIAggCCAIgAgMCiQIeAAK+AgICUAIEAgUCBgIHAggCCQIcAgsCfAINAggCCAIIAggCCAIIAggCCAIIAggCCAIIAggCCAIIAggCCAIgAgMCPgIeAAK+AgICRwIEAgUCBgIHAggCCQKDAgsCfAINAggCCAIIAggCCAIIAggCCAIIAggCCAIIAggCCAIIAggCCAIgAgMCsQIeAAK+AgICWgIEAgUCBgIHAggCCQIcAgsCfAINAggCCAIIAggCCAIIAggCCAIIAggCCAIIAggCCAIIAggCCAIgAgMChwIeAAK+AgICNgIEAgUCBgIHAggCCQIcAgsCfAINAggCCAIIAggCCAIIAggCCAIIAggCCAIIAggCCAIIAggCCAIgAgMCmgIeAAK+AgICRwIEAgUCBgIHAggCCQIKAgsCfAINAggCCAIIAggCCAIIAggCCAIIAggCCAIIAggCCAIIAggCCAIgAgMCuQIeAAK+AgICVQIEAgUCBgIHAggCCQKDAgsCfAINAggCCAIIAggCCAIIAggCCAIIAggCCAIIAggCCAIIAggCCAIgAgMCtQIeAAK+AgICRAIEAgUCBgIHAggCCQKDAgsCfAINAggCCAIIAggCCAIIAggCCAIIAggCCAIIAggCCAIIAggCCAIgAgMCigIeAAK+AgICVwIEAgUCBgIHAggCCQIcAgsCfAINAggCCAIIAggCCAIIAggCCAIIAggCCAIIAggCCAIIAggCCAIgAgMClAIeAAK+AgICawIEAgUCBgIHAggCCQIKAgsCfAINAggCCAIIAggCCAIIAggCCAIIAggCCHoAAAQAAggCCAIIAggCCAIIAiACAwI+Ah4AAr4CAgI/AgQCBQIGAgcCCAIJAgoCCwJ8Ag0CCAIIAggCCAIIAggCCAIIAggCCAIIAggCCAIIAggCCAIIAiACAwJ+Ah4AAr4CAgJBAgQCBQIGAgcCCAIJAoMCCwJ8Ag0CCAIIAggCCAIIAggCCAIIAggCCAIIAggCCAIIAggCCAIIAiACAwKmAh4AAr4CAgIoAgQCBQIGAgcCCAIJAoMCCwJ8Ag0CCAIIAggCCAIIAggCCAIIAggCCAIIAggCCAIIAggCCAIIAiACAwKTAh4AAr4CAgIkAgQCBQIGAgcCCAIJAoMCCwJ8Ag0CCAIIAggCCAIIAggCCAIIAggCCAIIAggCCAIIAggCCAIIAiACAwKGAh4AAr4CAgIbAgQCBQIGAgcCCAIJAhwCCwJ8Ag0CCAIIAggCCAIIAggCCAIIAggCCAIIAggCCAIIAggCCAIIAiACAwKEAh4AAr4CAgJBAgQCBQIGAgcCCAIJAhwCCwJ8Ag0CCAIIAggCCAIIAggCCAIIAggCCAIIAggCCAIIAggCCAIIAiACAwKLAh4AAr4CAgJkAgQCBQIGAgcCCAIJAgoCCwJ8Ag0CCAIIAggCCAIIAggCCAIIAggCCAIIAggCCAIIAggCCAIIAiACAwKpAh4AAr4CAgIDAgQCBQIGAgcCCAIJAhwCCwJ8Ag0CCAIIAggCCAIIAggCCAIIAggCCAIIAggCCAIIAggCCAIIAiACAwJ/Ah4AAr4CAgJOAgQCBQIGAgcCCAIJAhwCCwJ8Ag0CCAIIAggCCAIIAggCCAIIAggCCAIIAggCCAIIAggCCAIIAiACAwKPAh4AAr4CAgJoAgQCBQIGAgcCCAIJAgoCCwJ8Ag0CCAIIAggCCAIIAggCCAIIAggCCAIIAggCCAIIAggCCAIIAiACAwKrAh4AAr4CAgIDAgQCBQIGAgcCCAIJAoMCCwJ8Ag0CCAIIAggCCAIIAggCCAIIAggCCAIIAggCCAIIAggCCAIIAiACAwKlAh4AAr4CAgJVAgQCBQIGAgcCCAIJAgoCCwJ8Ag0CCAIIAggCCAIIAggCCAIIAggCCAIIAggCCAIIAggCCAIIAiACAwKzAh4AAr4CAgIoAgQCBQIGAgcCCAIJAhwCCwJ8Ag0CCAIIAggCCAIIAggCCAIIAggCCAIIAggCCAIIAggCCAIIAiACAwK6Ah4AAr4CAgIoAgQCBQIGAgcCCAIJAgoCCwJ8Ag0CCAIIAggCCAIIAggCCAIIAggCCAIIAggCCAIIAggCCAIIAiACAwK4Ah4AAr4CAgIiAgQCBQIGAgcCCAIJAoMCCwJ8Ag0CCAIIAggCCAIIAnoAAAQACAIIAggCCAIIAggCCAIIAggCCAIIAggCIAIDAogCHgACvgICAlcCBAIFAgYCBwIIAgkCCgILAnwCDQIIAggCCAIIAggCCAIIAggCCAIIAggCCAIIAggCCAIIAggCIAIDApICHgACvgICAioCBAIFAgYCBwIIAgkCHAILAnwCDQIIAggCCAIIAggCCAIIAggCCAIIAggCCAIIAggCCAIIAggCIAIDAowCHgACvgICAkQCBAIFAgYCBwIIAgkCHAILAnwCDQIIAggCCAIIAggCCAIIAggCCAIIAggCCAIIAggCCAIIAggCIAIDAq8CHgACvgICAlcCBAIFAgYCBwIIAgkCgwILAnwCDQIIAggCCAIIAggCCAIIAggCCAIIAggCCAIIAggCCAIIAggCIAIDAqMCHgACvgICAiQCBAIFAgYCBwIIAgkCCgILAnwCDQIIAggCCAIIAggCCAIIAggCCAIIAggCCAIIAggCCAIIAggCIAIDAqgCHgACvgICAlACBAIFAgYCBwIIAgkCgwILAnwCDQIIAggCCAIIAggCCAIIAggCCAIIAggCCAIIAggCCAIIAggCIAIDAj4CHgACvgICAiwCBAIFAgYCBwIIAgkCgwILAnwCDQIIAggCCAIIAggCCAIIAggCCAIIAggCCAIIAggCCAIIAggCIAIDApUCHgACvgICAlICBAIFAgYCBwIIAgkCgwILAnwCDQIIAggCCAIIAggCCAIIAggCCAIIAggCCAIIAggCCAIIAggCIAIDAp8CHgACvgICAjYCBAIFAgYCBwIIAgkCCgILAnwCDQIIAggCCAIIAggCCAIIAggCCAIIAggCCAIIAggCCAIIAggCIAIDAoECHgACvgICAlUCBAIFAgYCBwIIAgkCHAILAnwCDQIIAggCCAIIAggCCAIIAggCCAIIAggCCAIIAggCCAIIAggCIAIDAp0CHgACvgICAkYCBAIFAgYCBwIIAgkCCgILAnwCDQIIAggCCAIIAggCCAIIAggCCAIIAggCCAIIAggCCAIIAggCIAIDAqgCHgACvgICAkoCBAIFAgYCBwIIAgkCCgILAnwCDQIIAggCCAIIAggCCAIIAggCCAIIAggCCAIIAggCCAIIAggCIAIDArACHgACvgICAhsCBAIFAgYCBwIIAgkCgwILAnwCDQIIAggCCAIIAggCCAIIAggCCAIIAggCCAIIAggCCAIIAggCIAIDApwCHgACvgICAi4CBAIFAgYCBwIIAgkCgwILAnwCDQIIAggCCAIIAggCCAIIAggCCAIIAggCCAIIAggCCAIIAggCIAIDArcCHgACvgICAkQCBAIFAgYCBwIIAgkCCgILAnwCDXoAAAQAAggCCAIIAggCCAIIAggCCAIIAggCCAIIAggCCAIIAggCCAIgAgMCmQIeAAK+AgICLgIEAgUCBgIHAggCCQIKAgsCfAINAggCCAIIAggCCAIIAggCCAIIAggCCAIIAggCCAIIAggCCAIgAgMCngIeAAK+AgICIAIEAgUCBgIHAggCCQIKAgsCfAINAggCCAIIAggCCAIIAggCCAIIAggCCAIIAggCCAIIAggCCAIgAgMCrAIeAAK+AgICRwIEAgUCBgIHAggCCQIcAgsCfAINAggCCAIIAggCCAIIAggCCAIIAggCCAIIAggCCAIIAggCCAIgAgMClwIeAAK+AgICagIEAgUCBgIHAggCCQIKAgsCfAINAggCCAIIAggCCAIIAggCCAIIAggCCAIIAggCCAIIAggCCAIgAgMCPgIeAAK+AgICPQIEAgUCBgIHAggCCQIcAgsCfAINAggCCAIIAggCCAIIAggCCAIIAggCCAIIAggCCAIIAggCCAIgAgMCPgIeAAK+AgICUAIEAgUCBgIHAggCCQIKAgsCfAINAggCCAIIAggCCAIIAggCCAIIAggCCAIIAggCCAIIAggCCAIgAgMCPgIeAAK+AgICZAIEAgUCBgIHAggCCQIcAgsCfAINAggCCAIIAggCCAIIAggCCAIIAggCCAIIAggCCAIIAggCCAIgAgMCgAIeAAK+AgICWgIEAgUCBgIHAggCCQIKAgsCfAINAggCCAIIAggCCAIIAggCCAIIAggCCAIIAggCCAIIAggCCAIgAgMCmwIeAAK+AgICRgIEAgUCBgIHAggCCQKDAgsCfAINAggCCAIIAggCCAIIAggCCAIIAggCCAIIAggCCAIIAggCCAIgAgMChgIeAAK+AgICLAIEAgUCBgIHAggCCQIKAgsCfAINAggCCAIIAggCCAIIAggCCAIIAggCCAIIAggCCAIIAggCCAIgAgMChQIeAAK+AgICUgIEAgUCBgIHAggCCQIcAgsCfAINAggCCAIIAggCCAIIAggCCAIIAggCCAIIAggCCAIIAggCCAIgAgMCogIeAAK+AgICKgIEAgUCBgIHAggCCQIKAgsCfAINAggCCAIIAggCCAIIAggCCAIIAggCCAIIAggCCAIIAggCCAIgAgMCqAIeAAK+AgICRgIEAgUCBgIHAggCCQIcAgsCfAINAggCCAIIAggCCAIIAggCCAIIAggCCAIIAggCCAIIAggCCAIgAgMCjAIeAAK+AgICPQIEAgUCBgIHAggCCQKDAgsCfAINAggCCAIIAggCCAIIAggCCAIIAggCCAIIAggCCAIIAggCCAIgAgMCPgIeAAK+AgICawIEAgUCBgIHAnoAAAQACAIJAhwCCwJ8Ag0CCAIIAggCCAIIAggCCAIIAggCCAIIAggCCAIIAggCCAIIAiACAwI+Ah4AAr4CAgJBAgQCBQIGAgcCCAIJAgoCCwJ8Ag0CCAIIAggCCAIIAggCCAIIAggCCAIIAggCCAIIAggCCAIIAiACAwKYAh4AAr4CAgJOAgQCBQIGAgcCCAIJAoMCCwJ8Ag0CCAIIAggCCAIIAggCCAIIAggCCAIIAggCCAIIAggCCAIIAiACAwKtAh4AAr4CAgIqAgQCBQIGAgcCCAIJAoMCCwJ8Ag0CCAIIAggCCAIIAggCCAIIAggCCAIIAggCCAIIAggCCAIIAiACAwKGAh4AAr4CAgI9AgQCBQIGAgcCCAIJAgoCCwJ8Ag0CCAIIAggCCAIIAggCCAIIAggCCAIIAggCCAIIAggCCAIIAiACAwI+Ah4AAr4CAgIuAgQCBQIGAgcCCAIJAhwCCwJ8Ag0CCAIIAggCCAIIAggCCAIIAggCCAIIAggCCAIIAggCCAIIAiACAwJ9Ah4AAr4CAgJqAgQCBQIGAgcCCAIJAoMCCwJ8Ag0CCAIIAggCCAIIAggCCAIIAggCCAIIAggCCAIIAggCCAIIAiACAwI+Ah4AAr4CAgJoAgQCBQIGAgcCCAIJAhwCCwJ8Ag0CCAIIAggCCAIIAggCCAIIAggCCAIIAggCCAIIAggCCAIIAiACAwK2Ah4AAr4CAgJKAgQCBQIGAgcCCAIJAhwCCwJ8Ag0CCAIIAggCCAIIAggCCAIIAggCCAIIAggCCAIIAggCCAIIAiACAwKyAh4AAr4CAgIgAgQCBQIGAgcCCAIJAhwCCwJ8Ag0CCAIIAggCCAIIAggCCAIIAggCCAIIAggCCAIIAggCCAIIAiACAwKkAh4AAr4CAgIkAgQCBQIGAgcCCAIJAhwCCwJ8Ag0CCAIIAggCCAIIAggCCAIIAggCCAIIAggCCAIIAggCCAIIAiACAwKMAh4AAr4CAgI/AgQCBQIGAgcCCAIJAhwCCwJ8Ag0CCAIIAggCCAIIAggCCAIIAggCCAIIAggCCAIIAggCCAIIAiACAwKuAh4AAr4CAgJoAgQCBQIGAgcCCAIJAoMCCwJ8Ag0CCAIIAggCCAIIAggCCAIIAggCCAIIAggCCAIIAggCCAIIAiACAwKqAh4AAr4CAgI2AgQCBQIGAgcCCAIJAoMCCwJ8Ag0CCAIIAggCCAIIAggCCAIIAggCCAIIAggCCAIIAggCCAIIAiACAwKNAh4AAr4CAgIbAgQCBQIGAgcCCAIJAgoCCwJ8Ag0CCAIIAggCCAIIAggCCAIIAggCCAIIAggCCAIIAggCCAIIAiACAwKgAh4AAr8ACXoAAAQANDk5NzUwMjE2AgICQQIEAgUCBgIHAggCCQIlAgsCDAINAggCCAIIAggCCAIIAggCCAIIAggCCAIIAggCCAIIAggCCAIBAgMCQgIeAAK/AgICRAIEAgUCBgIHAggCCQIcAgsCDAINAggCCAIIAggCCAIIAggCCAIIAggCCAIIAggCCAIIAggCCAIBAgMCXAIeAAK/AgICRwIEAgUCBgIHAggCCQIKAgsCDAINAggCCAIIAggCCAIIAggCCAIIAggCCAIIAggCCAIIAggCCAIBAgMCdAIeAAK/AgICIAIEAgUCBgIHAggCCQIcAgsCDAINAggCCAIIAggCCAIIAggCCAIIAggCCAIIAggCCAIIAggCCAIBAgMCYAIeAAK/AgICJAIEAgUCBgIHAggCCQIlAgsCDAINAggCCAIIAggCCAIIAggCCAIIAggCCAIIAggCCAIIAggCCAIBAgMCJgIeAAK/AgICKgIEAgUCBgIHAggCCQIKAgsCDAINAggCCAIIAggCCAIIAggCCAIIAggCCAIIAggCCAIIAggCCAIBAgMCKwIeAAK/AgICUgIEAgUCBgIHAggCCQIcAgsCDAINAggCCAIIAggCCAIIAggCCAIIAggCCAIIAggCCAIIAggCCAIBAgMCbAIeAAK/AgICPQIEAgUCBgIHAggCCQIKAgsCDAINAggCCAIIAggCCAIIAggCCAIIAggCCAIIAggCCAIIAggCCAIBAgMCPgIeAAK/AgICawIEAgUCBgIHAggCCQIcAgsCDAINAggCCAIIAggCCAIIAggCCAIIAggCCAIIAggCCAIIAggCCAIBAgMCPgIeAAK/AgICTgIEAgUCBgIHAggCCQIlAgsCDAINAggCCAIIAggCCAIIAggCCAIIAggCCAIIAggCCAIIAggCCAIBAgMCTwIeAAK/AgICAwIEAgUCBgIHAggCCQIKAgsCDAINAggCCAIIAggCCAIIAggCCAIIAggCCAIIAggCCAIIAggCCAIBAgMCDgIeAAK/AgICZAIEAgUCBgIHAggCCQIcAgsCDAINAggCCAIIAggCCAIIAggCCAIIAggCCAIIAggCCAIIAggCCAIBAgMCZQIeAAK/AgICKAIEAgUCBgIHAggCCQIlAgsCDAINAggCCAIIAggCCAIIAggCCAIIAggCCAIIAggCCAIIAggCCAIBAgMCcQIeAAK/AgICawIEAgUCBgIHAggCCQIKAgsCDAINAggCCAIIAggCCAIIAggCCAIIAggCCAIIAggCCAIIAggCCAIBAgMCPgIeAAK/AgICRgIEAgUCBgIHAggCCQIcAgsCDAINAggCCAIIAggCCAIIAggCCAIIAggCCAIIAnoAAAQACAIIAggCCAIIAgECAwJRAh4AAr8CAgJVAgQCBQIGAgcCCAIJAgoCCwIMAg0CCAIIAggCCAIIAggCCAIIAggCCAIIAggCCAIIAggCCAIIAgECAwJWAh4AAr8CAgIgAgQCBQIGAgcCCAIJAiUCCwIMAg0CCAIIAggCCAIIAggCCAIIAggCCAIIAggCCAIIAggCCAIIAgECAwJyAh4AAr8CAgJOAgQCBQIGAgcCCAIJAhwCCwIMAg0CCAIIAggCCAIIAggCCAIIAggCCAIIAggCCAIIAggCCAIIAgECAwJUAh4AAr8CAgI9AgQCBQIGAgcCCAIJAhwCCwIMAg0CCAIIAggCCAIIAggCCAIIAggCCAIIAggCCAIIAggCCAIIAgECAwI+Ah4AAr8CAgIeAgQCBQIGAgcCCAIJAgoCCwIMAg0CCAIIAggCCAIIAggCCAIIAggCCAIIAggCCAIIAggCCAIIAgECAwIfAh4AAr8CAgJqAgQCBQIGAgcCCAIJAgoCCwIMAg0CCAIIAggCCAIIAggCCAIIAggCCAIIAggCCAIIAggCCAIIAgECAwI+Ah4AAr8CAgJKAgQCBQIGAgcCCAIJAhwCCwIMAg0CCAIIAggCCAIIAggCCAIIAggCCAIIAggCCAIIAggCCAIIAgECAwJLAh4AAr8CAgIxAgQCBQIGAgcCCAIJAhwCCwIMAg0CCAIIAggCCAIIAggCCAIIAggCCAIIAggCCAIIAggCCAIIAgECAwJhAh4AAr8CAgJEAgQCBQIGAgcCCAIJAgoCCwIMAg0CCAIIAggCCAIIAggCCAIIAggCCAIIAggCCAIIAggCCAIIAgECAwJFAh4AAr8CAgIbAgQCBQIGAgcCCAIJAiUCCwIMAg0CCAIIAggCCAIIAggCCAIIAggCCAIIAggCCAIIAggCCAIIAgECAwI4Ah4AAr8CAgIqAgQCBQIGAgcCCAIJAhwCCwIMAg0CCAIIAggCCAIIAggCCAIIAggCCAIIAggCCAIIAggCCAIIAgECAwJRAh4AAr8CAgJSAgQCBQIGAgcCCAIJAiUCCwIMAg0CCAIIAggCCAIIAggCCAIIAggCCAIIAggCCAIIAggCCAIIAgECAwJTAh4AAr8CAgIoAgQCBQIGAgcCCAIJAhwCCwIMAg0CCAIIAggCCAIIAggCCAIIAggCCAIIAggCCAIIAggCCAIIAgECAwIpAh4AAr8CAgI/AgQCBQIGAgcCCAIJAiUCCwIMAg0CCAIIAggCCAIIAggCCAIIAggCCAIIAggCCAIIAggCCAIIAgECAwJdAh4AAr8CAgJoAgQCBQIGAgcCCAIJAiUCCwIMAg0CCAIIAggCCAIIAggCCHoAAAQAAggCCAIIAggCCAIIAggCCAIIAggCAQIDAnoCHgACvwICAloCBAIFAgYCBwIIAgkCJQILAgwCDQIIAggCCAIIAggCCAIIAggCCAIIAggCCAIIAggCCAIIAggCAQIDAlsCHgACvwICAmQCBAIFAgYCBwIIAgkCCgILAgwCDQIIAggCCAIIAggCCAIIAggCCAIIAggCCAIIAggCCAIIAggCAQIDAngCHgACvwICAhsCBAIFAgYCBwIIAgkCHAILAgwCDQIIAggCCAIIAggCCAIIAggCCAIIAggCCAIIAggCCAIIAggCAQIDAh0CHgACvwICAkcCBAIFAgYCBwIIAgkCJQILAgwCDQIIAggCCAIIAggCCAIIAggCCAIIAggCCAIIAggCCAIIAggCAQIDAnUCHgACvwICAh4CBAIFAgYCBwIIAgkCHAILAgwCDQIIAggCCAIIAggCCAIIAggCCAIIAggCCAIIAggCCAIIAggCAQIDAjQCHgACvwICAiACBAIFAgYCBwIIAgkCCgILAgwCDQIIAggCCAIIAggCCAIIAggCCAIIAggCCAIIAggCCAIIAggCAQIDAiECHgACvwICAiwCBAIFAgYCBwIIAgkCCgILAgwCDQIIAggCCAIIAggCCAIIAggCCAIIAggCCAIIAggCCAIIAggCAQIDAi0CHgACvwICAiwCBAIFAgYCBwIIAgkCJQILAgwCDQIIAggCCAIIAggCCAIIAggCCAIIAggCCAIIAggCCAIIAggCAQIDAmYCHgACvwICAloCBAIFAgYCBwIIAgkCHAILAgwCDQIIAggCCAIIAggCCAIIAggCCAIIAggCCAIIAggCCAIIAggCAQIDAncCHgACvwICAkoCBAIFAgYCBwIIAgkCCgILAgwCDQIIAggCCAIIAggCCAIIAggCCAIIAggCCAIIAggCCAIIAggCAQIDAm8CHgACvwICAkYCBAIFAgYCBwIIAgkCJQILAgwCDQIIAggCCAIIAggCCAIIAggCCAIIAggCCAIIAggCCAIIAggCAQIDAiYCHgACvwICAloCBAIFAgYCBwIIAgkCCgILAgwCDQIIAggCCAIIAggCCAIIAggCCAIIAggCCAIIAggCCAIIAggCAQIDAl8CHgACvwICAiQCBAIFAgYCBwIIAgkCCgILAgwCDQIIAggCCAIIAggCCAIIAggCCAIIAggCCAIIAggCCAIIAggCAQIDAisCHgACvwICAkECBAIFAgYCBwIIAgkCCgILAgwCDQIIAggCCAIIAggCCAIIAggCCAIIAggCCAIIAggCCAIIAggCAQIDAmcCHgACvwICAhsCBAIFAgYCBwIIAgkCCgILAgwCDQIIAnoAAAQACAIIAggCCAIIAggCCAIIAggCCAIIAggCCAIIAggCCAIBAgMCTAIeAAK/AgICRgIEAgUCBgIHAggCCQIKAgsCDAINAggCCAIIAggCCAIIAggCCAIIAggCCAIIAggCCAIIAggCCAIBAgMCKwIeAAK/AgICUAIEAgUCBgIHAggCCQIcAgsCDAINAggCCAIIAggCCAIIAggCCAIIAggCCAIIAggCCAIIAggCCAIBAgMCPgIeAAK/AgICOQIEAgUCBgIHAggCCQIcAgsCDAINAggCCAIIAggCCAIIAggCCAIIAggCCAIIAggCCAIIAggCCAIBAgMCOgIeAAK/AgICUAIEAgUCBgIHAggCCQIlAgsCDAINAggCCAIIAggCCAIIAggCCAIIAggCCAIIAggCCAIIAggCCAIBAgMCPgIeAAK/AgICOQIEAgUCBgIHAggCCQIKAgsCDAINAggCCAIIAggCCAIIAggCCAIIAggCCAIIAggCCAIIAggCCAIBAgMCQwIeAAK/AgICVwIEAgUCBgIHAggCCQIlAgsCDAINAggCCAIIAggCCAIIAggCCAIIAggCCAIIAggCCAIIAggCCAIBAgMCWAIeAAK/AgICQQIEAgUCBgIHAggCCQIcAgsCDAINAggCCAIIAggCCAIIAggCCAIIAggCCAIIAggCCAIIAggCCAIBAgMCXgIeAAK/AgICRwIEAgUCBgIHAggCCQIcAgsCDAINAggCCAIIAggCCAIIAggCCAIIAggCCAIIAggCCAIIAggCCAIBAgMCSAIeAAK/AgICUgIEAgUCBgIHAggCCQIKAgsCDAINAggCCAIIAggCCAIIAggCCAIIAggCCAIIAggCCAIIAggCCAIBAgMCYgIeAAK/AgICUAIEAgUCBgIHAggCCQIKAgsCDAINAggCCAIIAggCCAIIAggCCAIIAggCCAIIAggCCAIIAggCCAIBAgMCPgIeAAK/AgICTgIEAgUCBgIHAggCCQIKAgsCDAINAggCCAIIAggCCAIIAggCCAIIAggCCAIIAggCCAIIAggCCAIBAgMCcAIeAAK/AgICKgIEAgUCBgIHAggCCQIlAgsCDAINAggCCAIIAggCCAIIAggCCAIIAggCCAIIAggCCAIIAggCCAIBAgMCJgIeAAK/AgICLAIEAgUCBgIHAggCCQIcAgsCDAINAggCCAIIAggCCAIIAggCCAIIAggCCAIIAggCCAIIAggCCAIBAgMCTQIeAAK/AgICVQIEAgUCBgIHAggCCQIcAgsCDAINAggCCAIIAggCCAIIAggCCAIIAggCCAIIAggCCAIIAggCCAIBAgMCYwIeAAK/AgICNgIEAgUCBgIHAggCCXoAAAQAAgoCCwIMAg0CCAIIAggCCAIIAggCCAIIAggCCAIIAggCCAIIAggCCAIIAgECAwI3Ah4AAr8CAgIuAgQCBQIGAgcCCAIJAhwCCwIMAg0CCAIIAggCCAIIAggCCAIIAggCCAIIAggCCAIIAggCCAIIAgECAwIvAh4AAr8CAgIiAgQCBQIGAgcCCAIJAiUCCwIMAg0CCAIIAggCCAIIAggCCAIIAggCCAIIAggCCAIIAggCCAIIAgECAwInAh4AAr8CAgIoAgQCBQIGAgcCCAIJAgoCCwIMAg0CCAIIAggCCAIIAggCCAIIAggCCAIIAggCCAIIAggCCAIIAgECAwI8Ah4AAr8CAgIxAgQCBQIGAgcCCAIJAgoCCwIMAg0CCAIIAggCCAIIAggCCAIIAggCCAIIAggCCAIIAggCCAIIAgECAwIyAh4AAr8CAgJqAgQCBQIGAgcCCAIJAhwCCwIMAg0CCAIIAggCCAIIAggCCAIIAggCCAIIAggCCAIIAggCCAIIAgECAwI+Ah4AAr8CAgIuAgQCBQIGAgcCCAIJAgoCCwIMAg0CCAIIAggCCAIIAggCCAIIAggCCAIIAggCCAIIAggCCAIIAgECAwIzAh4AAr8CAgIiAgQCBQIGAgcCCAIJAhwCCwIMAg0CCAIIAggCCAIIAggCCAIIAggCCAIIAggCCAIIAggCCAIIAgECAwI1Ah4AAr8CAgI2AgQCBQIGAgcCCAIJAiUCCwIMAg0CCAIIAggCCAIIAggCCAIIAggCCAIIAggCCAIIAggCCAIIAgECAwJuAh4AAr8CAgI9AgQCBQIGAgcCCAIJAiUCCwIMAg0CCAIIAggCCAIIAggCCAIIAggCCAIIAggCCAIIAggCCAIIAgECAwI+Ah4AAr8CAgJrAgQCBQIGAgcCCAIJAiUCCwIMAg0CCAIIAggCCAIIAggCCAIIAggCCAIIAggCCAIIAggCCAIIAgECAwI+Ah4AAr8CAgJXAgQCBQIGAgcCCAIJAhwCCwIMAg0CCAIIAggCCAIIAggCCAIIAggCCAIIAggCCAIIAggCCAIIAgECAwJ2Ah4AAr8CAgJXAgQCBQIGAgcCCAIJAgoCCwIMAg0CCAIIAggCCAIIAggCCAIIAggCCAIIAggCCAIIAggCCAIIAgECAwJZAh4AAr8CAgI/AgQCBQIGAgcCCAIJAgoCCwIMAg0CCAIIAggCCAIIAggCCAIIAggCCAIIAggCCAIIAggCCAIIAgECAwJzAh4AAr8CAgJoAgQCBQIGAgcCCAIJAhwCCwIMAg0CCAIIAggCCAIIAggCCAIIAggCCAIIAggCCAIIAggCCAIIAgECAwJ5Ah4AAr8CAgIkAnoAAAQABAIFAgYCBwIIAgkCHAILAgwCDQIIAggCCAIIAggCCAIIAggCCAIIAggCCAIIAggCCAIIAggCAQIDAlECHgACvwICAmgCBAIFAgYCBwIIAgkCCgILAgwCDQIIAggCCAIIAggCCAIIAggCCAIIAggCCAIIAggCCAIIAggCAQIDAmkCHgACvwICAlUCBAIFAgYCBwIIAgkCJQILAgwCDQIIAggCCAIIAggCCAIIAggCCAIIAggCCAIIAggCCAIIAggCAQIDAm0CHgACvwICAjYCBAIFAgYCBwIIAgkCHAILAgwCDQIIAggCCAIIAggCCAIIAggCCAIIAggCCAIIAggCCAIIAggCAQIDAjsCHgACvwICAi4CBAIFAgYCBwIIAgkCJQILAgwCDQIIAggCCAIIAggCCAIIAggCCAIIAggCCAIIAggCCAIIAggCAQIDAkkCHgACvwICAgMCBAIFAgYCBwIIAgkCHAILAgwCDQIIAggCCAIIAggCCAIIAggCCAIIAggCCAIIAggCCAIIAggCAQIDAjACHgACvwICAmoCBAIFAgYCBwIIAgkCJQILAgwCDQIIAggCCAIIAggCCAIIAggCCAIIAggCCAIIAggCCAIIAggCAQIDAj4CHgACvwICAiICBAIFAgYCBwIIAgkCCgILAgwCDQIIAggCCAIIAggCCAIIAggCCAIIAggCCAIIAggCCAIIAggCAQIDAiMCHgACvwICAj8CBAIFAgYCBwIIAgkCHAILAgwCDQIIAggCCAIIAggCCAIIAggCCAIIAggCCAIIAggCCAIIAggCAQIDAkACHgACwAAJNDk5NzQ3ODk2AgICPQIEAgUCBgIHAggCCQIcAgsCDAINAggCCAIIAggCCAIIAggCCAIIAggCCAIIAggCCAIIAggCCAACAwI+Ah4AAsACAgIoAgQCBQIGAgcCCAIJAgoCCwIMAg0CCAIIAggCCAIIAggCCAIIAggCCAIIAggCCAIIAggCCAIIAAIDAjwCHgACwAICAmoCBAIFAgYCBwIIAgkCCgILAgwCDQIIAggCCAIIAggCCAIIAggCCAIIAggCCAIIAggCCAIIAggAAgMCPgIeAALAAgICPwIEAgUCBgIHAggCCQIKAgsCDAINAggCCAIIAggCCAIIAggCCAIIAggCCAIIAggCCAIIAggCCAACAwJzAh4AAsACAgJXAgQCBQIGAgcCCAIJAiUCCwIMAg0CCAIIAggCCAIIAggCCAIIAggCCAIIAggCCAIIAggCCAIIAAIDAlgCHgACwAICAhsCBAIFAgYCBwIIAgkCCgILAgwCDQIIAggCCAIIAggCCAIIAggCCAIIAggCCAIIAggCCAIIAnoAAAQACAACAwJMAh4AAsACAgI9AgQCBQIGAgcCCAIJAgoCCwIMAg0CCAIIAggCCAIIAggCCAIIAggCCAIIAggCCAIIAggCCAIIAAIDAj4CHgACwAICAkoCBAIFAgYCBwIIAgkCHAILAgwCDQIIAggCCAIIAggCCAIIAggCCAIIAggCCAIIAggCCAIIAggAAgMCSwIeAALAAgICPwIEAgUCBgIHAggCCQIlAgsCDAINAggCCAIIAggCCAIIAggCCAIIAggCCAIIAggCCAIIAggCCAACAwJdAh4AAsACAgIxAgQCBQIGAgcCCAIJAhwCCwIMAg0CCAIIAggCCAIIAggCCAIIAggCCAIIAggCCAIIAggCCAIIAAIDAmECHgACwAICAiwCBAIFAgYCBwIIAgkCJQILAgwCDQIIAggCCAIIAggCCAIIAggCCAIIAggCCAIIAggCCAIIAggAAgMCZgIeAALAAgICKAIEAgUCBgIHAggCCQIcAgsCDAINAggCCAIIAggCCAIIAggCCAIIAggCCAIIAggCCAIIAggCCAACAwIpAh4AAsACAgJHAgQCBQIGAgcCCAIJAgoCCwIMAg0CCAIIAggCCAIIAggCCAIIAggCCAIIAggCCAIIAggCCAIIAAIDAnQCHgACwAICAiACBAIFAgYCBwIIAgkCJQILAgwCDQIIAggCCAIIAggCCAIIAggCCAIIAggCCAIIAggCCAIIAggAAgMCcgIeAALAAgICMQIEAgUCBgIHAggCCQIKAgsCDAINAggCCAIIAggCCAIIAggCCAIIAggCCAIIAggCCAIIAggCCAACAwIyAh4AAsACAgIgAgQCBQIGAgcCCAIJAhwCCwIMAg0CCAIIAggCCAIIAggCCAIIAggCCAIIAggCCAIIAggCCAIIAAIDAmACHgACwAICAiACBAIFAgYCBwIIAgkCCgILAgwCDQIIAggCCAIIAggCCAIIAggCCAIIAggCCAIIAggCCAIIAggAAgMCIQIeAALAAgICagIEAgUCBgIHAggCCQIcAgsCDAINAggCCAIIAggCCAIIAggCCAIIAggCCAIIAggCCAIIAggCCAACAwI+Ah4AAsACAgJQAgQCBQIGAgcCCAIJAiUCCwIMAg0CCAIIAggCCAIIAggCCAIIAggCCAIIAggCCAIIAggCCAIIAAIDAj4CHgACwAICAi4CBAIFAgYCBwIIAgkCHAILAgwCDQIIAggCCAIIAggCCAIIAggCCAIIAggCCAIIAggCCAIIAggAAgMCLwIeAALAAgICNgIEAgUCBgIHAggCCQIKAgsCDAINAggCCAIIAggCCAIIAggCCAIIAggCCAIIAggCCAIIAggCCAACA3oAAAQAAjcCHgACwAICAkQCBAIFAgYCBwIIAgkCHAILAgwCDQIIAggCCAIIAggCCAIIAggCCAIIAggCCAIIAggCCAIIAggAAgMCXAIeAALAAgICZAIEAgUCBgIHAggCCQIcAgsCDAINAggCCAIIAggCCAIIAggCCAIIAggCCAIIAggCCAIIAggCCAACAwJlAh4AAsACAgIkAgQCBQIGAgcCCAIJAiUCCwIMAg0CCAIIAggCCAIIAggCCAIIAggCCAIIAggCCAIIAggCCAIIAAIDAiYCHgACwAICAmgCBAIFAgYCBwIIAgkCCgILAgwCDQIIAggCCAIIAggCCAIIAggCCAIIAggCCAIIAggCCAIIAggAAgMCaQIeAALAAgICGwIEAgUCBgIHAggCCQIlAgsCDAINAggCCAIIAggCCAIIAggCCAIIAggCCAIIAggCCAIIAggCCAACAwI4Ah4AAsACAgIuAgQCBQIGAgcCCAIJAiUCCwIMAg0CCAIIAggCCAIIAggCCAIIAggCCAIIAggCCAIIAggCCAIIAAIDAkkCHgACwAICAgMCBAIFAgYCBwIIAgkCHAILAgwCDQIIAggCCAIIAggCCAIIAggCCAIIAggCCAIIAggCCAIIAggAAgMCMAIeAALAAgICRgIEAgUCBgIHAggCCQIKAgsCDAINAggCCAIIAggCCAIIAggCCAIIAggCCAIIAggCCAIIAggCCAACAwIrAh4AAsACAgIqAgQCBQIGAgcCCAIJAiUCCwIMAg0CCAIIAggCCAIIAggCCAIIAggCCAIIAggCCAIIAggCCAIIAAIDAiYCHgACwAICAkYCBAIFAgYCBwIIAgkCHAILAgwCDQIIAggCCAIIAggCCAIIAggCCAIIAggCCAIIAggCCAIIAggAAgMCUQIeAALAAgICKgIEAgUCBgIHAggCCQIKAgsCDAINAggCCAIIAggCCAIIAggCCAIIAggCCAIIAggCCAIIAggCCAACAwIrAh4AAsACAgJrAgQCBQIGAgcCCAIJAhwCCwIMAg0CCAIIAggCCAIIAggCCAIIAggCCAIIAggCCAIIAggCCAIIAAIDAj4CHgACwAICAmsCBAIFAgYCBwIIAgkCJQILAgwCDQIIAggCCAIIAggCCAIIAggCCAIIAggCCAIIAggCCAIIAggAAgMCPgIeAALAAgICPQIEAgUCBgIHAggCCQIlAgsCDAINAggCCAIIAggCCAIIAggCCAIIAggCCAIIAggCCAIIAggCCAACAwI+Ah4AAsACAgJGAgQCBQIGAgcCCAIJAiUCCwIMAg0CCAIIAggCCAIIAggCCAIIAggCCAIIAggCCAIIAggCCAIIAAIDAiYCHnoAAAQAAALAAgICJAIEAgUCBgIHAggCCQIcAgsCDAINAggCCAIIAggCCAIIAggCCAIIAggCCAIIAggCCAIIAggCCAACAwJRAh4AAsACAgIoAgQCBQIGAgcCCAIJAiUCCwIMAg0CCAIIAggCCAIIAggCCAIIAggCCAIIAggCCAIIAggCCAIIAAIDAnECHgACwAICAh4CBAIFAgYCBwIIAgkCCgILAgwCDQIIAggCCAIIAggCCAIIAggCCAIIAggCCAIIAggCCAIIAggAAgMCHwIeAALAAgICGwIEAgUCBgIHAggCCQIcAgsCDAINAggCCAIIAggCCAIIAggCCAIIAggCCAIIAggCCAIIAggCCAACAwIdAh4AAsACAgJQAgQCBQIGAgcCCAIJAgoCCwIMAg0CCAIIAggCCAIIAggCCAIIAggCCAIIAggCCAIIAggCCAIIAAIDAj4CHgACwAICAjYCBAIFAgYCBwIIAgkCJQILAgwCDQIIAggCCAIIAggCCAIIAggCCAIIAggCCAIIAggCCAIIAggAAgMCbgIeAALAAgICAwIEAgUCBgIHAggCCQIKAgsCDAINAggCCAIIAggCCAIIAggCCAIIAggCCAIIAggCCAIIAggCCAACAwIOAh4AAsACAgJVAgQCBQIGAgcCCAIJAiUCCwIMAg0CCAIIAggCCAIIAggCCAIIAggCCAIIAggCCAIIAggCCAIIAAIDAm0CHgACwAICAh4CBAIFAgYCBwIIAgkCHAILAgwCDQIIAggCCAIIAggCCAIIAggCCAIIAggCCAIIAggCCAIIAggAAgMCNAIeAALAAgICOQIEAgUCBgIHAggCCQIcAgsCDAINAggCCAIIAggCCAIIAggCCAIIAggCCAIIAggCCAIIAggCCAACAwI6Ah4AAsACAgIiAgQCBQIGAgcCCAIJAgoCCwIMAg0CCAIIAggCCAIIAggCCAIIAggCCAIIAggCCAIIAggCCAIIAAIDAiMCHgACwAICAkQCBAIFAgYCBwIIAgkCCgILAgwCDQIIAggCCAIIAggCCAIIAggCCAIIAggCCAIIAggCCAIIAggAAgMCRQIeAALAAgICVwIEAgUCBgIHAggCCQIKAgsCDAINAggCCAIIAggCCAIIAggCCAIIAggCCAIIAggCCAIIAggCCAACAwJZAh4AAsACAgJOAgQCBQIGAgcCCAIJAiUCCwIMAg0CCAIIAggCCAIIAggCCAIIAggCCAIIAggCCAIIAggCCAIIAAIDAk8CHgACwAICAiICBAIFAgYCBwIIAgkCHAILAgwCDQIIAggCCAIIAggCCAIIAggCCAIIAggCCAIIAggCCAIIAggAAgMCNQIeAALAAnoAAAQAAgIsAgQCBQIGAgcCCAIJAhwCCwIMAg0CCAIIAggCCAIIAggCCAIIAggCCAIIAggCCAIIAggCCAIIAAIDAk0CHgACwAICAlUCBAIFAgYCBwIIAgkCCgILAgwCDQIIAggCCAIIAggCCAIIAggCCAIIAggCCAIIAggCCAIIAggAAgMCVgIeAALAAgICIgIEAgUCBgIHAggCCQIlAgsCDAINAggCCAIIAggCCAIIAggCCAIIAggCCAIIAggCCAIIAggCCAACAwInAh4AAsACAgJBAgQCBQIGAgcCCAIJAhwCCwIMAg0CCAIIAggCCAIIAggCCAIIAggCCAIIAggCCAIIAggCCAIIAAIDAl4CHgACwAICAlICBAIFAgYCBwIIAgkCJQILAgwCDQIIAggCCAIIAggCCAIIAggCCAIIAggCCAIIAggCCAIIAggAAgMCUwIeAALAAgICVQIEAgUCBgIHAggCCQIcAgsCDAINAggCCAIIAggCCAIIAggCCAIIAggCCAIIAggCCAIIAggCCAACAwJjAh4AAsACAgI/AgQCBQIGAgcCCAIJAhwCCwIMAg0CCAIIAggCCAIIAggCCAIIAggCCAIIAggCCAIIAggCCAIIAAIDAkACHgACwAICAk4CBAIFAgYCBwIIAgkCHAILAgwCDQIIAggCCAIIAggCCAIIAggCCAIIAggCCAIIAggCCAIIAggAAgMCVAIeAALAAgICZAIEAgUCBgIHAggCCQIKAgsCDAINAggCCAIIAggCCAIIAggCCAIIAggCCAIIAggCCAIIAggCCAACAwJ4Ah4AAsACAgIqAgQCBQIGAgcCCAIJAhwCCwIMAg0CCAIIAggCCAIIAggCCAIIAggCCAIIAggCCAIIAggCCAIIAAIDAlECHgACwAICAlICBAIFAgYCBwIIAgkCCgILAgwCDQIIAggCCAIIAggCCAIIAggCCAIIAggCCAIIAggCCAIIAggAAgMCYgIeAALAAgICTgIEAgUCBgIHAggCCQIKAgsCDAINAggCCAIIAggCCAIIAggCCAIIAggCCAIIAggCCAIIAggCCAACAwJwAh4AAsACAgJBAgQCBQIGAgcCCAIJAgoCCwIMAg0CCAIIAggCCAIIAggCCAIIAggCCAIIAggCCAIIAggCCAIIAAIDAmcCHgACwAICAmgCBAIFAgYCBwIIAgkCHAILAgwCDQIIAggCCAIIAggCCAIIAggCCAIIAggCCAIIAggCCAIIAggAAgMCeQIeAALAAgICLAIEAgUCBgIHAggCCQIKAgsCDAINAggCCAIIAggCCAIIAggCCAIIAggCCAIIAggCCAIIAggCCAACAwItAh4AAsACAgIuAnoAAAQABAIFAgYCBwIIAgkCCgILAgwCDQIIAggCCAIIAggCCAIIAggCCAIIAggCCAIIAggCCAIIAggAAgMCMwIeAALAAgICSgIEAgUCBgIHAggCCQIKAgsCDAINAggCCAIIAggCCAIIAggCCAIIAggCCAIIAggCCAIIAggCCAACAwJvAh4AAsACAgJBAgQCBQIGAgcCCAIJAiUCCwIMAg0CCAIIAggCCAIIAggCCAIIAggCCAIIAggCCAIIAggCCAIIAAIDAkICHgACwAICAkcCBAIFAgYCBwIIAgkCHAILAgwCDQIIAggCCAIIAggCCAIIAggCCAIIAggCCAIIAggCCAIIAggAAgMCSAIeAALAAgICJAIEAgUCBgIHAggCCQIKAgsCDAINAggCCAIIAggCCAIIAggCCAIIAggCCAIIAggCCAIIAggCCAACAwIrAh4AAsACAgJaAgQCBQIGAgcCCAIJAiUCCwIMAg0CCAIIAggCCAIIAggCCAIIAggCCAIIAggCCAIIAggCCAIIAAIDAlsCHgACwAICAmoCBAIFAgYCBwIIAgkCJQILAgwCDQIIAggCCAIIAggCCAIIAggCCAIIAggCCAIIAggCCAIIAggAAgMCPgIeAALAAgICaAIEAgUCBgIHAggCCQIlAgsCDAINAggCCAIIAggCCAIIAggCCAIIAggCCAIIAggCCAIIAggCCAACAwJ6Ah4AAsACAgJHAgQCBQIGAgcCCAIJAiUCCwIMAg0CCAIIAggCCAIIAggCCAIIAggCCAIIAggCCAIIAggCCAIIAAIDAnUCHgACwAICAjYCBAIFAgYCBwIIAgkCHAILAgwCDQIIAggCCAIIAggCCAIIAggCCAIIAggCCAIIAggCCAIIAggAAgMCOwIeAALAAgICUAIEAgUCBgIHAggCCQIcAgsCDAINAggCCAIIAggCCAIIAggCCAIIAggCCAIIAggCCAIIAggCCAACAwI+Ah4AAsACAgJaAgQCBQIGAgcCCAIJAhwCCwIMAg0CCAIIAggCCAIIAggCCAIIAggCCAIIAggCCAIIAggCCAIIAAIDAncCHgACwAICAmsCBAIFAgYCBwIIAgkCCgILAgwCDQIIAggCCAIIAggCCAIIAggCCAIIAggCCAIIAggCCAIIAggAAgMCPgIeAALAAgICWgIEAgUCBgIHAggCCQIKAgsCDAINAggCCAIIAggCCAIIAggCCAIIAggCCAIIAggCCAIIAggCCAACAwJfAh4AAsACAgI5AgQCBQIGAgcCCAIJAgoCCwIMAg0CCAIIAggCCAIIAggCCAIIAggCCAIIAggCCAIIAggCCAIIAAIDAkMCHgACwAICAlcCBAIFAnoAAAQABgIHAggCCQIcAgsCDAINAggCCAIIAggCCAIIAggCCAIIAggCCAIIAggCCAIIAggCCAACAwJ2Ah4AAsACAgJSAgQCBQIGAgcCCAIJAhwCCwIMAg0CCAIIAggCCAIIAggCCAIIAggCCAIIAggCCAIIAggCCAIIAAIDAmwCHgACwQAJNDk5NzQ1NTc2AgICVwIEAgUCBgIHAggCCQIlAgsCDAINAggCCAIIAggCCAIIAggCCAIIAggCCAIIAggCCAIIAggCCAIPAgMCWAIeAALBAgICaAIEAgUCBgIHAggCCQIKAgsCDAINAggCCAIIAggCCAIIAggCCAIIAggCCAIIAggCCAIIAggCCAIPAgMCaQIeAALBAgICPwIEAgUCBgIHAggCCQIcAgsCDAINAggCCAIIAggCCAIIAggCCAIIAggCCAIIAggCCAIIAggCCAIPAgMCQAIeAALBAgICUgIEAgUCBgIHAggCCQIlAgsCDAINAggCCAIIAggCCAIIAggCCAIIAggCCAIIAggCCAIIAggCCAIPAgMCUwIeAALBAgICQQIEAgUCBgIHAggCCQIKAgsCDAINAggCCAIIAggCCAIIAggCCAIIAggCCAIIAggCCAIIAggCCAIPAgMCZwIeAALBAgICTgIEAgUCBgIHAggCCQIKAgsCDAINAggCCAIIAggCCAIIAggCCAIIAggCCAIIAggCCAIIAggCCAIPAgMCcAIeAALBAgICKAIEAgUCBgIHAggCCQIcAgsCDAINAggCCAIIAggCCAIIAggCCAIIAggCCAIIAggCCAIIAggCCAIPAgMCKQIeAALBAgICAwIEAgUCBgIHAggCCQIKAgsCDAINAggCCAIIAggCCAIIAggCCAIIAggCCAIIAggCCAIIAggCCAIPAgMCDgIeAALBAgICagIEAgUCBgIHAggCCQIKAgsCDAINAggCCAIIAggCCAIIAggCCAIIAggCCAIIAggCCAIIAggCCAIPAgMCPgIeAALBAgICUgIEAgUCBgIHAggCCQIKAgsCDAINAggCCAIIAggCCAIIAggCCAIIAggCCAIIAggCCAIIAggCCAIPAgMCYgIeAALBAgICPwIEAgUCBgIHAggCCQIlAgsCDAINAggCCAIIAggCCAIIAggCCAIIAggCCAIIAggCCAIIAggCCAIPAgMCXQIeAALBAgICPwIEAgUCBgIHAggCCQIKAgsCDAINAggCCAIIAggCCAIIAggCCAIIAggCCAIIAggCCAIIAggCCAIPAgMCcwIeAALBAgICagIEAgUCBgIHAggCCQIcAgsCDAINAggCCAIIAggCCAIIAggCCAIIAggCCAIIAggCCAIIAggCCHoAAAQAAg8CAwI+Ah4AAsECAgJaAgQCBQIGAgcCCAIJAhwCCwIMAg0CCAIIAggCCAIIAggCCAIIAggCCAIIAggCCAIIAggCCAIIAg8CAwJ3Ah4AAsECAgJrAgQCBQIGAgcCCAIJAiUCCwIMAg0CCAIIAggCCAIIAggCCAIIAggCCAIIAggCCAIIAggCCAIIAg8CAwI+Ah4AAsECAgI9AgQCBQIGAgcCCAIJAgoCCwIMAg0CCAIIAggCCAIIAggCCAIIAggCCAIIAggCCAIIAggCCAIIAg8CAwI+Ah4AAsECAgIuAgQCBQIGAgcCCAIJAgoCCwIMAg0CCAIIAggCCAIIAggCCAIIAggCCAIIAggCCAIIAggCCAIIAg8CAwIzAh4AAsECAgIkAgQCBQIGAgcCCAIJAhwCCwIMAg0CCAIIAggCCAIIAggCCAIIAggCCAIIAggCCAIIAggCCAIIAg8CAwJRAh4AAsECAgIDAgQCBQIGAgcCCAIJAhwCCwIMAg0CCAIIAggCCAIIAggCCAIIAggCCAIIAggCCAIIAggCCAIIAg8CAwIwAh4AAsECAgJEAgQCBQIGAgcCCAIJAhwCCwIMAg0CCAIIAggCCAIIAggCCAIIAggCCAIIAggCCAIIAggCCAIIAg8CAwJcAh4AAsECAgJoAgQCBQIGAgcCCAIJAiUCCwIMAg0CCAIIAggCCAIIAggCCAIIAggCCAIIAggCCAIIAggCCAIIAg8CAwJ6Ah4AAsECAgIeAgQCBQIGAgcCCAIJAgoCCwIMAg0CCAIIAggCCAIIAggCCAIIAggCCAIIAggCCAIIAggCCAIIAg8CAwIfAh4AAsECAgJBAgQCBQIGAgcCCAIJAiUCCwIMAg0CCAIIAggCCAIIAggCCAIIAggCCAIIAggCCAIIAggCCAIIAg8CAwJCAh4AAsECAgIoAgQCBQIGAgcCCAIJAiUCCwIMAg0CCAIIAggCCAIIAggCCAIIAggCCAIIAggCCAIIAggCCAIIAg8CAwJxAh4AAsECAgIiAgQCBQIGAgcCCAIJAhwCCwIMAg0CCAIIAggCCAIIAggCCAIIAggCCAIIAggCCAIIAggCCAIIAg8CAwI1Ah4AAsECAgJHAgQCBQIGAgcCCAIJAhwCCwIMAg0CCAIIAggCCAIIAggCCAIIAggCCAIIAggCCAIIAggCCAIIAg8CAwJIAh4AAsECAgJGAgQCBQIGAgcCCAIJAiUCCwIMAg0CCAIIAggCCAIIAggCCAIIAggCCAIIAggCCAIIAggCCAIIAg8CAwImAh4AAsECAgJaAgQCBQIGAgcCCAIJAgoCCwIMAg0CCAIIAggCCAIIAggCCAIIAggCCAIIAnoAAAQACAIIAggCCAIIAggCDwIDAl8CHgACwQICAjECBAIFAgYCBwIIAgkCHAILAgwCDQIIAggCCAIIAggCCAIIAggCCAIIAggCCAIIAggCCAIIAggCDwIDAmECHgACwQICAiICBAIFAgYCBwIIAgkCJQILAgwCDQIIAggCCAIIAggCCAIIAggCCAIIAggCCAIIAggCCAIIAggCDwIDAicCHgACwQICAloCBAIFAgYCBwIIAgkCJQILAgwCDQIIAggCCAIIAggCCAIIAggCCAIIAggCCAIIAggCCAIIAggCDwIDAlsCHgACwQICAlACBAIFAgYCBwIIAgkCCgILAgwCDQIIAggCCAIIAggCCAIIAggCCAIIAggCCAIIAggCCAIIAggCDwIDAj4CHgACwQICAiACBAIFAgYCBwIIAgkCHAILAgwCDQIIAggCCAIIAggCCAIIAggCCAIIAggCCAIIAggCCAIIAggCDwIDAmACHgACwQICAk4CBAIFAgYCBwIIAgkCHAILAgwCDQIIAggCCAIIAggCCAIIAggCCAIIAggCCAIIAggCCAIIAggCDwIDAlQCHgACwQICAlUCBAIFAgYCBwIIAgkCCgILAgwCDQIIAggCCAIIAggCCAIIAggCCAIIAggCCAIIAggCCAIIAggCDwIDAlYCHgACwQICAmoCBAIFAgYCBwIIAgkCJQILAgwCDQIIAggCCAIIAggCCAIIAggCCAIIAggCCAIIAggCCAIIAggCDwIDAj4CHgACwQICAjYCBAIFAgYCBwIIAgkCHAILAgwCDQIIAggCCAIIAggCCAIIAggCCAIIAggCCAIIAggCCAIIAggCDwIDAjsCHgACwQICAkYCBAIFAgYCBwIIAgkCHAILAgwCDQIIAggCCAIIAggCCAIIAggCCAIIAggCCAIIAggCCAIIAggCDwIDAlECHgACwQICAmQCBAIFAgYCBwIIAgkCHAILAgwCDQIIAggCCAIIAggCCAIIAggCCAIIAggCCAIIAggCCAIIAggCDwIDAmUCHgACwQICAiwCBAIFAgYCBwIIAgkCJQILAgwCDQIIAggCCAIIAggCCAIIAggCCAIIAggCCAIIAggCCAIIAggCDwIDAmYCHgACwQICAioCBAIFAgYCBwIIAgkCJQILAgwCDQIIAggCCAIIAggCCAIIAggCCAIIAggCCAIIAggCCAIIAggCDwIDAiYCHgACwQICAiwCBAIFAgYCBwIIAgkCHAILAgwCDQIIAggCCAIIAggCCAIIAggCCAIIAggCCAIIAggCCAIIAggCDwIDAk0CHgACwQICAlcCBAIFAgYCBwIIAgkCHAILAgwCDQIIAggCCAIIAggCCHoAAAQAAggCCAIIAggCCAIIAggCCAIIAggCCAIPAgMCdgIeAALBAgICRwIEAgUCBgIHAggCCQIKAgsCDAINAggCCAIIAggCCAIIAggCCAIIAggCCAIIAggCCAIIAggCCAIPAgMCdAIeAALBAgICNgIEAgUCBgIHAggCCQIlAgsCDAINAggCCAIIAggCCAIIAggCCAIIAggCCAIIAggCCAIIAggCCAIPAgMCbgIeAALBAgICPQIEAgUCBgIHAggCCQIcAgsCDAINAggCCAIIAggCCAIIAggCCAIIAggCCAIIAggCCAIIAggCCAIPAgMCPgIeAALBAgICSgIEAgUCBgIHAggCCQIKAgsCDAINAggCCAIIAggCCAIIAggCCAIIAggCCAIIAggCCAIIAggCCAIPAgMCbwIeAALBAgICLAIEAgUCBgIHAggCCQIKAgsCDAINAggCCAIIAggCCAIIAggCCAIIAggCCAIIAggCCAIIAggCCAIPAgMCLQIeAALBAgICMQIEAgUCBgIHAggCCQIKAgsCDAINAggCCAIIAggCCAIIAggCCAIIAggCCAIIAggCCAIIAggCCAIPAgMCMgIeAALBAgICSgIEAgUCBgIHAggCCQIcAgsCDAINAggCCAIIAggCCAIIAggCCAIIAggCCAIIAggCCAIIAggCCAIPAgMCSwIeAALBAgICLgIEAgUCBgIHAggCCQIcAgsCDAINAggCCAIIAggCCAIIAggCCAIIAggCCAIIAggCCAIIAggCCAIPAgMCLwIeAALBAgICIAIEAgUCBgIHAggCCQIlAgsCDAINAggCCAIIAggCCAIIAggCCAIIAggCCAIIAggCCAIIAggCCAIPAgMCcgIeAALBAgICIAIEAgUCBgIHAggCCQIKAgsCDAINAggCCAIIAggCCAIIAggCCAIIAggCCAIIAggCCAIIAggCCAIPAgMCIQIeAALBAgICawIEAgUCBgIHAggCCQIcAgsCDAINAggCCAIIAggCCAIIAggCCAIIAggCCAIIAggCCAIIAggCCAIPAgMCPgIeAALBAgICQQIEAgUCBgIHAggCCQIcAgsCDAINAggCCAIIAggCCAIIAggCCAIIAggCCAIIAggCCAIIAggCCAIPAgMCXgIeAALBAgICKAIEAgUCBgIHAggCCQIKAgsCDAINAggCCAIIAggCCAIIAggCCAIIAggCCAIIAggCCAIIAggCCAIPAgMCPAIeAALBAgICOQIEAgUCBgIHAggCCQIKAgsCDAINAggCCAIIAggCCAIIAggCCAIIAggCCAIIAggCCAIIAggCCAIPAgMCQwIeAALBAgICGwIEAgUCBgIHAggCCQIlAgsCDAINAnoAAAQACAIIAggCCAIIAggCCAIIAggCCAIIAggCCAIIAggCCAIIAg8CAwI4Ah4AAsECAgI9AgQCBQIGAgcCCAIJAiUCCwIMAg0CCAIIAggCCAIIAggCCAIIAggCCAIIAggCCAIIAggCCAIIAg8CAwI+Ah4AAsECAgIiAgQCBQIGAgcCCAIJAgoCCwIMAg0CCAIIAggCCAIIAggCCAIIAggCCAIIAggCCAIIAggCCAIIAg8CAwIjAh4AAsECAgJSAgQCBQIGAgcCCAIJAhwCCwIMAg0CCAIIAggCCAIIAggCCAIIAggCCAIIAggCCAIIAggCCAIIAg8CAwJsAh4AAsECAgJOAgQCBQIGAgcCCAIJAiUCCwIMAg0CCAIIAggCCAIIAggCCAIIAggCCAIIAggCCAIIAggCCAIIAg8CAwJPAh4AAsECAgIbAgQCBQIGAgcCCAIJAhwCCwIMAg0CCAIIAggCCAIIAggCCAIIAggCCAIIAggCCAIIAggCCAIIAg8CAwIdAh4AAsECAgI5AgQCBQIGAgcCCAIJAhwCCwIMAg0CCAIIAggCCAIIAggCCAIIAggCCAIIAggCCAIIAggCCAIIAg8CAwI6Ah4AAsECAgJVAgQCBQIGAgcCCAIJAiUCCwIMAg0CCAIIAggCCAIIAggCCAIIAggCCAIIAggCCAIIAggCCAIIAg8CAwJtAh4AAsECAgIkAgQCBQIGAgcCCAIJAgoCCwIMAg0CCAIIAggCCAIIAggCCAIIAggCCAIIAggCCAIIAggCCAIIAg8CAwIrAh4AAsECAgIuAgQCBQIGAgcCCAIJAiUCCwIMAg0CCAIIAggCCAIIAggCCAIIAggCCAIIAggCCAIIAggCCAIIAg8CAwJJAh4AAsECAgJoAgQCBQIGAgcCCAIJAhwCCwIMAg0CCAIIAggCCAIIAggCCAIIAggCCAIIAggCCAIIAggCCAIIAg8CAwJ5Ah4AAsECAgJEAgQCBQIGAgcCCAIJAgoCCwIMAg0CCAIIAggCCAIIAggCCAIIAggCCAIIAggCCAIIAggCCAIIAg8CAwJFAh4AAsECAgIqAgQCBQIGAgcCCAIJAhwCCwIMAg0CCAIIAggCCAIIAggCCAIIAggCCAIIAggCCAIIAggCCAIIAg8CAwJRAh4AAsECAgIbAgQCBQIGAgcCCAIJAgoCCwIMAg0CCAIIAggCCAIIAggCCAIIAggCCAIIAggCCAIIAggCCAIIAg8CAwJMAh4AAsECAgI2AgQCBQIGAgcCCAIJAgoCCwIMAg0CCAIIAggCCAIIAggCCAIIAggCCAIIAggCCAIIAggCCAIIAg8CAwI3Ah4AAsECAgJQAgQCBQIGAgcCCHoAAAQAAgkCJQILAgwCDQIIAggCCAIIAggCCAIIAggCCAIIAggCCAIIAggCCAIIAggCDwIDAj4CHgACwQICAmsCBAIFAgYCBwIIAgkCCgILAgwCDQIIAggCCAIIAggCCAIIAggCCAIIAggCCAIIAggCCAIIAggCDwIDAj4CHgACwQICAmQCBAIFAgYCBwIIAgkCCgILAgwCDQIIAggCCAIIAggCCAIIAggCCAIIAggCCAIIAggCCAIIAggCDwIDAngCHgACwQICAlACBAIFAgYCBwIIAgkCHAILAgwCDQIIAggCCAIIAggCCAIIAggCCAIIAggCCAIIAggCCAIIAggCDwIDAj4CHgACwQICAlUCBAIFAgYCBwIIAgkCHAILAgwCDQIIAggCCAIIAggCCAIIAggCCAIIAggCCAIIAggCCAIIAggCDwIDAmMCHgACwQICAioCBAIFAgYCBwIIAgkCCgILAgwCDQIIAggCCAIIAggCCAIIAggCCAIIAggCCAIIAggCCAIIAggCDwIDAisCHgACwQICAiQCBAIFAgYCBwIIAgkCJQILAgwCDQIIAggCCAIIAggCCAIIAggCCAIIAggCCAIIAggCCAIIAggCDwIDAiYCHgACwQICAkcCBAIFAgYCBwIIAgkCJQILAgwCDQIIAggCCAIIAggCCAIIAggCCAIIAggCCAIIAggCCAIIAggCDwIDAnUCHgACwQICAh4CBAIFAgYCBwIIAgkCHAILAgwCDQIIAggCCAIIAggCCAIIAggCCAIIAggCCAIIAggCCAIIAggCDwIDAjQCHgACwQICAkYCBAIFAgYCBwIIAgkCCgILAgwCDQIIAggCCAIIAggCCAIIAggCCAIIAggCCAIIAggCCAIIAggCDwIDAisCHgACwQICAlcCBAIFAgYCBwIIAgkCCgILAgwCDQIIAggCCAIIAggCCAIIAggCCAIIAggCCAIIAggCCAIIAggCDwIDAlkCHgACwgAJNDYyNzIxMTIwAgICaAIEAgUCBgIHAggCCQIcAgsCDAINAggCCAIIAggCCAIIAggCCAIIAggCCAIIAggCCAIIAggCCAIUAgMCeQIeAALCAgICZAIEAgUCBgIHAggCCQIcAgsCDAINAggCCAIIAggCCAIIAggCCAIIAggCCAIIAggCCAIIAggCCAIUAgMCZQIeAALCAgICaAIEAgUCBgIHAggCCQIlAgsCDAINAggCCAIIAggCCAIIAggCCAIIAggCCAIIAggCCAIIAggCCAIUAgMCegIeAALCAgICAwIEAgUCBgIHAggCCQIKAgsCDAINAggCCAIIAggCCAIIAggCCAIIAggCCAIIAggCCAIIAggCCAIUAnoAAAQAAwIOAh4AAsICAgIoAgQCBQIGAgcCCAIJAhwCCwIMAg0CCAIIAggCCAIIAggCCAIIAggCCAIIAggCCAIIAggCCAIIAhQCAwIpAh4AAsICAgJXAgQCBQIGAgcCCAIJAhwCCwIMAg0CCAIIAggCCAIIAggCCAIIAggCCAIIAggCCAIIAggCCAIIAhQCAwJ2Ah4AAsICAgJVAgQCBQIGAgcCCAIJAgoCCwIMAg0CCAIIAggCCAIIAggCCAIIAggCCAIIAggCCAIIAggCCAIIAhQCAwJWAh4AAsICAgI9AgQCBQIGAgcCCAIJAiUCCwIMAg0CCAIIAggCCAIIAggCCAIIAggCCAIIAggCCAIIAggCCAIIAhQCAwI+Ah4AAsICAgJrAgQCBQIGAgcCCAIJAhwCCwIMAg0CCAIIAggCCAIIAggCCAIIAggCCAIIAggCCAIIAggCCAIIAhQCAwI+Ah4AAsICAgI5AgQCBQIGAgcCCAIJAhwCCwIMAg0CCAIIAggCCAIIAggCCAIIAggCCAIIAggCCAIIAggCCAIIAhQCAwI6Ah4AAsICAgJBAgQCBQIGAgcCCAIJAgoCCwIMAg0CCAIIAggCCAIIAggCCAIIAggCCAIIAggCCAIIAggCCAIIAhQCAwJnAh4AAsICAgJOAgQCBQIGAgcCCAIJAgoCCwIMAg0CCAIIAggCCAIIAggCCAIIAggCCAIIAggCCAIIAggCCAIIAhQCAwJwAh4AAsICAgJGAgQCBQIGAgcCCAIJAgoCCwIMAg0CCAIIAggCCAIIAggCCAIIAggCCAIIAggCCAIIAggCCAIIAhQCAwIrAh4AAsICAgIxAgQCBQIGAgcCCAIJAgoCCwIMAg0CCAIIAggCCAIIAggCCAIIAggCCAIIAggCCAIIAggCCAIIAhQCAwIyAh4AAsICAgIDAgQCBQIGAgcCCAIJAhwCCwIMAg0CCAIIAggCCAIIAggCCAIIAggCCAIIAggCCAIIAggCCAIIAhQCAwIwAh4AAsICAgJaAgQCBQIGAgcCCAIJAiUCCwIMAg0CCAIIAggCCAIIAggCCAIIAggCCAIIAggCCAIIAggCCAIIAhQCAwJbAh4AAsICAgIkAgQCBQIGAgcCCAIJAgoCCwIMAg0CCAIIAggCCAIIAggCCAIIAggCCAIIAggCCAIIAggCCAIIAhQCAwIrAh4AAsICAgIsAgQCBQIGAgcCCAIJAhwCCwIMAg0CCAIIAggCCAIIAggCCAIIAggCCAIIAggCCAIIAggCCAIIAhQCAwJNAh4AAsICAgIuAgQCBQIGAgcCCAIJAhwCCwIMAg0CCAIIAggCCAIIAggCCAIIAggCCAIIAggCCHoAAAQAAggCCAIIAggCFAIDAi8CHgACwgICAiICBAIFAgYCBwIIAgkCHAILAgwCDQIIAggCCAIIAggCCAIIAggCCAIIAggCCAIIAggCCAIIAggCFAIDAjUCHgACwgICAk4CBAIFAgYCBwIIAgkCJQILAgwCDQIIAggCCAIIAggCCAIIAggCCAIIAggCCAIIAggCCAIIAggCFAIDAk8CHgACwgICAmoCBAIFAgYCBwIIAgkCHAILAgwCDQIIAggCCAIIAggCCAIIAggCCAIIAggCCAIIAggCCAIIAggCFAIDAj4CHgACwgICAj8CBAIFAgYCBwIIAgkCJQILAgwCDQIIAggCCAIIAggCCAIIAggCCAIIAggCCAIIAggCCAIIAggCFAIDAl0CHgACwgICAiwCBAIFAgYCBwIIAgkCCgILAgwCDQIIAggCCAIIAggCCAIIAggCCAIIAggCCAIIAggCCAIIAggCFAIDAi0CHgACwgICAiICBAIFAgYCBwIIAgkCCgILAgwCDQIIAggCCAIIAggCCAIIAggCCAIIAggCCAIIAggCCAIIAggCFAIDAiMCHgACwgICAiQCBAIFAgYCBwIIAgkCHAILAgwCDQIIAggCCAIIAggCCAIIAggCCAIIAggCCAIIAggCCAIIAggCFAIDAlECHgACwgICAi4CBAIFAgYCBwIIAgkCCgILAgwCDQIIAggCCAIIAggCCAIIAggCCAIIAggCCAIIAggCCAIIAggCFAIDAjMCHgACwgICAjYCBAIFAgYCBwIIAgkCHAILAgwCDQIIAggCCAIIAggCCAIIAggCCAIIAggCCAIIAggCCAIIAggCFAIDAjsCHgACwgICAlICBAIFAgYCBwIIAgkCHAILAgwCDQIIAggCCAIIAggCCAIIAggCCAIIAggCCAIIAggCCAIIAggCFAIDAmwCHgACwgICAiACBAIFAgYCBwIIAgkCHAILAgwCDQIIAggCCAIIAggCCAIIAggCCAIIAggCCAIIAggCCAIIAggCFAIDAmACHgACwgICAmoCBAIFAgYCBwIIAgkCJQILAgwCDQIIAggCCAIIAggCCAIIAggCCAIIAggCCAIIAggCCAIIAggCFAIDAj4CHgACwgICAhsCBAIFAgYCBwIIAgkCCgILAgwCDQIIAggCCAIIAggCCAIIAggCCAIIAggCCAIIAggCCAIIAggCFAIDAkwCHgACwgICAj0CBAIFAgYCBwIIAgkCHAILAgwCDQIIAggCCAIIAggCCAIIAggCCAIIAggCCAIIAggCCAIIAggCFAIDAj4CHgACwgICAigCBAIFAgYCBwIIAgkCCgILAgwCDQIIAggCCAIIAggCCAIIAnoAAAQACAIIAggCCAIIAggCCAIIAggCCAIUAgMCPAIeAALCAgICKgIEAgUCBgIHAggCCQIlAgsCDAINAggCCAIIAggCCAIIAggCCAIIAggCCAIIAggCCAIIAggCCAIUAgMCJgIeAALCAgICGwIEAgUCBgIHAggCCQIcAgsCDAINAggCCAIIAggCCAIIAggCCAIIAggCCAIIAggCCAIIAggCCAIUAgMCHQIeAALCAgICOQIEAgUCBgIHAggCCQIKAgsCDAINAggCCAIIAggCCAIIAggCCAIIAggCCAIIAggCCAIIAggCCAIUAgMCQwIeAALCAgICKgIEAgUCBgIHAggCCQIKAgsCDAINAggCCAIIAggCCAIIAggCCAIIAggCCAIIAggCCAIIAggCCAIUAgMCKwIeAALCAgICUAIEAgUCBgIHAggCCQIKAgsCDAINAggCCAIIAggCCAIIAggCCAIIAggCCAIIAggCCAIIAggCCAIUAgMCPgIeAALCAgICPwIEAgUCBgIHAggCCQIcAgsCDAINAggCCAIIAggCCAIIAggCCAIIAggCCAIIAggCCAIIAggCCAIUAgMCQAIeAALCAgICUgIEAgUCBgIHAggCCQIlAgsCDAINAggCCAIIAggCCAIIAggCCAIIAggCCAIIAggCCAIIAggCCAIUAgMCUwIeAALCAgICQQIEAgUCBgIHAggCCQIcAgsCDAINAggCCAIIAggCCAIIAggCCAIIAggCCAIIAggCCAIIAggCCAIUAgMCXgIeAALCAgICRgIEAgUCBgIHAggCCQIcAgsCDAINAggCCAIIAggCCAIIAggCCAIIAggCCAIIAggCCAIIAggCCAIUAgMCUQIeAALCAgICPQIEAgUCBgIHAggCCQIKAgsCDAINAggCCAIIAggCCAIIAggCCAIIAggCCAIIAggCCAIIAggCCAIUAgMCPgIeAALCAgICVQIEAgUCBgIHAggCCQIlAgsCDAINAggCCAIIAggCCAIIAggCCAIIAggCCAIIAggCCAIIAggCCAIUAgMCbQIeAALCAgICRAIEAgUCBgIHAggCCQIKAgsCDAINAggCCAIIAggCCAIIAggCCAIIAggCCAIIAggCCAIIAggCCAIUAgMCRQIeAALCAgICaAIEAgUCBgIHAggCCQIKAgsCDAINAggCCAIIAggCCAIIAggCCAIIAggCCAIIAggCCAIIAggCCAIUAgMCaQIeAALCAgICSgIEAgUCBgIHAggCCQIcAgsCDAINAggCCAIIAggCCAIIAggCCAIIAggCCAIIAggCCAIIAggCCAIUAgMCSwIeAALCAgICLAIEAgUCBgIHAggCCQIlAgsCDAINAggCCHoAAAQAAggCCAIIAggCCAIIAggCCAIIAggCCAIIAggCCAIIAhQCAwJmAh4AAsICAgJEAgQCBQIGAgcCCAIJAhwCCwIMAg0CCAIIAggCCAIIAggCCAIIAggCCAIIAggCCAIIAggCCAIIAhQCAwJcAh4AAsICAgI2AgQCBQIGAgcCCAIJAiUCCwIMAg0CCAIIAggCCAIIAggCCAIIAggCCAIIAggCCAIIAggCCAIIAhQCAwJuAh4AAsICAgIbAgQCBQIGAgcCCAIJAiUCCwIMAg0CCAIIAggCCAIIAggCCAIIAggCCAIIAggCCAIIAggCCAIIAhQCAwI4Ah4AAsICAgJqAgQCBQIGAgcCCAIJAgoCCwIMAg0CCAIIAggCCAIIAggCCAIIAggCCAIIAggCCAIIAggCCAIIAhQCAwI+Ah4AAsICAgJHAgQCBQIGAgcCCAIJAhwCCwIMAg0CCAIIAggCCAIIAggCCAIIAggCCAIIAggCCAIIAggCCAIIAhQCAwJIAh4AAsICAgI/AgQCBQIGAgcCCAIJAgoCCwIMAg0CCAIIAggCCAIIAggCCAIIAggCCAIIAggCCAIIAggCCAIIAhQCAwJzAh4AAsICAgJHAgQCBQIGAgcCCAIJAgoCCwIMAg0CCAIIAggCCAIIAggCCAIIAggCCAIIAggCCAIIAggCCAIIAhQCAwJ0Ah4AAsICAgJBAgQCBQIGAgcCCAIJAiUCCwIMAg0CCAIIAggCCAIIAggCCAIIAggCCAIIAggCCAIIAggCCAIIAhQCAwJCAh4AAsICAgIuAgQCBQIGAgcCCAIJAiUCCwIMAg0CCAIIAggCCAIIAggCCAIIAggCCAIIAggCCAIIAggCCAIIAhQCAwJJAh4AAsICAgJrAgQCBQIGAgcCCAIJAgoCCwIMAg0CCAIIAggCCAIIAggCCAIIAggCCAIIAggCCAIIAggCCAIIAhQCAwI+Ah4AAsICAgJQAgQCBQIGAgcCCAIJAhwCCwIMAg0CCAIIAggCCAIIAggCCAIIAggCCAIIAggCCAIIAggCCAIIAhQCAwI+Ah4AAsICAgJSAgQCBQIGAgcCCAIJAgoCCwIMAg0CCAIIAggCCAIIAggCCAIIAggCCAIIAggCCAIIAggCCAIIAhQCAwJiAh4AAsICAgJaAgQCBQIGAgcCCAIJAgoCCwIMAg0CCAIIAggCCAIIAggCCAIIAggCCAIIAggCCAIIAggCCAIIAhQCAwJfAh4AAsICAgIqAgQCBQIGAgcCCAIJAhwCCwIMAg0CCAIIAggCCAIIAggCCAIIAggCCAIIAggCCAIIAggCCAIIAhQCAwJRAh4AAsICAgJXAgQCBQIGAgcCCAIJAnoAAAQACgILAgwCDQIIAggCCAIIAggCCAIIAggCCAIIAggCCAIIAggCCAIIAggCFAIDAlkCHgACwgICAiQCBAIFAgYCBwIIAgkCJQILAgwCDQIIAggCCAIIAggCCAIIAggCCAIIAggCCAIIAggCCAIIAggCFAIDAiYCHgACwgICAkcCBAIFAgYCBwIIAgkCJQILAgwCDQIIAggCCAIIAggCCAIIAggCCAIIAggCCAIIAggCCAIIAggCFAIDAnUCHgACwgICAk4CBAIFAgYCBwIIAgkCHAILAgwCDQIIAggCCAIIAggCCAIIAggCCAIIAggCCAIIAggCCAIIAggCFAIDAlQCHgACwgICAiACBAIFAgYCBwIIAgkCCgILAgwCDQIIAggCCAIIAggCCAIIAggCCAIIAggCCAIIAggCCAIIAggCFAIDAiECHgACwgICAmsCBAIFAgYCBwIIAgkCJQILAgwCDQIIAggCCAIIAggCCAIIAggCCAIIAggCCAIIAggCCAIIAggCFAIDAj4CHgACwgICAlUCBAIFAgYCBwIIAgkCHAILAgwCDQIIAggCCAIIAggCCAIIAggCCAIIAggCCAIIAggCCAIIAggCFAIDAmMCHgACwgICAjECBAIFAgYCBwIIAgkCHAILAgwCDQIIAggCCAIIAggCCAIIAggCCAIIAggCCAIIAggCCAIIAggCFAIDAmECHgACwgICAigCBAIFAgYCBwIIAgkCJQILAgwCDQIIAggCCAIIAggCCAIIAggCCAIIAggCCAIIAggCCAIIAggCFAIDAnECHgACwgICAjYCBAIFAgYCBwIIAgkCCgILAgwCDQIIAggCCAIIAggCCAIIAggCCAIIAggCCAIIAggCCAIIAggCFAIDAjcCHgACwgICAh4CBAIFAgYCBwIIAgkCHAILAgwCDQIIAggCCAIIAggCCAIIAggCCAIIAggCCAIIAggCCAIIAggCFAIDAjQCHgACwgICAlACBAIFAgYCBwIIAgkCJQILAgwCDQIIAggCCAIIAggCCAIIAggCCAIIAggCCAIIAggCCAIIAggCFAIDAj4CHgACwgICAlcCBAIFAgYCBwIIAgkCJQILAgwCDQIIAggCCAIIAggCCAIIAggCCAIIAggCCAIIAggCCAIIAggCFAIDAlgCHgACwgICAmQCBAIFAgYCBwIIAgkCCgILAgwCDQIIAggCCAIIAggCCAIIAggCCAIIAggCCAIIAggCCAIIAggCFAIDAngCHgACwgICAiICBAIFAgYCBwIIAgkCJQILAgwCDQIIAggCCAIIAggCCAIIAggCCAIIAggCCAIIAggCCAIIAggCFAIDAicCHgACwgICAh4CBHoAAAQAAgUCBgIHAggCCQIKAgsCDAINAggCCAIIAggCCAIIAggCCAIIAggCCAIIAggCCAIIAggCCAIUAgMCHwIeAALCAgICSgIEAgUCBgIHAggCCQIKAgsCDAINAggCCAIIAggCCAIIAggCCAIIAggCCAIIAggCCAIIAggCCAIUAgMCbwIeAALCAgICIAIEAgUCBgIHAggCCQIlAgsCDAINAggCCAIIAggCCAIIAggCCAIIAggCCAIIAggCCAIIAggCCAIUAgMCcgIeAALCAgICWgIEAgUCBgIHAggCCQIcAgsCDAINAggCCAIIAggCCAIIAggCCAIIAggCCAIIAggCCAIIAggCCAIUAgMCdwIeAALCAgICRgIEAgUCBgIHAggCCQIlAgsCDAINAggCCAIIAggCCAIIAggCCAIIAggCCAIIAggCCAIIAggCCAIUAgMCJgIeAALDAAk0NjI3MTg4MDACAgJBAgQCBQIGAgcCCAIJAgoCCwIMAg0CCAIIAggCCAIIAggCCAIIAggCCAIIAggCCAIIAggCCAIIAhICAwJnAh4AAsMCAgJQAgQCBQIGAgcCCAIJAgoCCwIMAg0CCAIIAggCCAIIAggCCAIIAggCCAIIAggCCAIIAggCCAIIAhICAwI+Ah4AAsMCAgIoAgQCBQIGAgcCCAIJAhwCCwIMAg0CCAIIAggCCAIIAggCCAIIAggCCAIIAggCCAIIAggCCAIIAhICAwIpAh4AAsMCAgJGAgQCBQIGAgcCCAIJAgoCCwIMAg0CCAIIAggCCAIIAggCCAIIAggCCAIIAggCCAIIAggCCAIIAhICAwIrAh4AAsMCAgJkAgQCBQIGAgcCCAIJAgoCCwIMAg0CCAIIAggCCAIIAggCCAIIAggCCAIIAggCCAIIAggCCAIIAhICAwJ4Ah4AAsMCAgIDAgQCBQIGAgcCCAIJAhwCCwIMAg0CCAIIAggCCAIIAggCCAIIAggCCAIIAggCCAIIAggCCAIIAhICAwIwAh4AAsMCAgIuAgQCBQIGAgcCCAIJAhwCCwIMAg0CCAIIAggCCAIIAggCCAIIAggCCAIIAggCCAIIAggCCAIIAhICAwIvAh4AAsMCAgJSAgQCBQIGAgcCCAIJAhwCCwIMAg0CCAIIAggCCAIIAggCCAIIAggCCAIIAggCCAIIAggCCAIIAhICAwJsAh4AAsMCAgJKAgQCBQIGAgcCCAIJAgoCCwIMAg0CCAIIAggCCAIIAggCCAIIAggCCAIIAggCCAIIAggCCAIIAhICAwJvAh4AAsMCAgJEAgQCBQIGAgcCCAIJAgoCCwIMAg0CCAIIAggCCAIIAggCCAIIAggCCAIIAggCCAIIAnoAAAQACAIIAggCEgIDAkUCHgACwwICAlICBAIFAgYCBwIIAgkCCgILAgwCDQIIAggCCAIIAggCCAIIAggCCAIIAggCCAIIAggCCAIIAggCEgIDAmICHgACwwICAloCBAIFAgYCBwIIAgkCJQILAgwCDQIIAggCCAIIAggCCAIIAggCCAIIAggCCAIIAggCCAIIAggCEgIDAlsCHgACwwICAiACBAIFAgYCBwIIAgkCHAILAgwCDQIIAggCCAIIAggCCAIIAggCCAIIAggCCAIIAggCCAIIAggCEgIDAmACHgACwwICAk4CBAIFAgYCBwIIAgkCCgILAgwCDQIIAggCCAIIAggCCAIIAggCCAIIAggCCAIIAggCCAIIAggCEgIDAnACHgACwwICAiwCBAIFAgYCBwIIAgkCJQILAgwCDQIIAggCCAIIAggCCAIIAggCCAIIAggCCAIIAggCCAIIAggCEgIDAmYCHgACwwICAiwCBAIFAgYCBwIIAgkCHAILAgwCDQIIAggCCAIIAggCCAIIAggCCAIIAggCCAIIAggCCAIIAggCEgIDAk0CHgACwwICAmoCBAIFAgYCBwIIAgkCJQILAgwCDQIIAggCCAIIAggCCAIIAggCCAIIAggCCAIIAggCCAIIAggCEgIDAj4CHgACwwICAjkCBAIFAgYCBwIIAgkCCgILAgwCDQIIAggCCAIIAggCCAIIAggCCAIIAggCCAIIAggCCAIIAggCEgIDAkMCHgACwwICAloCBAIFAgYCBwIIAgkCCgILAgwCDQIIAggCCAIIAggCCAIIAggCCAIIAggCCAIIAggCCAIIAggCEgIDAl8CHgACwwICAjECBAIFAgYCBwIIAgkCHAILAgwCDQIIAggCCAIIAggCCAIIAggCCAIIAggCCAIIAggCCAIIAggCEgIDAmECHgACwwICAj0CBAIFAgYCBwIIAgkCCgILAgwCDQIIAggCCAIIAggCCAIIAggCCAIIAggCCAIIAggCCAIIAggCEgIDAj4CHgACwwICAmsCBAIFAgYCBwIIAgkCHAILAgwCDQIIAggCCAIIAggCCAIIAggCCAIIAggCCAIIAggCCAIIAggCEgIDAj4CHgACwwICAj8CBAIFAgYCBwIIAgkCJQILAgwCDQIIAggCCAIIAggCCAIIAggCCAIIAggCCAIIAggCCAIIAggCEgIDAl0CHgACwwICAk4CBAIFAgYCBwIIAgkCHAILAgwCDQIIAggCCAIIAggCCAIIAggCCAIIAggCCAIIAggCCAIIAggCEgIDAlQCHgACwwICAkQCBAIFAgYCBwIIAgkCHAILAgwCDQIIAggCCAIIAggCCAIIAggCCHoAAAQAAggCCAIIAggCCAIIAggCCAISAgMCXAIeAALDAgICUAIEAgUCBgIHAggCCQIcAgsCDAINAggCCAIIAggCCAIIAggCCAIIAggCCAIIAggCCAIIAggCCAISAgMCPgIeAALDAgICUgIEAgUCBgIHAggCCQIlAgsCDAINAggCCAIIAggCCAIIAggCCAIIAggCCAIIAggCCAIIAggCCAISAgMCUwIeAALDAgICIgIEAgUCBgIHAggCCQIcAgsCDAINAggCCAIIAggCCAIIAggCCAIIAggCCAIIAggCCAIIAggCCAISAgMCNQIeAALDAgICKAIEAgUCBgIHAggCCQIKAgsCDAINAggCCAIIAggCCAIIAggCCAIIAggCCAIIAggCCAIIAggCCAISAgMCPAIeAALDAgICUAIEAgUCBgIHAggCCQIlAgsCDAINAggCCAIIAggCCAIIAggCCAIIAggCCAIIAggCCAIIAggCCAISAgMCPgIeAALDAgICRgIEAgUCBgIHAggCCQIlAgsCDAINAggCCAIIAggCCAIIAggCCAIIAggCCAIIAggCCAIIAggCCAISAgMCJgIeAALDAgICPQIEAgUCBgIHAggCCQIcAgsCDAINAggCCAIIAggCCAIIAggCCAIIAggCCAIIAggCCAIIAggCCAISAgMCPgIeAALDAgICGwIEAgUCBgIHAggCCQIcAgsCDAINAggCCAIIAggCCAIIAggCCAIIAggCCAIIAggCCAIIAggCCAISAgMCHQIeAALDAgICJAIEAgUCBgIHAggCCQIlAgsCDAINAggCCAIIAggCCAIIAggCCAIIAggCCAIIAggCCAIIAggCCAISAgMCJgIeAALDAgICRwIEAgUCBgIHAggCCQIKAgsCDAINAggCCAIIAggCCAIIAggCCAIIAggCCAIIAggCCAIIAggCCAISAgMCdAIeAALDAgICRgIEAgUCBgIHAggCCQIcAgsCDAINAggCCAIIAggCCAIIAggCCAIIAggCCAIIAggCCAIIAggCCAISAgMCUQIeAALDAgICVwIEAgUCBgIHAggCCQIKAgsCDAINAggCCAIIAggCCAIIAggCCAIIAggCCAIIAggCCAIIAggCCAISAgMCWQIeAALDAgICaAIEAgUCBgIHAggCCQIlAgsCDAINAggCCAIIAggCCAIIAggCCAIIAggCCAIIAggCCAIIAggCCAISAgMCegIeAALDAgICLAIEAgUCBgIHAggCCQIKAgsCDAINAggCCAIIAggCCAIIAggCCAIIAggCCAIIAggCCAIIAggCCAISAgMCLQIeAALDAgICVwIEAgUCBgIHAggCCQIlAgsCDAINAggCCAIIAnoAAAQACAIIAggCCAIIAggCCAIIAggCCAIIAggCCAIIAhICAwJYAh4AAsMCAgI5AgQCBQIGAgcCCAIJAhwCCwIMAg0CCAIIAggCCAIIAggCCAIIAggCCAIIAggCCAIIAggCCAIIAhICAwI6Ah4AAsMCAgJVAgQCBQIGAgcCCAIJAgoCCwIMAg0CCAIIAggCCAIIAggCCAIIAggCCAIIAggCCAIIAggCCAIIAhICAwJWAh4AAsMCAgIgAgQCBQIGAgcCCAIJAiUCCwIMAg0CCAIIAggCCAIIAggCCAIIAggCCAIIAggCCAIIAggCCAIIAhICAwJyAh4AAsMCAgI2AgQCBQIGAgcCCAIJAgoCCwIMAg0CCAIIAggCCAIIAggCCAIIAggCCAIIAggCCAIIAggCCAIIAhICAwI3Ah4AAsMCAgI2AgQCBQIGAgcCCAIJAiUCCwIMAg0CCAIIAggCCAIIAggCCAIIAggCCAIIAggCCAIIAggCCAIIAhICAwJuAh4AAsMCAgJHAgQCBQIGAgcCCAIJAhwCCwIMAg0CCAIIAggCCAIIAggCCAIIAggCCAIIAggCCAIIAggCCAIIAhICAwJIAh4AAsMCAgJrAgQCBQIGAgcCCAIJAgoCCwIMAg0CCAIIAggCCAIIAggCCAIIAggCCAIIAggCCAIIAggCCAIIAhICAwI+Ah4AAsMCAgJqAgQCBQIGAgcCCAIJAhwCCwIMAg0CCAIIAggCCAIIAggCCAIIAggCCAIIAggCCAIIAggCCAIIAhICAwI+Ah4AAsMCAgJkAgQCBQIGAgcCCAIJAhwCCwIMAg0CCAIIAggCCAIIAggCCAIIAggCCAIIAggCCAIIAggCCAIIAhICAwJlAh4AAsMCAgJoAgQCBQIGAgcCCAIJAgoCCwIMAg0CCAIIAggCCAIIAggCCAIIAggCCAIIAggCCAIIAggCCAIIAhICAwJpAh4AAsMCAgIxAgQCBQIGAgcCCAIJAgoCCwIMAg0CCAIIAggCCAIIAggCCAIIAggCCAIIAggCCAIIAggCCAIIAhICAwIyAh4AAsMCAgIgAgQCBQIGAgcCCAIJAgoCCwIMAg0CCAIIAggCCAIIAggCCAIIAggCCAIIAggCCAIIAggCCAIIAhICAwIhAh4AAsMCAgJVAgQCBQIGAgcCCAIJAhwCCwIMAg0CCAIIAggCCAIIAggCCAIIAggCCAIIAggCCAIIAggCCAIIAhICAwJjAh4AAsMCAgI2AgQCBQIGAgcCCAIJAhwCCwIMAg0CCAIIAggCCAIIAggCCAIIAggCCAIIAggCCAIIAggCCAIIAhICAwI7Ah4AAsMCAgI9AgQCBQIGAgcCCAIJAiUCC3oAAAQAAgwCDQIIAggCCAIIAggCCAIIAggCCAIIAggCCAIIAggCCAIIAggCEgIDAj4CHgACwwICAk4CBAIFAgYCBwIIAgkCJQILAgwCDQIIAggCCAIIAggCCAIIAggCCAIIAggCCAIIAggCCAIIAggCEgIDAk8CHgACwwICAioCBAIFAgYCBwIIAgkCCgILAgwCDQIIAggCCAIIAggCCAIIAggCCAIIAggCCAIIAggCCAIIAggCEgIDAisCHgACwwICAlcCBAIFAgYCBwIIAgkCHAILAgwCDQIIAggCCAIIAggCCAIIAggCCAIIAggCCAIIAggCCAIIAggCEgIDAnYCHgACwwICAj8CBAIFAgYCBwIIAgkCHAILAgwCDQIIAggCCAIIAggCCAIIAggCCAIIAggCCAIIAggCCAIIAggCEgIDAkACHgACwwICAkoCBAIFAgYCBwIIAgkCHAILAgwCDQIIAggCCAIIAggCCAIIAggCCAIIAggCCAIIAggCCAIIAggCEgIDAksCHgACwwICAkECBAIFAgYCBwIIAgkCHAILAgwCDQIIAggCCAIIAggCCAIIAggCCAIIAggCCAIIAggCCAIIAggCEgIDAl4CHgACwwICAgMCBAIFAgYCBwIIAgkCCgILAgwCDQIIAggCCAIIAggCCAIIAggCCAIIAggCCAIIAggCCAIIAggCEgIDAg4CHgACwwICAh4CBAIFAgYCBwIIAgkCCgILAgwCDQIIAggCCAIIAggCCAIIAggCCAIIAggCCAIIAggCCAIIAggCEgIDAh8CHgACwwICAkcCBAIFAgYCBwIIAgkCJQILAgwCDQIIAggCCAIIAggCCAIIAggCCAIIAggCCAIIAggCCAIIAggCEgIDAnUCHgACwwICAi4CBAIFAgYCBwIIAgkCCgILAgwCDQIIAggCCAIIAggCCAIIAggCCAIIAggCCAIIAggCCAIIAggCEgIDAjMCHgACwwICAmoCBAIFAgYCBwIIAgkCCgILAgwCDQIIAggCCAIIAggCCAIIAggCCAIIAggCCAIIAggCCAIIAggCEgIDAj4CHgACwwICAlUCBAIFAgYCBwIIAgkCJQILAgwCDQIIAggCCAIIAggCCAIIAggCCAIIAggCCAIIAggCCAIIAggCEgIDAm0CHgACwwICAiICBAIFAgYCBwIIAgkCCgILAgwCDQIIAggCCAIIAggCCAIIAggCCAIIAggCCAIIAggCCAIIAggCEgIDAiMCHgACwwICAmsCBAIFAgYCBwIIAgkCJQILAgwCDQIIAggCCAIIAggCCAIIAggCCAIIAggCCAIIAggCCAIIAggCEgIDAj4CHgACwwICAiICBAIFAnoAAAQABgIHAggCCQIlAgsCDAINAggCCAIIAggCCAIIAggCCAIIAggCCAIIAggCCAIIAggCCAISAgMCJwIeAALDAgICQQIEAgUCBgIHAggCCQIlAgsCDAINAggCCAIIAggCCAIIAggCCAIIAggCCAIIAggCCAIIAggCCAISAgMCQgIeAALDAgICWgIEAgUCBgIHAggCCQIcAgsCDAINAggCCAIIAggCCAIIAggCCAIIAggCCAIIAggCCAIIAggCCAISAgMCdwIeAALDAgICHgIEAgUCBgIHAggCCQIcAgsCDAINAggCCAIIAggCCAIIAggCCAIIAggCCAIIAggCCAIIAggCCAISAgMCNAIeAALDAgICPwIEAgUCBgIHAggCCQIKAgsCDAINAggCCAIIAggCCAIIAggCCAIIAggCCAIIAggCCAIIAggCCAISAgMCcwIeAALDAgICGwIEAgUCBgIHAggCCQIlAgsCDAINAggCCAIIAggCCAIIAggCCAIIAggCCAIIAggCCAIIAggCCAISAgMCOAIeAALDAgICJAIEAgUCBgIHAggCCQIcAgsCDAINAggCCAIIAggCCAIIAggCCAIIAggCCAIIAggCCAIIAggCCAISAgMCUQIeAALDAgICKgIEAgUCBgIHAggCCQIcAgsCDAINAggCCAIIAggCCAIIAggCCAIIAggCCAIIAggCCAIIAggCCAISAgMCUQIeAALDAgICLgIEAgUCBgIHAggCCQIlAgsCDAINAggCCAIIAggCCAIIAggCCAIIAggCCAIIAggCCAIIAggCCAISAgMCSQIeAALDAgICaAIEAgUCBgIHAggCCQIcAgsCDAINAggCCAIIAggCCAIIAggCCAIIAggCCAIIAggCCAIIAggCCAISAgMCeQIeAALDAgICKAIEAgUCBgIHAggCCQIlAgsCDAINAggCCAIIAggCCAIIAggCCAIIAggCCAIIAggCCAIIAggCCAISAgMCcQIeAALDAgICJAIEAgUCBgIHAggCCQIKAgsCDAINAggCCAIIAggCCAIIAggCCAIIAggCCAIIAggCCAIIAggCCAISAgMCKwIeAALDAgICKgIEAgUCBgIHAggCCQIlAgsCDAINAggCCAIIAggCCAIIAggCCAIIAggCCAIIAggCCAIIAggCCAISAgMCJgIeAALDAgICGwIEAgUCBgIHAggCCQIKAgsCDAINAggCCAIIAggCCAIIAggCCAIIAggCCAIIAggCCAIIAggCCAISAgMCTAIeAALEAAk0OTk3NDY3MzYCAgJKAgQCBQIGAgcCCAIJAhwCCwJ8Ag0CCAIIAggCCAIIAggCCAIIAggCCAIIAggCCAIIAggCCHoAAAQAAggCAQIDArICHgACxAICAigCBAIFAgYCBwIIAgkCHAILAnwCDQIIAggCCAIIAggCCAIIAggCCAIIAggCCAIIAggCCAIIAggCAQIDAroCHgACxAICAgMCBAIFAgYCBwIIAgkCCgILAnwCDQIIAggCCAIIAggCCAIIAggCCAIIAggCCAIIAggCCAIIAggCAQIDAqECHgACxAICAlACBAIFAgYCBwIIAgkCCgILAnwCDQIIAggCCAIIAggCCAIIAggCCAIIAggCCAIIAggCCAIIAggCAQIDAj4CHgACxAICAmgCBAIFAgYCBwIIAgkCHAILAnwCDQIIAggCCAIIAggCCAIIAggCCAIIAggCCAIIAggCCAIIAggCAQIDArYCHgACxAICAioCBAIFAgYCBwIIAgkCgwILAnwCDQIIAggCCAIIAggCCAIIAggCCAIIAggCCAIIAggCCAIIAggCAQIDAoYCHgACxAICAmsCBAIFAgYCBwIIAgkCHAILAnwCDQIIAggCCAIIAggCCAIIAggCCAIIAggCCAIIAggCCAIIAggCAQIDAj4CHgACxAICAhsCBAIFAgYCBwIIAgkCCgILAnwCDQIIAggCCAIIAggCCAIIAggCCAIIAggCCAIIAggCCAIIAggCAQIDAqACHgACxAICAkECBAIFAgYCBwIIAgkCgwILAnwCDQIIAggCCAIIAggCCAIIAggCCAIIAggCCAIIAggCCAIIAggCAQIDAqYCHgACxAICAkcCBAIFAgYCBwIIAgkCHAILAnwCDQIIAggCCAIIAggCCAIIAggCCAIIAggCCAIIAggCCAIIAggCAQIDApcCHgACxAICAiQCBAIFAgYCBwIIAgkCHAILAnwCDQIIAggCCAIIAggCCAIIAggCCAIIAggCCAIIAggCCAIIAggCAQIDAowCHgACxAICAj8CBAIFAgYCBwIIAgkCCgILAnwCDQIIAggCCAIIAggCCAIIAggCCAIIAggCCAIIAggCCAIIAggCAQIDAn4CHgACxAICAigCBAIFAgYCBwIIAgkCCgILAnwCDQIIAggCCAIIAggCCAIIAggCCAIIAggCCAIIAggCCAIIAggCAQIDArgCHgACxAICAj8CBAIFAgYCBwIIAgkCHAILAnwCDQIIAggCCAIIAggCCAIIAggCCAIIAggCCAIIAggCCAIIAggCAQIDAq4CHgACxAICAi4CBAIFAgYCBwIIAgkCgwILAnwCDQIIAggCCAIIAggCCAIIAggCCAIIAggCCAIIAggCCAIIAggCAQIDArcCHgACxAICAkQCBAIFAgYCBwIIAgkCgwILAnwCDQIIAggCCAIIAggCCAIIAggCCAIIAnoAAAQACAIIAggCCAIIAggCCAIBAgMCigIeAALEAgICVwIEAgUCBgIHAggCCQIKAgsCfAINAggCCAIIAggCCAIIAggCCAIIAggCCAIIAggCCAIIAggCCAIBAgMCkgIeAALEAgICVQIEAgUCBgIHAggCCQIKAgsCfAINAggCCAIIAggCCAIIAggCCAIIAggCCAIIAggCCAIIAggCCAIBAgMCswIeAALEAgICUgIEAgUCBgIHAggCCQIcAgsCfAINAggCCAIIAggCCAIIAggCCAIIAggCCAIIAggCCAIIAggCCAIBAgMCogIeAALEAgICIAIEAgUCBgIHAggCCQIcAgsCfAINAggCCAIIAggCCAIIAggCCAIIAggCCAIIAggCCAIIAggCCAIBAgMCpAIeAALEAgICLgIEAgUCBgIHAggCCQIKAgsCfAINAggCCAIIAggCCAIIAggCCAIIAggCCAIIAggCCAIIAggCCAIBAgMCngIeAALEAgICPQIEAgUCBgIHAggCCQKDAgsCfAINAggCCAIIAggCCAIIAggCCAIIAggCCAIIAggCCAIIAggCCAIBAgMCPgIeAALEAgICagIEAgUCBgIHAggCCQIcAgsCfAINAggCCAIIAggCCAIIAggCCAIIAggCCAIIAggCCAIIAggCCAIBAgMCPgIeAALEAgICUAIEAgUCBgIHAggCCQKDAgsCfAINAggCCAIIAggCCAIIAggCCAIIAggCCAIIAggCCAIIAggCCAIBAgMCPgIeAALEAgICaAIEAgUCBgIHAggCCQIKAgsCfAINAggCCAIIAggCCAIIAggCCAIIAggCCAIIAggCCAIIAggCCAIBAgMCqwIeAALEAgICaAIEAgUCBgIHAggCCQKDAgsCfAINAggCCAIIAggCCAIIAggCCAIIAggCCAIIAggCCAIIAggCCAIBAgMCqgIeAALEAgICUgIEAgUCBgIHAggCCQIKAgsCfAINAggCCAIIAggCCAIIAggCCAIIAggCCAIIAggCCAIIAggCCAIBAgMCtAIeAALEAgICVwIEAgUCBgIHAggCCQKDAgsCfAINAggCCAIIAggCCAIIAggCCAIIAggCCAIIAggCCAIIAggCCAIBAgMCowIeAALEAgICIgIEAgUCBgIHAggCCQIcAgsCfAINAggCCAIIAggCCAIIAggCCAIIAggCCAIIAggCCAIIAggCCAIBAgMCkQIeAALEAgICLAIEAgUCBgIHAggCCQIcAgsCfAINAggCCAIIAggCCAIIAggCCAIIAggCCAIIAggCCAIIAggCCAIBAgMCggIeAALEAgICNgIEAgUCBgIHAggCCQIcAgsCfAINAggCCAIIAggCCHoAAAQAAggCCAIIAggCCAIIAggCCAIIAggCCAIIAgECAwKaAh4AAsQCAgIDAgQCBQIGAgcCCAIJAoMCCwJ8Ag0CCAIIAggCCAIIAggCCAIIAggCCAIIAggCCAIIAggCCAIIAgECAwKlAh4AAsQCAgIiAgQCBQIGAgcCCAIJAgoCCwJ8Ag0CCAIIAggCCAIIAggCCAIIAggCCAIIAggCCAIIAggCCAIIAgECAwK7Ah4AAsQCAgJaAgQCBQIGAgcCCAIJAoMCCwJ8Ag0CCAIIAggCCAIIAggCCAIIAggCCAIIAggCCAIIAggCCAIIAgECAwKnAh4AAsQCAgJHAgQCBQIGAgcCCAIJAgoCCwJ8Ag0CCAIIAggCCAIIAggCCAIIAggCCAIIAggCCAIIAggCCAIIAgECAwK5Ah4AAsQCAgJkAgQCBQIGAgcCCAIJAgoCCwJ8Ag0CCAIIAggCCAIIAggCCAIIAggCCAIIAggCCAIIAggCCAIIAgECAwKpAh4AAsQCAgJSAgQCBQIGAgcCCAIJAoMCCwJ8Ag0CCAIIAggCCAIIAggCCAIIAggCCAIIAggCCAIIAggCCAIIAgECAwKfAh4AAsQCAgJkAgQCBQIGAgcCCAIJAoMCCwJ8Ag0CCAIIAggCCAIIAggCCAIIAggCCAIIAggCCAIIAggCCAIIAgECAwK8Ah4AAsQCAgJGAgQCBQIGAgcCCAIJAoMCCwJ8Ag0CCAIIAggCCAIIAggCCAIIAggCCAIIAggCCAIIAggCCAIIAgECAwKGAh4AAsQCAgJGAgQCBQIGAgcCCAIJAgoCCwJ8Ag0CCAIIAggCCAIIAggCCAIIAggCCAIIAggCCAIIAggCCAIIAgECAwKoAh4AAsQCAgJVAgQCBQIGAgcCCAIJAoMCCwJ8Ag0CCAIIAggCCAIIAggCCAIIAggCCAIIAggCCAIIAggCCAIIAgECAwK1Ah4AAsQCAgJOAgQCBQIGAgcCCAIJAgoCCwJ8Ag0CCAIIAggCCAIIAggCCAIIAggCCAIIAggCCAIIAggCCAIIAgECAwKWAh4AAsQCAgJaAgQCBQIGAgcCCAIJAhwCCwJ8Ag0CCAIIAggCCAIIAggCCAIIAggCCAIIAggCCAIIAggCCAIIAgECAwKHAh4AAsQCAgJHAgQCBQIGAgcCCAIJAoMCCwJ8Ag0CCAIIAggCCAIIAggCCAIIAggCCAIIAggCCAIIAggCCAIIAgECAwKxAh4AAsQCAgJkAgQCBQIGAgcCCAIJAhwCCwJ8Ag0CCAIIAggCCAIIAggCCAIIAggCCAIIAggCCAIIAggCCAIIAgECAwKAAh4AAsQCAgIuAgQCBQIGAgcCCAIJAhwCCwJ8AnoAAAQADQIIAggCCAIIAggCCAIIAggCCAIIAggCCAIIAggCCAIIAggCAQIDAn0CHgACxAICAiQCBAIFAgYCBwIIAgkCCgILAnwCDQIIAggCCAIIAggCCAIIAggCCAIIAggCCAIIAggCCAIIAggCAQIDAqgCHgACxAICAmsCBAIFAgYCBwIIAgkCgwILAnwCDQIIAggCCAIIAggCCAIIAggCCAIIAggCCAIIAggCCAIIAggCAQIDAj4CHgACxAICAj8CBAIFAgYCBwIIAgkCgwILAnwCDQIIAggCCAIIAggCCAIIAggCCAIIAggCCAIIAggCCAIIAggCAQIDAokCHgACxAICAkoCBAIFAgYCBwIIAgkCCgILAnwCDQIIAggCCAIIAggCCAIIAggCCAIIAggCCAIIAggCCAIIAggCAQIDArACHgACxAICAigCBAIFAgYCBwIIAgkCgwILAnwCDQIIAggCCAIIAggCCAIIAggCCAIIAggCCAIIAggCCAIIAggCAQIDApMCHgACxAICAj0CBAIFAgYCBwIIAgkCHAILAnwCDQIIAggCCAIIAggCCAIIAggCCAIIAggCCAIIAggCCAIIAggCAQIDAj4CHgACxAICAkYCBAIFAgYCBwIIAgkCHAILAnwCDQIIAggCCAIIAggCCAIIAggCCAIIAggCCAIIAggCCAIIAggCAQIDAowCHgACxAICAiwCBAIFAgYCBwIIAgkCCgILAnwCDQIIAggCCAIIAggCCAIIAggCCAIIAggCCAIIAggCCAIIAggCAQIDAoUCHgACxAICAiACBAIFAgYCBwIIAgkCCgILAnwCDQIIAggCCAIIAggCCAIIAggCCAIIAggCCAIIAggCCAIIAggCAQIDAqwCHgACxAICAk4CBAIFAgYCBwIIAgkCgwILAnwCDQIIAggCCAIIAggCCAIIAggCCAIIAggCCAIIAggCCAIIAggCAQIDAq0CHgACxAICAj0CBAIFAgYCBwIIAgkCCgILAnwCDQIIAggCCAIIAggCCAIIAggCCAIIAggCCAIIAggCCAIIAggCAQIDAj4CHgACxAICAkQCBAIFAgYCBwIIAgkCCgILAnwCDQIIAggCCAIIAggCCAIIAggCCAIIAggCCAIIAggCCAIIAggCAQIDApkCHgACxAICAkoCBAIFAgYCBwIIAgkCgwILAnwCDQIIAggCCAIIAggCCAIIAggCCAIIAggCCAIIAggCCAIIAggCAQIDAo4CHgACxAICAhsCBAIFAgYCBwIIAgkCgwILAnwCDQIIAggCCAIIAggCCAIIAggCCAIIAggCCAIIAggCCAIIAggCAQIDApwCHgACxAICAlcCBAIFAgYCB3oAAAQAAggCCQIcAgsCfAINAggCCAIIAggCCAIIAggCCAIIAggCCAIIAggCCAIIAggCCAIBAgMClAIeAALEAgICIAIEAgUCBgIHAggCCQKDAgsCfAINAggCCAIIAggCCAIIAggCCAIIAggCCAIIAggCCAIIAggCCAIBAgMCkAIeAALEAgICWgIEAgUCBgIHAggCCQIKAgsCfAINAggCCAIIAggCCAIIAggCCAIIAggCCAIIAggCCAIIAggCCAIBAgMCmwIeAALEAgICAwIEAgUCBgIHAggCCQIcAgsCfAINAggCCAIIAggCCAIIAggCCAIIAggCCAIIAggCCAIIAggCCAIBAgMCfwIeAALEAgICQQIEAgUCBgIHAggCCQIcAgsCfAINAggCCAIIAggCCAIIAggCCAIIAggCCAIIAggCCAIIAggCCAIBAgMCiwIeAALEAgICagIEAgUCBgIHAggCCQKDAgsCfAINAggCCAIIAggCCAIIAggCCAIIAggCCAIIAggCCAIIAggCCAIBAgMCPgIeAALEAgICVQIEAgUCBgIHAggCCQIcAgsCfAINAggCCAIIAggCCAIIAggCCAIIAggCCAIIAggCCAIIAggCCAIBAgMCnQIeAALEAgICLAIEAgUCBgIHAggCCQKDAgsCfAINAggCCAIIAggCCAIIAggCCAIIAggCCAIIAggCCAIIAggCCAIBAgMClQIeAALEAgICawIEAgUCBgIHAggCCQIKAgsCfAINAggCCAIIAggCCAIIAggCCAIIAggCCAIIAggCCAIIAggCCAIBAgMCPgIeAALEAgICagIEAgUCBgIHAggCCQIKAgsCfAINAggCCAIIAggCCAIIAggCCAIIAggCCAIIAggCCAIIAggCCAIBAgMCPgIeAALEAgICNgIEAgUCBgIHAggCCQIKAgsCfAINAggCCAIIAggCCAIIAggCCAIIAggCCAIIAggCCAIIAggCCAIBAgMCgQIeAALEAgICUAIEAgUCBgIHAggCCQIcAgsCfAINAggCCAIIAggCCAIIAggCCAIIAggCCAIIAggCCAIIAggCCAIBAgMCPgIeAALEAgICGwIEAgUCBgIHAggCCQIcAgsCfAINAggCCAIIAggCCAIIAggCCAIIAggCCAIIAggCCAIIAggCCAIBAgMChAIeAALEAgICKgIEAgUCBgIHAggCCQIKAgsCfAINAggCCAIIAggCCAIIAggCCAIIAggCCAIIAggCCAIIAggCCAIBAgMCqAIeAALEAgICKgIEAgUCBgIHAggCCQIcAgsCfAINAggCCAIIAggCCAIIAggCCAIIAggCCAIIAggCCAIIAggCCAIBAgMCjAIeAALEAnoAAAQAAgIiAgQCBQIGAgcCCAIJAoMCCwJ8Ag0CCAIIAggCCAIIAggCCAIIAggCCAIIAggCCAIIAggCCAIIAgECAwKIAh4AAsQCAgI2AgQCBQIGAgcCCAIJAoMCCwJ8Ag0CCAIIAggCCAIIAggCCAIIAggCCAIIAggCCAIIAggCCAIIAgECAwKNAh4AAsQCAgJBAgQCBQIGAgcCCAIJAgoCCwJ8Ag0CCAIIAggCCAIIAggCCAIIAggCCAIIAggCCAIIAggCCAIIAgECAwKYAh4AAsQCAgJEAgQCBQIGAgcCCAIJAhwCCwJ8Ag0CCAIIAggCCAIIAggCCAIIAggCCAIIAggCCAIIAggCCAIIAgECAwKvAh4AAsQCAgJOAgQCBQIGAgcCCAIJAhwCCwJ8Ag0CCAIIAggCCAIIAggCCAIIAggCCAIIAggCCAIIAggCCAIIAgECAwKPAh4AAsQCAgIkAgQCBQIGAgcCCAIJAoMCCwJ8Ag0CCAIIAggCCAIIAggCCAIIAggCCAIIAggCCAIIAggCCAIIAgECAwKGAh4AAsUACTQ5OTc1NjAxNgICAj8CBAIFAgYCBwIIAgkCHAILAnwCDQIIAggCCAIIAggCCAIIAggCCAIIAggCCAIIAggCCAIIAggCEQIDAq4CHgACxQICAkoCBAIFAgYCBwIIAgkCCgILAnwCDQIIAggCCAIIAggCCAIIAggCCAIIAggCCAIIAggCCAIIAggCEQIDArACHgACxQICAj8CBAIFAgYCBwIIAgkCCgILAnwCDQIIAggCCAIIAggCCAIIAggCCAIIAggCCAIIAggCCAIIAggCEQIDAn4CHgACxQICAiACBAIFAgYCBwIIAgkCHAILAnwCDQIIAggCCAIIAggCCAIIAggCCAIIAggCCAIIAggCCAIIAggCEQIDAqQCHgACxQICAkECBAIFAgYCBwIIAgkCHAILAnwCDQIIAggCCAIIAggCCAIIAggCCAIIAggCCAIIAggCCAIIAggCEQIDAosCHgACxQICAlUCBAIFAgYCBwIIAgkCCgILAnwCDQIIAggCCAIIAggCCAIIAggCCAIIAggCCAIIAggCCAIIAggCEQIDArMCHgACxQICAj0CBAIFAgYCBwIIAgkCCgILAnwCDQIIAggCCAIIAggCCAIIAggCCAIIAggCCAIIAggCCAIIAggCEQIDAj4CHgACxQICAlcCBAIFAgYCBwIIAgkCgwILAnwCDQIIAggCCAIIAggCCAIIAggCCAIIAggCCAIIAggCCAIIAggCEQIDAqMCHgACxQICAlACBAIFAgYCBwIIAgkCgwILAnwCDQIIAggCCAIIAggCCAIIAggCCAIIAggCCHoAAAQAAggCCAIIAggCCAIRAgMCPgIeAALFAgICKgIEAgUCBgIHAggCCQIKAgsCfAINAggCCAIIAggCCAIIAggCCAIIAggCCAIIAggCCAIIAggCCAIRAgMCqAIeAALFAgICWgIEAgUCBgIHAggCCQIKAgsCfAINAggCCAIIAggCCAIIAggCCAIIAggCCAIIAggCCAIIAggCCAIRAgMCmwIeAALFAgICRwIEAgUCBgIHAggCCQIcAgsCfAINAggCCAIIAggCCAIIAggCCAIIAggCCAIIAggCCAIIAggCCAIRAgMClwIeAALFAgICVwIEAgUCBgIHAggCCQIcAgsCfAINAggCCAIIAggCCAIIAggCCAIIAggCCAIIAggCCAIIAggCCAIRAgMClAIeAALFAgICAwIEAgUCBgIHAggCCQIcAgsCfAINAggCCAIIAggCCAIIAggCCAIIAggCCAIIAggCCAIIAggCCAIRAgMCfwIeAALFAgICVQIEAgUCBgIHAggCCQKDAgsCfAINAggCCAIIAggCCAIIAggCCAIIAggCCAIIAggCCAIIAggCCAIRAgMCtQIeAALFAgICRwIEAgUCBgIHAggCCQKDAgsCfAINAggCCAIIAggCCAIIAggCCAIIAggCCAIIAggCCAIIAggCCAIRAgMCsQIeAALFAgICKAIEAgUCBgIHAggCCQIKAgsCfAINAggCCAIIAggCCAIIAggCCAIIAggCCAIIAggCCAIIAggCCAIRAgMCuAIeAALFAgICGwIEAgUCBgIHAggCCQIcAgsCfAINAggCCAIIAggCCAIIAggCCAIIAggCCAIIAggCCAIIAggCCAIRAgMChAIeAALFAgICLAIEAgUCBgIHAggCCQKDAgsCfAINAggCCAIIAggCCAIIAggCCAIIAggCCAIIAggCCAIIAggCCAIRAgMClQIeAALFAgICaAIEAgUCBgIHAggCCQIKAgsCfAINAggCCAIIAggCCAIIAggCCAIIAggCCAIIAggCCAIIAggCCAIRAgMCqwIeAALFAgICNgIEAgUCBgIHAggCCQIcAgsCfAINAggCCAIIAggCCAIIAggCCAIIAggCCAIIAggCCAIIAggCCAIRAgMCmgIeAALFAgICSgIEAgUCBgIHAggCCQKDAgsCfAINAggCCAIIAggCCAIIAggCCAIIAggCCAIIAggCCAIIAggCCAIRAgMCjgIeAALFAgICKAIEAgUCBgIHAggCCQIcAgsCfAINAggCCAIIAggCCAIIAggCCAIIAggCCAIIAggCCAIIAggCCAIRAgMCugIeAALFAgICagIEAgUCBgIHAggCCQIcAgsCfAINAggCCAIIAggCCAIIAnoAAAQACAIIAggCCAIIAggCCAIIAggCCAIIAhECAwI+Ah4AAsUCAgIkAgQCBQIGAgcCCAIJAoMCCwJ8Ag0CCAIIAggCCAIIAggCCAIIAggCCAIIAggCCAIIAggCCAIIAhECAwKGAh4AAsUCAgIuAgQCBQIGAgcCCAIJAoMCCwJ8Ag0CCAIIAggCCAIIAggCCAIIAggCCAIIAggCCAIIAggCCAIIAhECAwK3Ah4AAsUCAgJSAgQCBQIGAgcCCAIJAgoCCwJ8Ag0CCAIIAggCCAIIAggCCAIIAggCCAIIAggCCAIIAggCCAIIAhECAwK0Ah4AAsUCAgIoAgQCBQIGAgcCCAIJAoMCCwJ8Ag0CCAIIAggCCAIIAggCCAIIAggCCAIIAggCCAIIAggCCAIIAhECAwKTAh4AAsUCAgJaAgQCBQIGAgcCCAIJAhwCCwJ8Ag0CCAIIAggCCAIIAggCCAIIAggCCAIIAggCCAIIAggCCAIIAhECAwKHAh4AAsUCAgIkAgQCBQIGAgcCCAIJAgoCCwJ8Ag0CCAIIAggCCAIIAggCCAIIAggCCAIIAggCCAIIAggCCAIIAhECAwKoAh4AAsUCAgIuAgQCBQIGAgcCCAIJAgoCCwJ8Ag0CCAIIAggCCAIIAggCCAIIAggCCAIIAggCCAIIAggCCAIIAhECAwKeAh4AAsUCAgIuAgQCBQIGAgcCCAIJAhwCCwJ8Ag0CCAIIAggCCAIIAggCCAIIAggCCAIIAggCCAIIAggCCAIIAhECAwJ9Ah4AAsUCAgJXAgQCBQIGAgcCCAIJAgoCCwJ8Ag0CCAIIAggCCAIIAggCCAIIAggCCAIIAggCCAIIAggCCAIIAhECAwKSAh4AAsUCAgIbAgQCBQIGAgcCCAIJAgoCCwJ8Ag0CCAIIAggCCAIIAggCCAIIAggCCAIIAggCCAIIAggCCAIIAhECAwKgAh4AAsUCAgI/AgQCBQIGAgcCCAIJAoMCCwJ8Ag0CCAIIAggCCAIIAggCCAIIAggCCAIIAggCCAIIAggCCAIIAhECAwKJAh4AAsUCAgIiAgQCBQIGAgcCCAIJAoMCCwJ8Ag0CCAIIAggCCAIIAggCCAIIAggCCAIIAggCCAIIAggCCAIIAhECAwKIAh4AAsUCAgI2AgQCBQIGAgcCCAIJAgoCCwJ8Ag0CCAIIAggCCAIIAggCCAIIAggCCAIIAggCCAIIAggCCAIIAhECAwKBAh4AAsUCAgJOAgQCBQIGAgcCCAIJAgoCCwJ8Ag0CCAIIAggCCAIIAggCCAIIAggCCAIIAggCCAIIAggCCAIIAhECAwKWAh4AAsUCAgJBAgQCBQIGAgcCCAIJAgoCCwJ8Ag0CCHoAAAQAAggCCAIIAggCCAIIAggCCAIIAggCCAIIAggCCAIIAggCEQIDApgCHgACxQICAioCBAIFAgYCBwIIAgkCHAILAnwCDQIIAggCCAIIAggCCAIIAggCCAIIAggCCAIIAggCCAIIAggCEQIDAowCHgACxQICAlACBAIFAgYCBwIIAgkCCgILAnwCDQIIAggCCAIIAggCCAIIAggCCAIIAggCCAIIAggCCAIIAggCEQIDAj4CHgACxQICAiACBAIFAgYCBwIIAgkCCgILAnwCDQIIAggCCAIIAggCCAIIAggCCAIIAggCCAIIAggCCAIIAggCEQIDAqwCHgACxQICAmsCBAIFAgYCBwIIAgkCCgILAnwCDQIIAggCCAIIAggCCAIIAggCCAIIAggCCAIIAggCCAIIAggCEQIDAj4CHgACxQICAkYCBAIFAgYCBwIIAgkCCgILAnwCDQIIAggCCAIIAggCCAIIAggCCAIIAggCCAIIAggCCAIIAggCEQIDAqgCHgACxQICAlICBAIFAgYCBwIIAgkCHAILAnwCDQIIAggCCAIIAggCCAIIAggCCAIIAggCCAIIAggCCAIIAggCEQIDAqICHgACxQICAiACBAIFAgYCBwIIAgkCgwILAnwCDQIIAggCCAIIAggCCAIIAggCCAIIAggCCAIIAggCCAIIAggCEQIDApACHgACxQICAkYCBAIFAgYCBwIIAgkCgwILAnwCDQIIAggCCAIIAggCCAIIAggCCAIIAggCCAIIAggCCAIIAggCEQIDAoYCHgACxQICAmoCBAIFAgYCBwIIAgkCCgILAnwCDQIIAggCCAIIAggCCAIIAggCCAIIAggCCAIIAggCCAIIAggCEQIDAj4CHgACxQICAmgCBAIFAgYCBwIIAgkCgwILAnwCDQIIAggCCAIIAggCCAIIAggCCAIIAggCCAIIAggCCAIIAggCEQIDAqoCHgACxQICAiICBAIFAgYCBwIIAgkCCgILAnwCDQIIAggCCAIIAggCCAIIAggCCAIIAggCCAIIAggCCAIIAggCEQIDArsCHgACxQICAjYCBAIFAgYCBwIIAgkCgwILAnwCDQIIAggCCAIIAggCCAIIAggCCAIIAggCCAIIAggCCAIIAggCEQIDAo0CHgACxQICAiwCBAIFAgYCBwIIAgkCHAILAnwCDQIIAggCCAIIAggCCAIIAggCCAIIAggCCAIIAggCCAIIAggCEQIDAoICHgACxQICAlUCBAIFAgYCBwIIAgkCHAILAnwCDQIIAggCCAIIAggCCAIIAggCCAIIAggCCAIIAggCCAIIAggCEQIDAp0CHgACxQICAk4CBAIFAgYCBwIIAnoAAAQACQKDAgsCfAINAggCCAIIAggCCAIIAggCCAIIAggCCAIIAggCCAIIAggCCAIRAgMCrQIeAALFAgICTgIEAgUCBgIHAggCCQIcAgsCfAINAggCCAIIAggCCAIIAggCCAIIAggCCAIIAggCCAIIAggCCAIRAgMCjwIeAALFAgICawIEAgUCBgIHAggCCQIcAgsCfAINAggCCAIIAggCCAIIAggCCAIIAggCCAIIAggCCAIIAggCCAIRAgMCPgIeAALFAgICPQIEAgUCBgIHAggCCQIcAgsCfAINAggCCAIIAggCCAIIAggCCAIIAggCCAIIAggCCAIIAggCCAIRAgMCPgIeAALFAgICSgIEAgUCBgIHAggCCQIcAgsCfAINAggCCAIIAggCCAIIAggCCAIIAggCCAIIAggCCAIIAggCCAIRAgMCsgIeAALFAgICRAIEAgUCBgIHAggCCQKDAgsCfAINAggCCAIIAggCCAIIAggCCAIIAggCCAIIAggCCAIIAggCCAIRAgMCigIeAALFAgICZAIEAgUCBgIHAggCCQIKAgsCfAINAggCCAIIAggCCAIIAggCCAIIAggCCAIIAggCCAIIAggCCAIRAgMCqQIeAALFAgICZAIEAgUCBgIHAggCCQIcAgsCfAINAggCCAIIAggCCAIIAggCCAIIAggCCAIIAggCCAIIAggCCAIRAgMCgAIeAALFAgICUAIEAgUCBgIHAggCCQIcAgsCfAINAggCCAIIAggCCAIIAggCCAIIAggCCAIIAggCCAIIAggCCAIRAgMCPgIeAALFAgICKgIEAgUCBgIHAggCCQKDAgsCfAINAggCCAIIAggCCAIIAggCCAIIAggCCAIIAggCCAIIAggCCAIRAgMChgIeAALFAgICRAIEAgUCBgIHAggCCQIcAgsCfAINAggCCAIIAggCCAIIAggCCAIIAggCCAIIAggCCAIIAggCCAIRAgMCrwIeAALFAgICPQIEAgUCBgIHAggCCQKDAgsCfAINAggCCAIIAggCCAIIAggCCAIIAggCCAIIAggCCAIIAggCCAIRAgMCPgIeAALFAgICawIEAgUCBgIHAggCCQKDAgsCfAINAggCCAIIAggCCAIIAggCCAIIAggCCAIIAggCCAIIAggCCAIRAgMCPgIeAALFAgICZAIEAgUCBgIHAggCCQKDAgsCfAINAggCCAIIAggCCAIIAggCCAIIAggCCAIIAggCCAIIAggCCAIRAgMCvAIeAALFAgICAwIEAgUCBgIHAggCCQIKAgsCfAINAggCCAIIAggCCAIIAggCCAIIAggCCAIIAggCCAIIAggCCAIRAgMCoQIeAALFAgICRHoAAAQAAgQCBQIGAgcCCAIJAgoCCwJ8Ag0CCAIIAggCCAIIAggCCAIIAggCCAIIAggCCAIIAggCCAIIAhECAwKZAh4AAsUCAgIiAgQCBQIGAgcCCAIJAhwCCwJ8Ag0CCAIIAggCCAIIAggCCAIIAggCCAIIAggCCAIIAggCCAIIAhECAwKRAh4AAsUCAgJGAgQCBQIGAgcCCAIJAhwCCwJ8Ag0CCAIIAggCCAIIAggCCAIIAggCCAIIAggCCAIIAggCCAIIAhECAwKMAh4AAsUCAgIsAgQCBQIGAgcCCAIJAgoCCwJ8Ag0CCAIIAggCCAIIAggCCAIIAggCCAIIAggCCAIIAggCCAIIAhECAwKFAh4AAsUCAgJaAgQCBQIGAgcCCAIJAoMCCwJ8Ag0CCAIIAggCCAIIAggCCAIIAggCCAIIAggCCAIIAggCCAIIAhECAwKnAh4AAsUCAgJoAgQCBQIGAgcCCAIJAhwCCwJ8Ag0CCAIIAggCCAIIAggCCAIIAggCCAIIAggCCAIIAggCCAIIAhECAwK2Ah4AAsUCAgJBAgQCBQIGAgcCCAIJAoMCCwJ8Ag0CCAIIAggCCAIIAggCCAIIAggCCAIIAggCCAIIAggCCAIIAhECAwKmAh4AAsUCAgIkAgQCBQIGAgcCCAIJAhwCCwJ8Ag0CCAIIAggCCAIIAggCCAIIAggCCAIIAggCCAIIAggCCAIIAhECAwKMAh4AAsUCAgIbAgQCBQIGAgcCCAIJAoMCCwJ8Ag0CCAIIAggCCAIIAggCCAIIAggCCAIIAggCCAIIAggCCAIIAhECAwKcAh4AAsUCAgJqAgQCBQIGAgcCCAIJAoMCCwJ8Ag0CCAIIAggCCAIIAggCCAIIAggCCAIIAggCCAIIAggCCAIIAhECAwI+Ah4AAsUCAgJHAgQCBQIGAgcCCAIJAgoCCwJ8Ag0CCAIIAggCCAIIAggCCAIIAggCCAIIAggCCAIIAggCCAIIAhECAwK5Ah4AAsUCAgIDAgQCBQIGAgcCCAIJAoMCCwJ8Ag0CCAIIAggCCAIIAggCCAIIAggCCAIIAggCCAIIAggCCAIIAhECAwKlAh4AAsUCAgJSAgQCBQIGAgcCCAIJAoMCCwJ8Ag0CCAIIAggCCAIIAggCCAIIAggCCAIIAggCCAIIAggCCAIIAhECAwKfAh4AAsYACTQ2MjcxOTk2MAICAkcCBAIFAgYCBwIIAgkCgwILAnwCDQIIAggCCAIIAggCCAIIAggCCAIIAggCCAIIAggCCAIIAggCEwIDArECHgACxgICAj8CBAIFAgYCBwIIAgkCHAILAnwCDQIIAggCCAIIAggCCAIIAggCCAIIAggCCAIIAnoAAAQACAIIAggCCAITAgMCrgIeAALGAgICAwIEAgUCBgIHAggCCQKDAgsCfAINAggCCAIIAggCCAIIAggCCAIIAggCCAIIAggCCAIIAggCCAITAgMCpQIeAALGAgICQQIEAgUCBgIHAggCCQKDAgsCfAINAggCCAIIAggCCAIIAggCCAIIAggCCAIIAggCCAIIAggCCAITAgMCpgIeAALGAgICWgIEAgUCBgIHAggCCQKDAgsCfAINAggCCAIIAggCCAIIAggCCAIIAggCCAIIAggCCAIIAggCCAITAgMCpwIeAALGAgICRAIEAgUCBgIHAggCCQKDAgsCfAINAggCCAIIAggCCAIIAggCCAIIAggCCAIIAggCCAIIAggCCAITAgMCigIeAALGAgICKAIEAgUCBgIHAggCCQIKAgsCfAINAggCCAIIAggCCAIIAggCCAIIAggCCAIIAggCCAIIAggCCAITAgMCuAIeAALGAgICNgIEAgUCBgIHAggCCQIcAgsCfAINAggCCAIIAggCCAIIAggCCAIIAggCCAIIAggCCAIIAggCCAITAgMCmgIeAALGAgICVwIEAgUCBgIHAggCCQKDAgsCfAINAggCCAIIAggCCAIIAggCCAIIAggCCAIIAggCCAIIAggCCAITAgMCowIeAALGAgICaAIEAgUCBgIHAggCCQIKAgsCfAINAggCCAIIAggCCAIIAggCCAIIAggCCAIIAggCCAIIAggCCAITAgMCqwIeAALGAgICLAIEAgUCBgIHAggCCQIcAgsCfAINAggCCAIIAggCCAIIAggCCAIIAggCCAIIAggCCAIIAggCCAITAgMCggIeAALGAgICIAIEAgUCBgIHAggCCQKDAgsCfAINAggCCAIIAggCCAIIAggCCAIIAggCCAIIAggCCAIIAggCCAITAgMCkAIeAALGAgICJAIEAgUCBgIHAggCCQIcAgsCfAINAggCCAIIAggCCAIIAggCCAIIAggCCAIIAggCCAIIAggCCAITAgMCjAIeAALGAgICSgIEAgUCBgIHAggCCQIcAgsCfAINAggCCAIIAggCCAIIAggCCAIIAggCCAIIAggCCAIIAggCCAITAgMCsgIeAALGAgICRgIEAgUCBgIHAggCCQKDAgsCfAINAggCCAIIAggCCAIIAggCCAIIAggCCAIIAggCCAIIAggCCAITAgMChgIeAALGAgICaAIEAgUCBgIHAggCCQKDAgsCfAINAggCCAIIAggCCAIIAggCCAIIAggCCAIIAggCCAIIAggCCAITAgMCqgIeAALGAgICRAIEAgUCBgIHAggCCQIKAgsCfAINAggCCAIIAggCCAIIAggCCHoAAAQAAggCCAIIAggCCAIIAggCCAIIAhMCAwKZAh4AAsYCAgI/AgQCBQIGAgcCCAIJAgoCCwJ8Ag0CCAIIAggCCAIIAggCCAIIAggCCAIIAggCCAIIAggCCAIIAhMCAwJ+Ah4AAsYCAgJHAgQCBQIGAgcCCAIJAgoCCwJ8Ag0CCAIIAggCCAIIAggCCAIIAggCCAIIAggCCAIIAggCCAIIAhMCAwK5Ah4AAsYCAgJqAgQCBQIGAgcCCAIJAhwCCwJ8Ag0CCAIIAggCCAIIAggCCAIIAggCCAIIAggCCAIIAggCCAIIAhMCAwI+Ah4AAsYCAgI9AgQCBQIGAgcCCAIJAhwCCwJ8Ag0CCAIIAggCCAIIAggCCAIIAggCCAIIAggCCAIIAggCCAIIAhMCAwI+Ah4AAsYCAgJkAgQCBQIGAgcCCAIJAhwCCwJ8Ag0CCAIIAggCCAIIAggCCAIIAggCCAIIAggCCAIIAggCCAIIAhMCAwKAAh4AAsYCAgJBAgQCBQIGAgcCCAIJAhwCCwJ8Ag0CCAIIAggCCAIIAggCCAIIAggCCAIIAggCCAIIAggCCAIIAhMCAwKLAh4AAsYCAgIoAgQCBQIGAgcCCAIJAhwCCwJ8Ag0CCAIIAggCCAIIAggCCAIIAggCCAIIAggCCAIIAggCCAIIAhMCAwK6Ah4AAsYCAgIbAgQCBQIGAgcCCAIJAhwCCwJ8Ag0CCAIIAggCCAIIAggCCAIIAggCCAIIAggCCAIIAggCCAIIAhMCAwKEAh4AAsYCAgIuAgQCBQIGAgcCCAIJAgoCCwJ8Ag0CCAIIAggCCAIIAggCCAIIAggCCAIIAggCCAIIAggCCAIIAhMCAwKeAh4AAsYCAgJOAgQCBQIGAgcCCAIJAgoCCwJ8Ag0CCAIIAggCCAIIAggCCAIIAggCCAIIAggCCAIIAggCCAIIAhMCAwKWAh4AAsYCAgI2AgQCBQIGAgcCCAIJAgoCCwJ8Ag0CCAIIAggCCAIIAggCCAIIAggCCAIIAggCCAIIAggCCAIIAhMCAwKBAh4AAsYCAgJHAgQCBQIGAgcCCAIJAhwCCwJ8Ag0CCAIIAggCCAIIAggCCAIIAggCCAIIAggCCAIIAggCCAIIAhMCAwKXAh4AAsYCAgJqAgQCBQIGAgcCCAIJAoMCCwJ8Ag0CCAIIAggCCAIIAggCCAIIAggCCAIIAggCCAIIAggCCAIIAhMCAwI+Ah4AAsYCAgIqAgQCBQIGAgcCCAIJAoMCCwJ8Ag0CCAIIAggCCAIIAggCCAIIAggCCAIIAggCCAIIAggCCAIIAhMCAwKGAh4AAsYCAgJVAgQCBQIGAgcCCAIJAgoCCwJ8Ag0CCAIIAnoAAAQACAIIAggCCAIIAggCCAIIAggCCAIIAggCCAIIAggCEwIDArMCHgACxgICAi4CBAIFAgYCBwIIAgkCHAILAnwCDQIIAggCCAIIAggCCAIIAggCCAIIAggCCAIIAggCCAIIAggCEwIDAn0CHgACxgICAlACBAIFAgYCBwIIAgkCCgILAnwCDQIIAggCCAIIAggCCAIIAggCCAIIAggCCAIIAggCCAIIAggCEwIDAj4CHgACxgICAlACBAIFAgYCBwIIAgkCHAILAnwCDQIIAggCCAIIAggCCAIIAggCCAIIAggCCAIIAggCCAIIAggCEwIDAj4CHgACxgICAlUCBAIFAgYCBwIIAgkCHAILAnwCDQIIAggCCAIIAggCCAIIAggCCAIIAggCCAIIAggCCAIIAggCEwIDAp0CHgACxgICAiICBAIFAgYCBwIIAgkCgwILAnwCDQIIAggCCAIIAggCCAIIAggCCAIIAggCCAIIAggCCAIIAggCEwIDAogCHgACxgICAj0CBAIFAgYCBwIIAgkCgwILAnwCDQIIAggCCAIIAggCCAIIAggCCAIIAggCCAIIAggCCAIIAggCEwIDAj4CHgACxgICAmoCBAIFAgYCBwIIAgkCCgILAnwCDQIIAggCCAIIAggCCAIIAggCCAIIAggCCAIIAggCCAIIAggCEwIDAj4CHgACxgICAk4CBAIFAgYCBwIIAgkCgwILAnwCDQIIAggCCAIIAggCCAIIAggCCAIIAggCCAIIAggCCAIIAggCEwIDAq0CHgACxgICAiQCBAIFAgYCBwIIAgkCgwILAnwCDQIIAggCCAIIAggCCAIIAggCCAIIAggCCAIIAggCCAIIAggCEwIDAoYCHgACxgICAiACBAIFAgYCBwIIAgkCCgILAnwCDQIIAggCCAIIAggCCAIIAggCCAIIAggCCAIIAggCCAIIAggCEwIDAqwCHgACxgICAigCBAIFAgYCBwIIAgkCgwILAnwCDQIIAggCCAIIAggCCAIIAggCCAIIAggCCAIIAggCCAIIAggCEwIDApMCHgACxgICAlICBAIFAgYCBwIIAgkCgwILAnwCDQIIAggCCAIIAggCCAIIAggCCAIIAggCCAIIAggCCAIIAggCEwIDAp8CHgACxgICAlICBAIFAgYCBwIIAgkCHAILAnwCDQIIAggCCAIIAggCCAIIAggCCAIIAggCCAIIAggCCAIIAggCEwIDAqICHgACxgICAkECBAIFAgYCBwIIAgkCCgILAnwCDQIIAggCCAIIAggCCAIIAggCCAIIAggCCAIIAggCCAIIAggCEwIDApgCHgACxgICAlACBAIFAgYCBwIIAgkCg3oAAAQAAgsCfAINAggCCAIIAggCCAIIAggCCAIIAggCCAIIAggCCAIIAggCCAITAgMCPgIeAALGAgICIgIEAgUCBgIHAggCCQIKAgsCfAINAggCCAIIAggCCAIIAggCCAIIAggCCAIIAggCCAIIAggCCAITAgMCuwIeAALGAgICAwIEAgUCBgIHAggCCQIKAgsCfAINAggCCAIIAggCCAIIAggCCAIIAggCCAIIAggCCAIIAggCCAITAgMCoQIeAALGAgICLAIEAgUCBgIHAggCCQIKAgsCfAINAggCCAIIAggCCAIIAggCCAIIAggCCAIIAggCCAIIAggCCAITAgMChQIeAALGAgICawIEAgUCBgIHAggCCQIKAgsCfAINAggCCAIIAggCCAIIAggCCAIIAggCCAIIAggCCAIIAggCCAITAgMCPgIeAALGAgICIgIEAgUCBgIHAggCCQIcAgsCfAINAggCCAIIAggCCAIIAggCCAIIAggCCAIIAggCCAIIAggCCAITAgMCkQIeAALGAgICKgIEAgUCBgIHAggCCQIKAgsCfAINAggCCAIIAggCCAIIAggCCAIIAggCCAIIAggCCAIIAggCCAITAgMCqAIeAALGAgICWgIEAgUCBgIHAggCCQIcAgsCfAINAggCCAIIAggCCAIIAggCCAIIAggCCAIIAggCCAIIAggCCAITAgMChwIeAALGAgICPQIEAgUCBgIHAggCCQIKAgsCfAINAggCCAIIAggCCAIIAggCCAIIAggCCAIIAggCCAIIAggCCAITAgMCPgIeAALGAgICRgIEAgUCBgIHAggCCQIKAgsCfAINAggCCAIIAggCCAIIAggCCAIIAggCCAIIAggCCAIIAggCCAITAgMCqAIeAALGAgICNgIEAgUCBgIHAggCCQKDAgsCfAINAggCCAIIAggCCAIIAggCCAIIAggCCAIIAggCCAIIAggCCAITAgMCjQIeAALGAgICawIEAgUCBgIHAggCCQIcAgsCfAINAggCCAIIAggCCAIIAggCCAIIAggCCAIIAggCCAIIAggCCAITAgMCPgIeAALGAgICJAIEAgUCBgIHAggCCQIKAgsCfAINAggCCAIIAggCCAIIAggCCAIIAggCCAIIAggCCAIIAggCCAITAgMCqAIeAALGAgICAwIEAgUCBgIHAggCCQIcAgsCfAINAggCCAIIAggCCAIIAggCCAIIAggCCAIIAggCCAIIAggCCAITAgMCfwIeAALGAgICPwIEAgUCBgIHAggCCQKDAgsCfAINAggCCAIIAggCCAIIAggCCAIIAggCCAIIAggCCAIIAggCCAITAgMCiQIeAALGAgICZAIEAnoAAAQABQIGAgcCCAIJAgoCCwJ8Ag0CCAIIAggCCAIIAggCCAIIAggCCAIIAggCCAIIAggCCAIIAhMCAwKpAh4AAsYCAgIsAgQCBQIGAgcCCAIJAoMCCwJ8Ag0CCAIIAggCCAIIAggCCAIIAggCCAIIAggCCAIIAggCCAIIAhMCAwKVAh4AAsYCAgIgAgQCBQIGAgcCCAIJAhwCCwJ8Ag0CCAIIAggCCAIIAggCCAIIAggCCAIIAggCCAIIAggCCAIIAhMCAwKkAh4AAsYCAgJEAgQCBQIGAgcCCAIJAhwCCwJ8Ag0CCAIIAggCCAIIAggCCAIIAggCCAIIAggCCAIIAggCCAIIAhMCAwKvAh4AAsYCAgJXAgQCBQIGAgcCCAIJAgoCCwJ8Ag0CCAIIAggCCAIIAggCCAIIAggCCAIIAggCCAIIAggCCAIIAhMCAwKSAh4AAsYCAgJoAgQCBQIGAgcCCAIJAhwCCwJ8Ag0CCAIIAggCCAIIAggCCAIIAggCCAIIAggCCAIIAggCCAIIAhMCAwK2Ah4AAsYCAgIbAgQCBQIGAgcCCAIJAoMCCwJ8Ag0CCAIIAggCCAIIAggCCAIIAggCCAIIAggCCAIIAggCCAIIAhMCAwKcAh4AAsYCAgJVAgQCBQIGAgcCCAIJAoMCCwJ8Ag0CCAIIAggCCAIIAggCCAIIAggCCAIIAggCCAIIAggCCAIIAhMCAwK1Ah4AAsYCAgJrAgQCBQIGAgcCCAIJAoMCCwJ8Ag0CCAIIAggCCAIIAggCCAIIAggCCAIIAggCCAIIAggCCAIIAhMCAwI+Ah4AAsYCAgJaAgQCBQIGAgcCCAIJAgoCCwJ8Ag0CCAIIAggCCAIIAggCCAIIAggCCAIIAggCCAIIAggCCAIIAhMCAwKbAh4AAsYCAgIbAgQCBQIGAgcCCAIJAgoCCwJ8Ag0CCAIIAggCCAIIAggCCAIIAggCCAIIAggCCAIIAggCCAIIAhMCAwKgAh4AAsYCAgJKAgQCBQIGAgcCCAIJAgoCCwJ8Ag0CCAIIAggCCAIIAggCCAIIAggCCAIIAggCCAIIAggCCAIIAhMCAwKwAh4AAsYCAgJKAgQCBQIGAgcCCAIJAoMCCwJ8Ag0CCAIIAggCCAIIAggCCAIIAggCCAIIAggCCAIIAggCCAIIAhMCAwKOAh4AAsYCAgJGAgQCBQIGAgcCCAIJAhwCCwJ8Ag0CCAIIAggCCAIIAggCCAIIAggCCAIIAggCCAIIAggCCAIIAhMCAwKMAh4AAsYCAgIqAgQCBQIGAgcCCAIJAhwCCwJ8Ag0CCAIIAggCCAIIAggCCAIIAggCCAIIAggCCAIIAggCCAIIAhMCAwKMAnoAAAGoHgACxgICAmQCBAIFAgYCBwIIAgkCgwILAnwCDQIIAggCCAIIAggCCAIIAggCCAIIAggCCAIIAggCCAIIAggCEwIDArwCHgACxgICAi4CBAIFAgYCBwIIAgkCgwILAnwCDQIIAggCCAIIAggCCAIIAggCCAIIAggCCAIIAggCCAIIAggCEwIDArcCHgACxgICAlICBAIFAgYCBwIIAgkCCgILAnwCDQIIAggCCAIIAggCCAIIAggCCAIIAggCCAIIAggCCAIIAggCEwIDArQCHgACxgICAlcCBAIFAgYCBwIIAgkCHAILAnwCDQIIAggCCAIIAggCCAIIAggCCAIIAggCCAIIAggCCAIIAggCEwIDApQCHgACxgICAk4CBAIFAgYCBwIIAgkCHAILAnwCDQIIAggCCAIIAggCCAIIAggCCAIIAggCCAIIAggCCAIIAggCEwIDAo8CHgACxwAJNDYyNzMxNTYwAgICRAIEAgUCBgIHAggCCQKDAgsCfAINAggCCAIIAggCCAIIAggCCAIIAggCCAIIAggCCAIIAggCCAIdAgMCig=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A9EFA4FB6343408FF90E555445C6D6" ma:contentTypeVersion="104" ma:contentTypeDescription="" ma:contentTypeScope="" ma:versionID="29104865e39c36adbe2ff2a9bb460f5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2016-09-01T07:00:00+00:00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161041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F2718A8-3B82-43B0-B396-416AB07C9429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8B2BF61E-AAE5-46ED-AAC7-DA4EDC976963}"/>
</file>

<file path=customXml/itemProps3.xml><?xml version="1.0" encoding="utf-8"?>
<ds:datastoreItem xmlns:ds="http://schemas.openxmlformats.org/officeDocument/2006/customXml" ds:itemID="{A5F2626B-CEC7-4897-A1FB-8F144F4B5CD5}"/>
</file>

<file path=customXml/itemProps4.xml><?xml version="1.0" encoding="utf-8"?>
<ds:datastoreItem xmlns:ds="http://schemas.openxmlformats.org/officeDocument/2006/customXml" ds:itemID="{C8F53A66-003C-4286-B38B-E53E97D1470C}"/>
</file>

<file path=customXml/itemProps5.xml><?xml version="1.0" encoding="utf-8"?>
<ds:datastoreItem xmlns:ds="http://schemas.openxmlformats.org/officeDocument/2006/customXml" ds:itemID="{F0F14BA5-25F3-4744-8165-FA02E3C8C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55</vt:i4>
      </vt:variant>
    </vt:vector>
  </HeadingPairs>
  <TitlesOfParts>
    <vt:vector size="95" baseType="lpstr">
      <vt:lpstr>PGA Graphs 2012-13</vt:lpstr>
      <vt:lpstr>JE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WA - Def-Amtz (current)</vt:lpstr>
      <vt:lpstr>ID - Def-Amtz (current)</vt:lpstr>
      <vt:lpstr>WA - Def-Amtz (June)</vt:lpstr>
      <vt:lpstr>ID - Def-Amtz (June)</vt:lpstr>
      <vt:lpstr>WA - Def-Amtz (May final)</vt:lpstr>
      <vt:lpstr>ID - Def-Amtz (May final)</vt:lpstr>
      <vt:lpstr>WA - Def-Amtz (old)</vt:lpstr>
      <vt:lpstr>PGA Graphs 2013-14</vt:lpstr>
      <vt:lpstr>ID - Def-Amtz  (old)</vt:lpstr>
      <vt:lpstr>04 WA - Def-Amtz</vt:lpstr>
      <vt:lpstr>03 WA - Def-Amtz</vt:lpstr>
      <vt:lpstr>04 ID - Def-Amtz</vt:lpstr>
      <vt:lpstr>03 ID - Def-Amtz</vt:lpstr>
      <vt:lpstr>02 WA - Def-Amtz</vt:lpstr>
      <vt:lpstr>02 ID - Def-Amtz</vt:lpstr>
      <vt:lpstr>01 WA - Def-Amtz</vt:lpstr>
      <vt:lpstr>01 ID - Def-Amtz</vt:lpstr>
      <vt:lpstr>Deferral Graphs 2015-16 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Sheet1</vt:lpstr>
      <vt:lpstr>'01 ID - Def-Amtz'!Print_Area</vt:lpstr>
      <vt:lpstr>'01 WA - Def-Amtz'!Print_Area</vt:lpstr>
      <vt:lpstr>'02 ID - Def-Amtz'!Print_Area</vt:lpstr>
      <vt:lpstr>'02 WA - Def-Amtz'!Print_Area</vt:lpstr>
      <vt:lpstr>'03 ID - Def-Amtz'!Print_Area</vt:lpstr>
      <vt:lpstr>'03 WA - Def-Amtz'!Print_Area</vt:lpstr>
      <vt:lpstr>'04 ID - Def-Amtz'!Print_Area</vt:lpstr>
      <vt:lpstr>'04 WA - Def-Amtz'!Print_Area</vt:lpstr>
      <vt:lpstr>'Amortization of JP Deferral'!Print_Area</vt:lpstr>
      <vt:lpstr>Apr!Print_Area</vt:lpstr>
      <vt:lpstr>Aug!Print_Area</vt:lpstr>
      <vt:lpstr>Dec!Print_Area</vt:lpstr>
      <vt:lpstr>'Deferral Graphs 2015-16 '!Print_Area</vt:lpstr>
      <vt:lpstr>Feb!Print_Area</vt:lpstr>
      <vt:lpstr>'ID - Def-Amtz  (old)'!Print_Area</vt:lpstr>
      <vt:lpstr>'ID - Def-Amtz (current)'!Print_Area</vt:lpstr>
      <vt:lpstr>'ID - Def-Amtz (June)'!Print_Area</vt:lpstr>
      <vt:lpstr>'ID - Def-Amtz (May final)'!Print_Area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'PGA Graphs 2012-13'!Print_Area</vt:lpstr>
      <vt:lpstr>'PGA Graphs 2013-14'!Print_Area</vt:lpstr>
      <vt:lpstr>Sep!Print_Area</vt:lpstr>
      <vt:lpstr>Sheet1!Print_Area</vt:lpstr>
      <vt:lpstr>'WA - Def-Amtz (current)'!Print_Area</vt:lpstr>
      <vt:lpstr>'WA - Def-Amtz (June)'!Print_Area</vt:lpstr>
      <vt:lpstr>'WA - Def-Amtz (May final)'!Print_Area</vt:lpstr>
      <vt:lpstr>'WA - Def-Amtz (old)'!Print_Area</vt:lpstr>
      <vt:lpstr>'WA Amort 191000'!Print_Area</vt:lpstr>
      <vt:lpstr>'WA Def 191010'!Print_Area</vt:lpstr>
      <vt:lpstr>Apr!Print_Titles</vt:lpstr>
      <vt:lpstr>Aug!Print_Titles</vt:lpstr>
      <vt:lpstr>Dec!Print_Titles</vt:lpstr>
      <vt:lpstr>Feb!Print_Titles</vt:lpstr>
      <vt:lpstr>'ID Def 191010'!Print_Titles</vt:lpstr>
      <vt:lpstr>'ID Holdback 191015'!Print_Titles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Berg, Jenny</cp:lastModifiedBy>
  <cp:lastPrinted>2016-08-05T18:07:33Z</cp:lastPrinted>
  <dcterms:created xsi:type="dcterms:W3CDTF">2003-05-01T14:02:57Z</dcterms:created>
  <dcterms:modified xsi:type="dcterms:W3CDTF">2016-08-05T20:26:13Z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0x0101006E56B4D1795A2E4DB2F0B01679ED314A003BA9EFA4FB6343408FF90E555445C6D6</vt:lpwstr>
  </property>
  <property fmtid="{D5CDD505-2E9C-101B-9397-08002B2CF9AE}" pid="3" name="_docset_NoMedatataSyncRequired">
    <vt:lpwstr>False</vt:lpwstr>
  </property>
</Properties>
</file>