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1.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510" yWindow="690" windowWidth="16815" windowHeight="11070" tabRatio="833"/>
  </bookViews>
  <sheets>
    <sheet name="DG 01253" sheetId="230" r:id="rId1"/>
    <sheet name="DG 01254" sheetId="231" r:id="rId2"/>
    <sheet name="DG 01284" sheetId="279" r:id="rId3"/>
    <sheet name="WA PGA Deferrals" sheetId="281" r:id="rId4"/>
    <sheet name="RA 20430" sheetId="200" r:id="rId5"/>
    <sheet name="RA 20431" sheetId="201" r:id="rId6"/>
    <sheet name="RA 20444" sheetId="164" r:id="rId7"/>
    <sheet name="RA 20449" sheetId="224" r:id="rId8"/>
    <sheet name="RA 20458N" sheetId="258" r:id="rId9"/>
    <sheet name="RA 20470" sheetId="264" r:id="rId10"/>
    <sheet name="RA 1862.20475" sheetId="280" r:id="rId11"/>
    <sheet name="FERC Interest Rates" sheetId="132" r:id="rId12"/>
    <sheet name="Therm Sales" sheetId="3" r:id="rId13"/>
  </sheet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_xlnm.Print_Area" localSheetId="0">'DG 01253'!$A$1:$H$43</definedName>
    <definedName name="_xlnm.Print_Area" localSheetId="1">'DG 01254'!$A$1:$H$43</definedName>
    <definedName name="_xlnm.Print_Area" localSheetId="2">'DG 01284'!$A$1:$H$24</definedName>
    <definedName name="_xlnm.Print_Area" localSheetId="11">'FERC Interest Rates'!$A$1:$D$57</definedName>
    <definedName name="_xlnm.Print_Area" localSheetId="10">'RA 1862.20475'!$A$1:$H$60</definedName>
    <definedName name="_xlnm.Print_Area" localSheetId="4">'RA 20430'!$A$1:$H$43</definedName>
    <definedName name="_xlnm.Print_Area" localSheetId="5">'RA 20431'!$A$1:$H$43</definedName>
    <definedName name="_xlnm.Print_Area" localSheetId="6">'RA 20444'!$A$1:$H$43</definedName>
    <definedName name="_xlnm.Print_Area" localSheetId="7">'RA 20449'!$A$1:$H$43</definedName>
    <definedName name="_xlnm.Print_Area" localSheetId="8">'RA 20458N'!$A$1:$H$61</definedName>
    <definedName name="_xlnm.Print_Area" localSheetId="9">'RA 20470'!$A$1:$H$59</definedName>
    <definedName name="_xlnm.Print_Area" localSheetId="12">'Therm Sales'!$A$1:$P$34</definedName>
  </definedNames>
  <calcPr calcId="145621"/>
</workbook>
</file>

<file path=xl/calcChain.xml><?xml version="1.0" encoding="utf-8"?>
<calcChain xmlns="http://schemas.openxmlformats.org/spreadsheetml/2006/main">
  <c r="F21" i="281" l="1"/>
  <c r="D15" i="281"/>
  <c r="D21" i="281" s="1"/>
  <c r="D43" i="231" l="1"/>
  <c r="P34" i="3" l="1"/>
  <c r="M34" i="3"/>
  <c r="J34" i="3"/>
  <c r="G34" i="3"/>
  <c r="F34" i="3"/>
  <c r="D42" i="231" l="1"/>
  <c r="E21" i="280" l="1"/>
  <c r="J33" i="3" l="1"/>
  <c r="E23" i="279"/>
  <c r="M33" i="3"/>
  <c r="G33" i="3"/>
  <c r="F33" i="3"/>
  <c r="D41" i="231" l="1"/>
  <c r="E20" i="280" l="1"/>
  <c r="E22" i="279"/>
  <c r="P32" i="3"/>
  <c r="M32" i="3"/>
  <c r="J32" i="3"/>
  <c r="G32" i="3"/>
  <c r="F32" i="3"/>
  <c r="D40" i="231" l="1"/>
  <c r="M31" i="3" l="1"/>
  <c r="P31" i="3"/>
  <c r="J31" i="3"/>
  <c r="G31" i="3"/>
  <c r="F31" i="3"/>
  <c r="D39" i="231" l="1"/>
  <c r="E18" i="280" l="1"/>
  <c r="P30" i="3"/>
  <c r="M30" i="3"/>
  <c r="J30" i="3"/>
  <c r="G30" i="3"/>
  <c r="F30" i="3"/>
  <c r="F18" i="280" l="1"/>
  <c r="A19" i="280"/>
  <c r="A20" i="280"/>
  <c r="A21" i="280"/>
  <c r="A22" i="280"/>
  <c r="A18" i="280"/>
  <c r="H17" i="280"/>
  <c r="A40" i="224"/>
  <c r="A41" i="224"/>
  <c r="A42" i="224"/>
  <c r="A43" i="224"/>
  <c r="A39" i="224"/>
  <c r="A40" i="164"/>
  <c r="A41" i="164"/>
  <c r="A42" i="164"/>
  <c r="A43" i="164"/>
  <c r="A39" i="164"/>
  <c r="A40" i="201"/>
  <c r="A41" i="201"/>
  <c r="A42" i="201"/>
  <c r="A43" i="201"/>
  <c r="A39" i="201"/>
  <c r="A40" i="200"/>
  <c r="A41" i="200"/>
  <c r="A42" i="200"/>
  <c r="A43" i="200"/>
  <c r="A39" i="200"/>
  <c r="H18" i="280" l="1"/>
  <c r="F19" i="280" s="1"/>
  <c r="D38" i="231"/>
  <c r="E19" i="279" l="1"/>
  <c r="C37" i="264"/>
  <c r="E37" i="264"/>
  <c r="P29" i="3"/>
  <c r="M29" i="3"/>
  <c r="J29" i="3"/>
  <c r="G29" i="3"/>
  <c r="F29" i="3"/>
  <c r="D37" i="231" l="1"/>
  <c r="C36" i="264" l="1"/>
  <c r="E36" i="264" s="1"/>
  <c r="E18" i="279"/>
  <c r="M28" i="3" l="1"/>
  <c r="P28" i="3"/>
  <c r="J28" i="3"/>
  <c r="G28" i="3"/>
  <c r="F28" i="3"/>
  <c r="C28" i="3"/>
  <c r="D28" i="3"/>
  <c r="D36" i="231" l="1"/>
  <c r="E17" i="279" l="1"/>
  <c r="E35" i="264"/>
  <c r="E35" i="258"/>
  <c r="C35" i="264"/>
  <c r="M27" i="3"/>
  <c r="P27" i="3"/>
  <c r="J27" i="3"/>
  <c r="G27" i="3" l="1"/>
  <c r="C27" i="3"/>
  <c r="D27" i="3"/>
  <c r="F27" i="3"/>
  <c r="A37" i="258" l="1"/>
  <c r="A38" i="258"/>
  <c r="A39" i="258"/>
  <c r="A40" i="258"/>
  <c r="A41" i="258"/>
  <c r="A42" i="258"/>
  <c r="A37" i="264"/>
  <c r="A38" i="264"/>
  <c r="A39" i="264"/>
  <c r="A40" i="264"/>
  <c r="A41" i="264"/>
  <c r="A42" i="264"/>
  <c r="A18" i="279" l="1"/>
  <c r="A19" i="279"/>
  <c r="A20" i="279"/>
  <c r="A21" i="279"/>
  <c r="A22" i="279"/>
  <c r="A23" i="279"/>
  <c r="A24" i="279"/>
  <c r="A17" i="279"/>
  <c r="H16" i="279"/>
  <c r="F17" i="279" s="1"/>
  <c r="A37" i="224"/>
  <c r="A37" i="164"/>
  <c r="A37" i="201"/>
  <c r="A37" i="200"/>
  <c r="A38" i="231"/>
  <c r="A39" i="231"/>
  <c r="A40" i="231"/>
  <c r="A41" i="231"/>
  <c r="A42" i="231"/>
  <c r="A43" i="231"/>
  <c r="A31" i="3"/>
  <c r="A42" i="230"/>
  <c r="A43" i="230"/>
  <c r="A41" i="230"/>
  <c r="A39" i="230"/>
  <c r="A38" i="230"/>
  <c r="N34" i="3"/>
  <c r="C42" i="258" s="1"/>
  <c r="E42" i="258" s="1"/>
  <c r="H34" i="3"/>
  <c r="E34" i="3"/>
  <c r="A34" i="3"/>
  <c r="N33" i="3"/>
  <c r="C41" i="258" s="1"/>
  <c r="E41" i="258" s="1"/>
  <c r="H33" i="3"/>
  <c r="E33" i="3"/>
  <c r="N32" i="3"/>
  <c r="C40" i="258" s="1"/>
  <c r="E40" i="258" s="1"/>
  <c r="H32" i="3"/>
  <c r="E32" i="3"/>
  <c r="A32" i="3"/>
  <c r="N31" i="3"/>
  <c r="C39" i="258" s="1"/>
  <c r="E39" i="258" s="1"/>
  <c r="H31" i="3"/>
  <c r="E31" i="3"/>
  <c r="N30" i="3"/>
  <c r="C38" i="258" s="1"/>
  <c r="E38" i="258" s="1"/>
  <c r="H30" i="3"/>
  <c r="E30" i="3"/>
  <c r="A30" i="3"/>
  <c r="N29" i="3"/>
  <c r="C37" i="258" s="1"/>
  <c r="E37" i="258" s="1"/>
  <c r="H29" i="3"/>
  <c r="E29" i="3"/>
  <c r="A29" i="3"/>
  <c r="I34" i="3" l="1"/>
  <c r="K34" i="3" s="1"/>
  <c r="O34" i="3" s="1"/>
  <c r="C42" i="264" s="1"/>
  <c r="E42" i="264" s="1"/>
  <c r="H17" i="279"/>
  <c r="F18" i="279" s="1"/>
  <c r="A33" i="3"/>
  <c r="A40" i="230"/>
  <c r="I31" i="3"/>
  <c r="I33" i="3"/>
  <c r="I32" i="3"/>
  <c r="I30" i="3"/>
  <c r="I29" i="3"/>
  <c r="D34" i="231"/>
  <c r="C24" i="279" l="1"/>
  <c r="E24" i="279" s="1"/>
  <c r="C22" i="280"/>
  <c r="E22" i="280" s="1"/>
  <c r="K33" i="3"/>
  <c r="O33" i="3" s="1"/>
  <c r="C41" i="264" s="1"/>
  <c r="E41" i="264" s="1"/>
  <c r="C21" i="280"/>
  <c r="C23" i="279"/>
  <c r="K32" i="3"/>
  <c r="O32" i="3" s="1"/>
  <c r="C40" i="264" s="1"/>
  <c r="E40" i="264" s="1"/>
  <c r="C20" i="280"/>
  <c r="C22" i="279"/>
  <c r="K31" i="3"/>
  <c r="O31" i="3" s="1"/>
  <c r="C39" i="264" s="1"/>
  <c r="E39" i="264" s="1"/>
  <c r="C19" i="280"/>
  <c r="E19" i="280" s="1"/>
  <c r="H19" i="280" s="1"/>
  <c r="C21" i="279"/>
  <c r="E21" i="279" s="1"/>
  <c r="K30" i="3"/>
  <c r="O30" i="3" s="1"/>
  <c r="C38" i="264" s="1"/>
  <c r="E38" i="264" s="1"/>
  <c r="C18" i="280"/>
  <c r="C20" i="279"/>
  <c r="E20" i="279" s="1"/>
  <c r="K29" i="3"/>
  <c r="O29" i="3" s="1"/>
  <c r="C19" i="279"/>
  <c r="F20" i="280" l="1"/>
  <c r="P26" i="3"/>
  <c r="M26" i="3"/>
  <c r="J26" i="3"/>
  <c r="G26" i="3"/>
  <c r="F26" i="3"/>
  <c r="H20" i="280" l="1"/>
  <c r="F21" i="280"/>
  <c r="H21" i="280" s="1"/>
  <c r="D33" i="231"/>
  <c r="F22" i="280" l="1"/>
  <c r="H22" i="280" s="1"/>
  <c r="M25" i="3"/>
  <c r="P25" i="3"/>
  <c r="J25" i="3"/>
  <c r="G25" i="3"/>
  <c r="F25" i="3"/>
  <c r="N25" i="3" l="1"/>
  <c r="D32" i="231" l="1"/>
  <c r="P24" i="3" l="1"/>
  <c r="M24" i="3"/>
  <c r="J24" i="3"/>
  <c r="G24" i="3"/>
  <c r="F24" i="3"/>
  <c r="D31" i="231" l="1"/>
  <c r="P23" i="3" l="1"/>
  <c r="M23" i="3"/>
  <c r="J23" i="3"/>
  <c r="G23" i="3"/>
  <c r="F23" i="3"/>
  <c r="P22" i="3" l="1"/>
  <c r="M22" i="3"/>
  <c r="J22" i="3"/>
  <c r="G22" i="3"/>
  <c r="F22" i="3"/>
  <c r="D29" i="231" l="1"/>
  <c r="M21" i="3" l="1"/>
  <c r="P21" i="3"/>
  <c r="J21" i="3"/>
  <c r="G21" i="3"/>
  <c r="F21" i="3"/>
  <c r="D28" i="231" l="1"/>
  <c r="P20" i="3" l="1"/>
  <c r="M20" i="3"/>
  <c r="J20" i="3"/>
  <c r="G20" i="3"/>
  <c r="D27" i="231" l="1"/>
  <c r="P19" i="3" l="1"/>
  <c r="M19" i="3"/>
  <c r="J19" i="3"/>
  <c r="G19" i="3"/>
  <c r="F19" i="3"/>
  <c r="D26" i="231" l="1"/>
  <c r="M18" i="3" l="1"/>
  <c r="P18" i="3"/>
  <c r="J18" i="3"/>
  <c r="G18" i="3"/>
  <c r="F18" i="3"/>
  <c r="E25" i="258" l="1"/>
  <c r="E25" i="264" l="1"/>
  <c r="P17" i="3"/>
  <c r="M17" i="3"/>
  <c r="J17" i="3"/>
  <c r="G17" i="3"/>
  <c r="F17" i="3"/>
  <c r="A36" i="264" l="1"/>
  <c r="A35" i="264"/>
  <c r="A34" i="264"/>
  <c r="A33" i="264"/>
  <c r="A32" i="264"/>
  <c r="A31" i="264"/>
  <c r="A30" i="264"/>
  <c r="A29" i="264"/>
  <c r="A28" i="264"/>
  <c r="A27" i="264"/>
  <c r="A26" i="264"/>
  <c r="A25" i="264"/>
  <c r="C33" i="258"/>
  <c r="E33" i="258" s="1"/>
  <c r="E12" i="258"/>
  <c r="A36" i="258"/>
  <c r="A35" i="258"/>
  <c r="A34" i="258"/>
  <c r="A33" i="258"/>
  <c r="A32" i="258"/>
  <c r="A31" i="258"/>
  <c r="A30" i="258"/>
  <c r="A29" i="258"/>
  <c r="A28" i="258"/>
  <c r="A27" i="258"/>
  <c r="A26" i="258"/>
  <c r="A25" i="258"/>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7" i="230"/>
  <c r="A37" i="230"/>
  <c r="A26" i="230"/>
  <c r="A28" i="230"/>
  <c r="A29" i="230"/>
  <c r="A30" i="230"/>
  <c r="A31" i="230"/>
  <c r="A32" i="230"/>
  <c r="A33" i="230"/>
  <c r="A34" i="230"/>
  <c r="A36" i="230"/>
  <c r="A25" i="230"/>
  <c r="H19" i="3"/>
  <c r="N19" i="3"/>
  <c r="C27" i="258" s="1"/>
  <c r="E27" i="258" s="1"/>
  <c r="H20" i="3"/>
  <c r="N20" i="3"/>
  <c r="C28" i="258" s="1"/>
  <c r="E28" i="258" s="1"/>
  <c r="H21" i="3"/>
  <c r="N21" i="3"/>
  <c r="C29" i="258" s="1"/>
  <c r="E29" i="258" s="1"/>
  <c r="H22" i="3"/>
  <c r="N22" i="3"/>
  <c r="C30" i="258" s="1"/>
  <c r="E30" i="258" s="1"/>
  <c r="H23" i="3"/>
  <c r="N23" i="3"/>
  <c r="C31" i="258" s="1"/>
  <c r="E31" i="258" s="1"/>
  <c r="H24" i="3"/>
  <c r="N24" i="3"/>
  <c r="C32" i="258" s="1"/>
  <c r="E32" i="258" s="1"/>
  <c r="H25" i="3"/>
  <c r="H26" i="3"/>
  <c r="N26" i="3"/>
  <c r="C34" i="258" s="1"/>
  <c r="E34" i="258" s="1"/>
  <c r="H27" i="3"/>
  <c r="N27" i="3"/>
  <c r="C35" i="258" s="1"/>
  <c r="H28" i="3"/>
  <c r="N28" i="3"/>
  <c r="E19" i="3"/>
  <c r="E20" i="3"/>
  <c r="E21" i="3"/>
  <c r="E22" i="3"/>
  <c r="E23" i="3"/>
  <c r="E24" i="3"/>
  <c r="E25" i="3"/>
  <c r="E26" i="3"/>
  <c r="E27" i="3"/>
  <c r="E28" i="3"/>
  <c r="A19" i="3"/>
  <c r="A20" i="3"/>
  <c r="A21" i="3"/>
  <c r="A22" i="3"/>
  <c r="A23" i="3"/>
  <c r="A24" i="3"/>
  <c r="A25" i="3"/>
  <c r="A26" i="3"/>
  <c r="A27" i="3"/>
  <c r="A28" i="3"/>
  <c r="C36" i="258" l="1"/>
  <c r="E36" i="258" s="1"/>
  <c r="I27" i="3"/>
  <c r="C17" i="279" s="1"/>
  <c r="I26" i="3"/>
  <c r="K26" i="3" s="1"/>
  <c r="O26" i="3" s="1"/>
  <c r="C34" i="264" s="1"/>
  <c r="E34" i="264" s="1"/>
  <c r="I28" i="3"/>
  <c r="C18" i="279" s="1"/>
  <c r="H18" i="279" s="1"/>
  <c r="I25" i="3"/>
  <c r="I24" i="3"/>
  <c r="I23" i="3"/>
  <c r="I22" i="3"/>
  <c r="I21" i="3"/>
  <c r="K21" i="3" s="1"/>
  <c r="O21" i="3" s="1"/>
  <c r="C29" i="264" s="1"/>
  <c r="E29" i="264" s="1"/>
  <c r="I20" i="3"/>
  <c r="K20" i="3" s="1"/>
  <c r="O20" i="3" s="1"/>
  <c r="C28" i="264" s="1"/>
  <c r="E28" i="264" s="1"/>
  <c r="I19" i="3"/>
  <c r="F19" i="279" l="1"/>
  <c r="K27" i="3"/>
  <c r="O27" i="3" s="1"/>
  <c r="K28" i="3"/>
  <c r="O28" i="3" s="1"/>
  <c r="O25" i="3"/>
  <c r="C33" i="264" s="1"/>
  <c r="E33" i="264" s="1"/>
  <c r="K25" i="3"/>
  <c r="K23" i="3"/>
  <c r="O23" i="3" s="1"/>
  <c r="C31" i="264" s="1"/>
  <c r="E31" i="264" s="1"/>
  <c r="K24" i="3"/>
  <c r="O24" i="3" s="1"/>
  <c r="C32" i="264" s="1"/>
  <c r="E32" i="264" s="1"/>
  <c r="K22" i="3"/>
  <c r="O22" i="3" s="1"/>
  <c r="C30" i="264" s="1"/>
  <c r="E30" i="264" s="1"/>
  <c r="K19" i="3"/>
  <c r="O19" i="3" s="1"/>
  <c r="C27" i="264" s="1"/>
  <c r="E27" i="264" s="1"/>
  <c r="A7" i="3"/>
  <c r="A17" i="3"/>
  <c r="A18" i="3"/>
  <c r="D23" i="231"/>
  <c r="D23" i="164"/>
  <c r="D19" i="164"/>
  <c r="J16" i="3"/>
  <c r="N16" i="3" s="1"/>
  <c r="M16" i="3"/>
  <c r="P16" i="3"/>
  <c r="G16" i="3"/>
  <c r="F16" i="3"/>
  <c r="H16" i="3" s="1"/>
  <c r="D22" i="231"/>
  <c r="P15" i="3"/>
  <c r="M15" i="3"/>
  <c r="J15" i="3"/>
  <c r="G15" i="3"/>
  <c r="F15" i="3"/>
  <c r="D21" i="231"/>
  <c r="M14" i="3"/>
  <c r="N14" i="3" s="1"/>
  <c r="C21" i="258" s="1"/>
  <c r="E21" i="258" s="1"/>
  <c r="P14" i="3"/>
  <c r="J14" i="3"/>
  <c r="G14" i="3"/>
  <c r="F14" i="3"/>
  <c r="D20" i="231"/>
  <c r="M13" i="3"/>
  <c r="P13" i="3"/>
  <c r="J13" i="3"/>
  <c r="G13" i="3"/>
  <c r="F13" i="3"/>
  <c r="D19" i="231"/>
  <c r="P12" i="3"/>
  <c r="M12" i="3"/>
  <c r="J12" i="3"/>
  <c r="G12" i="3"/>
  <c r="F12" i="3"/>
  <c r="D18" i="231"/>
  <c r="M11" i="3"/>
  <c r="P11" i="3"/>
  <c r="J11" i="3"/>
  <c r="G11" i="3"/>
  <c r="H11" i="3" s="1"/>
  <c r="F11" i="3"/>
  <c r="D17" i="230"/>
  <c r="D17" i="231"/>
  <c r="J10" i="3"/>
  <c r="N10" i="3" s="1"/>
  <c r="C17" i="258" s="1"/>
  <c r="E17" i="258" s="1"/>
  <c r="M10" i="3"/>
  <c r="P10" i="3"/>
  <c r="G10" i="3"/>
  <c r="F10" i="3"/>
  <c r="D16" i="224"/>
  <c r="D16" i="201"/>
  <c r="D16" i="200"/>
  <c r="P9" i="3"/>
  <c r="M9" i="3"/>
  <c r="J9" i="3"/>
  <c r="G9" i="3"/>
  <c r="F9" i="3"/>
  <c r="D15" i="224"/>
  <c r="D15" i="201"/>
  <c r="D15" i="200"/>
  <c r="D15" i="231"/>
  <c r="P8" i="3"/>
  <c r="M8" i="3"/>
  <c r="J8" i="3"/>
  <c r="G8" i="3"/>
  <c r="F8" i="3"/>
  <c r="D14" i="231"/>
  <c r="M7" i="3"/>
  <c r="P7" i="3"/>
  <c r="J7" i="3"/>
  <c r="G7" i="3"/>
  <c r="F7" i="3"/>
  <c r="D13" i="231"/>
  <c r="M6" i="3"/>
  <c r="P6" i="3"/>
  <c r="J6" i="3"/>
  <c r="G6" i="3"/>
  <c r="F6" i="3"/>
  <c r="D12" i="201"/>
  <c r="D12" i="231"/>
  <c r="E12" i="264"/>
  <c r="P5" i="3"/>
  <c r="M5" i="3"/>
  <c r="J5" i="3"/>
  <c r="G5" i="3"/>
  <c r="F5" i="3"/>
  <c r="H5" i="3" s="1"/>
  <c r="A16" i="3"/>
  <c r="A15" i="3"/>
  <c r="A14" i="3"/>
  <c r="A13" i="3"/>
  <c r="A12" i="3"/>
  <c r="A11" i="3"/>
  <c r="A10" i="3"/>
  <c r="A9" i="3"/>
  <c r="A8" i="3"/>
  <c r="A15" i="258"/>
  <c r="A16" i="258"/>
  <c r="A17" i="258"/>
  <c r="A18" i="258"/>
  <c r="A19" i="258"/>
  <c r="A20" i="258"/>
  <c r="A21" i="258"/>
  <c r="A22" i="258"/>
  <c r="A23" i="258"/>
  <c r="A23" i="264"/>
  <c r="A13" i="264"/>
  <c r="A14" i="264"/>
  <c r="A15" i="264"/>
  <c r="A16" i="264"/>
  <c r="A17" i="264"/>
  <c r="A18" i="264"/>
  <c r="A19" i="264"/>
  <c r="A20" i="264"/>
  <c r="A21" i="264"/>
  <c r="A22" i="264"/>
  <c r="A12" i="264"/>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2" i="231"/>
  <c r="A23" i="231"/>
  <c r="A21" i="231"/>
  <c r="A20" i="231"/>
  <c r="A19" i="231"/>
  <c r="A18" i="231"/>
  <c r="A17" i="231"/>
  <c r="A16" i="231"/>
  <c r="A15" i="231"/>
  <c r="A14" i="231"/>
  <c r="A13" i="231"/>
  <c r="A12" i="231"/>
  <c r="A20" i="230"/>
  <c r="A21" i="230"/>
  <c r="A22" i="230"/>
  <c r="A23" i="230"/>
  <c r="A17" i="230"/>
  <c r="A18" i="230"/>
  <c r="A19" i="230"/>
  <c r="A16" i="230"/>
  <c r="A15" i="230"/>
  <c r="A14" i="230"/>
  <c r="A12" i="258"/>
  <c r="A13" i="258"/>
  <c r="A13" i="230"/>
  <c r="A12" i="230"/>
  <c r="N15" i="3"/>
  <c r="C22" i="258" s="1"/>
  <c r="E22" i="258" s="1"/>
  <c r="N17" i="3"/>
  <c r="C25" i="258" s="1"/>
  <c r="N18" i="3"/>
  <c r="C26" i="258" s="1"/>
  <c r="E26" i="258" s="1"/>
  <c r="H17" i="3"/>
  <c r="H18" i="3"/>
  <c r="E7" i="3"/>
  <c r="E8" i="3"/>
  <c r="E9" i="3"/>
  <c r="E10" i="3"/>
  <c r="E11" i="3"/>
  <c r="E12" i="3"/>
  <c r="E13" i="3"/>
  <c r="E14" i="3"/>
  <c r="E15" i="3"/>
  <c r="E16" i="3"/>
  <c r="E17" i="3"/>
  <c r="E18" i="3"/>
  <c r="I18" i="3" s="1"/>
  <c r="A6" i="3"/>
  <c r="H6" i="3"/>
  <c r="E6" i="3"/>
  <c r="E5" i="3"/>
  <c r="B11" i="132"/>
  <c r="A5" i="3"/>
  <c r="H19" i="279" l="1"/>
  <c r="F20" i="279"/>
  <c r="H20" i="279" s="1"/>
  <c r="C23" i="258"/>
  <c r="E23" i="258" s="1"/>
  <c r="B12" i="132"/>
  <c r="B13" i="132" s="1"/>
  <c r="B14" i="132" s="1"/>
  <c r="B15" i="132" s="1"/>
  <c r="H15" i="3"/>
  <c r="I16" i="3"/>
  <c r="N11" i="3"/>
  <c r="N13" i="3"/>
  <c r="C20" i="258" s="1"/>
  <c r="E20" i="258" s="1"/>
  <c r="H7" i="3"/>
  <c r="I7" i="3" s="1"/>
  <c r="H10" i="3"/>
  <c r="I10" i="3" s="1"/>
  <c r="K18" i="3"/>
  <c r="O18" i="3" s="1"/>
  <c r="C26" i="264" s="1"/>
  <c r="E26" i="264" s="1"/>
  <c r="I17" i="3"/>
  <c r="K17" i="3" s="1"/>
  <c r="O17" i="3" s="1"/>
  <c r="C25" i="264" s="1"/>
  <c r="I11" i="3"/>
  <c r="H12" i="3"/>
  <c r="C18" i="258"/>
  <c r="E18" i="258" s="1"/>
  <c r="I5" i="3"/>
  <c r="K5" i="3" s="1"/>
  <c r="O5" i="3" s="1"/>
  <c r="C12" i="264" s="1"/>
  <c r="N7" i="3"/>
  <c r="I6" i="3"/>
  <c r="H8" i="3"/>
  <c r="I8" i="3" s="1"/>
  <c r="I12" i="3"/>
  <c r="H14" i="3"/>
  <c r="I14" i="3" s="1"/>
  <c r="K14" i="3" s="1"/>
  <c r="O14" i="3" s="1"/>
  <c r="C21" i="264" s="1"/>
  <c r="E21" i="264" s="1"/>
  <c r="N5" i="3"/>
  <c r="H9" i="3"/>
  <c r="I9" i="3" s="1"/>
  <c r="N12" i="3"/>
  <c r="H13" i="3"/>
  <c r="I13" i="3" s="1"/>
  <c r="K16" i="3"/>
  <c r="O16" i="3" s="1"/>
  <c r="C23" i="264" s="1"/>
  <c r="E23" i="264" s="1"/>
  <c r="C12" i="258"/>
  <c r="N6" i="3"/>
  <c r="K11" i="3"/>
  <c r="O11" i="3" s="1"/>
  <c r="C18" i="264" s="1"/>
  <c r="E18" i="264" s="1"/>
  <c r="I15" i="3"/>
  <c r="N8" i="3"/>
  <c r="N9" i="3"/>
  <c r="A14" i="258"/>
  <c r="F21" i="279" l="1"/>
  <c r="H21" i="279" s="1"/>
  <c r="K7" i="3"/>
  <c r="O7" i="3" s="1"/>
  <c r="C14" i="264" s="1"/>
  <c r="E14" i="264" s="1"/>
  <c r="B16" i="132"/>
  <c r="B17" i="132" s="1"/>
  <c r="B18" i="132" s="1"/>
  <c r="K10" i="3"/>
  <c r="O10" i="3" s="1"/>
  <c r="C17" i="264" s="1"/>
  <c r="E17" i="264" s="1"/>
  <c r="K12" i="3"/>
  <c r="O12" i="3" s="1"/>
  <c r="C19" i="264" s="1"/>
  <c r="E19" i="264" s="1"/>
  <c r="K9" i="3"/>
  <c r="O9" i="3" s="1"/>
  <c r="C16" i="264" s="1"/>
  <c r="E16" i="264" s="1"/>
  <c r="K6" i="3"/>
  <c r="O6" i="3" s="1"/>
  <c r="C13" i="264" s="1"/>
  <c r="E13" i="264" s="1"/>
  <c r="K13" i="3"/>
  <c r="O13" i="3" s="1"/>
  <c r="C20" i="264" s="1"/>
  <c r="E20" i="264" s="1"/>
  <c r="C19" i="258"/>
  <c r="E19" i="258" s="1"/>
  <c r="C14" i="258"/>
  <c r="E14" i="258" s="1"/>
  <c r="K8" i="3"/>
  <c r="O8" i="3" s="1"/>
  <c r="C15" i="264" s="1"/>
  <c r="E15" i="264" s="1"/>
  <c r="C16" i="258"/>
  <c r="E16" i="258" s="1"/>
  <c r="C15" i="258"/>
  <c r="E15" i="258" s="1"/>
  <c r="K15" i="3"/>
  <c r="O15" i="3" s="1"/>
  <c r="C22" i="264" s="1"/>
  <c r="E22" i="264" s="1"/>
  <c r="C13" i="258"/>
  <c r="E13" i="258" s="1"/>
  <c r="F22" i="279" l="1"/>
  <c r="B19" i="132"/>
  <c r="B20" i="132" s="1"/>
  <c r="B21" i="132" s="1"/>
  <c r="H22" i="279" l="1"/>
  <c r="F23" i="279"/>
  <c r="H23" i="279" s="1"/>
  <c r="F12" i="230"/>
  <c r="B22" i="132"/>
  <c r="B23" i="132" s="1"/>
  <c r="B24" i="132" s="1"/>
  <c r="B25" i="132" s="1"/>
  <c r="B26" i="132" s="1"/>
  <c r="B27" i="132" s="1"/>
  <c r="B28" i="132" s="1"/>
  <c r="B29" i="132" s="1"/>
  <c r="B30" i="132" s="1"/>
  <c r="B31" i="132" s="1"/>
  <c r="B32" i="132" s="1"/>
  <c r="F24" i="279" l="1"/>
  <c r="H24" i="279" s="1"/>
  <c r="B33" i="132"/>
  <c r="B34" i="132" s="1"/>
  <c r="B35" i="132" s="1"/>
  <c r="B36" i="132" s="1"/>
  <c r="B37" i="132" s="1"/>
  <c r="B38" i="132" s="1"/>
  <c r="B39" i="132" s="1"/>
  <c r="B40" i="132" s="1"/>
  <c r="B41" i="132" s="1"/>
  <c r="B42" i="132" s="1"/>
  <c r="B43" i="132" s="1"/>
  <c r="B44" i="132" s="1"/>
  <c r="B45" i="132" s="1"/>
  <c r="B46" i="132" s="1"/>
  <c r="B47" i="132" s="1"/>
  <c r="B48" i="132" s="1"/>
  <c r="B50" i="132" s="1"/>
  <c r="B51" i="132" l="1"/>
  <c r="B52" i="132" s="1"/>
  <c r="B53" i="132" s="1"/>
  <c r="B54" i="132" s="1"/>
  <c r="B55" i="132" s="1"/>
  <c r="B56" i="132" s="1"/>
  <c r="B57" i="132" s="1"/>
  <c r="F12" i="264" l="1"/>
  <c r="H12" i="264" s="1"/>
  <c r="F13" i="264" l="1"/>
  <c r="H13" i="264" s="1"/>
  <c r="F14" i="264" l="1"/>
  <c r="H14" i="264" s="1"/>
  <c r="F15" i="264" l="1"/>
  <c r="H15" i="264" s="1"/>
  <c r="F16" i="264" l="1"/>
  <c r="H16" i="264" s="1"/>
  <c r="F17" i="264" l="1"/>
  <c r="H17" i="264" s="1"/>
  <c r="F18" i="264" l="1"/>
  <c r="H18" i="264" s="1"/>
  <c r="F19" i="264" l="1"/>
  <c r="H19" i="264" s="1"/>
  <c r="F20" i="264" l="1"/>
  <c r="H20" i="264" s="1"/>
  <c r="F21" i="264" l="1"/>
  <c r="H21" i="264" s="1"/>
  <c r="F22" i="264" l="1"/>
  <c r="H22" i="264" s="1"/>
  <c r="F12" i="258" l="1"/>
  <c r="H12" i="258" s="1"/>
  <c r="F23" i="264"/>
  <c r="H23" i="264" l="1"/>
  <c r="F13" i="258"/>
  <c r="H13" i="258" s="1"/>
  <c r="F25" i="264" l="1"/>
  <c r="H25" i="264" s="1"/>
  <c r="F14" i="258"/>
  <c r="H14" i="258" s="1"/>
  <c r="F26" i="264" l="1"/>
  <c r="H26" i="264" s="1"/>
  <c r="F15" i="258"/>
  <c r="H15" i="258" s="1"/>
  <c r="F27" i="264" l="1"/>
  <c r="H27" i="264" s="1"/>
  <c r="F16" i="258"/>
  <c r="H16" i="258" s="1"/>
  <c r="F28" i="264" l="1"/>
  <c r="H28" i="264" s="1"/>
  <c r="F17" i="258"/>
  <c r="H17" i="258" s="1"/>
  <c r="F29" i="264" l="1"/>
  <c r="H29" i="264" s="1"/>
  <c r="F18" i="258"/>
  <c r="H18" i="258" s="1"/>
  <c r="F30" i="264" l="1"/>
  <c r="H30" i="264" s="1"/>
  <c r="F19" i="258"/>
  <c r="H19" i="258" s="1"/>
  <c r="F31" i="264" l="1"/>
  <c r="H31" i="264" s="1"/>
  <c r="F20" i="258"/>
  <c r="H20" i="258" s="1"/>
  <c r="F32" i="264" l="1"/>
  <c r="F21" i="258"/>
  <c r="H21" i="258" s="1"/>
  <c r="H32" i="264" l="1"/>
  <c r="F22" i="258"/>
  <c r="H22" i="258" s="1"/>
  <c r="F33" i="264" l="1"/>
  <c r="F23" i="258"/>
  <c r="H33" i="264" l="1"/>
  <c r="F34" i="264" s="1"/>
  <c r="H34" i="264" s="1"/>
  <c r="H23" i="258"/>
  <c r="F35" i="264" l="1"/>
  <c r="H35" i="264" s="1"/>
  <c r="H24" i="258"/>
  <c r="F25" i="258" s="1"/>
  <c r="F36" i="264" l="1"/>
  <c r="H36" i="264" s="1"/>
  <c r="H25" i="258"/>
  <c r="F26" i="258" s="1"/>
  <c r="F37" i="264" l="1"/>
  <c r="H26" i="258"/>
  <c r="F27" i="258" s="1"/>
  <c r="H27" i="258" s="1"/>
  <c r="F28" i="258" s="1"/>
  <c r="H37" i="264" l="1"/>
  <c r="F38" i="264" s="1"/>
  <c r="H28" i="258"/>
  <c r="F29" i="258" s="1"/>
  <c r="H38" i="264" l="1"/>
  <c r="F39" i="264" s="1"/>
  <c r="H39" i="264" s="1"/>
  <c r="F40" i="264" s="1"/>
  <c r="H29" i="258"/>
  <c r="F30" i="258" s="1"/>
  <c r="H40" i="264" l="1"/>
  <c r="F41" i="264" s="1"/>
  <c r="H30" i="258"/>
  <c r="F31" i="258" s="1"/>
  <c r="H41" i="264" l="1"/>
  <c r="F42" i="264" s="1"/>
  <c r="H31" i="258"/>
  <c r="F32" i="258" s="1"/>
  <c r="H12" i="230"/>
  <c r="H42" i="264" l="1"/>
  <c r="H32" i="258"/>
  <c r="F33" i="258" s="1"/>
  <c r="F12" i="231"/>
  <c r="H12" i="231" s="1"/>
  <c r="F13" i="230"/>
  <c r="H13" i="230" s="1"/>
  <c r="H33" i="258" l="1"/>
  <c r="F34" i="258" s="1"/>
  <c r="F14" i="230"/>
  <c r="H14" i="230" s="1"/>
  <c r="F13" i="231"/>
  <c r="H13" i="231" s="1"/>
  <c r="H34" i="258" l="1"/>
  <c r="F35" i="258" s="1"/>
  <c r="F15" i="230"/>
  <c r="H15" i="230" s="1"/>
  <c r="F14" i="231"/>
  <c r="H14" i="231" s="1"/>
  <c r="H35" i="258" l="1"/>
  <c r="F36" i="258" s="1"/>
  <c r="F15" i="231"/>
  <c r="H15" i="231" s="1"/>
  <c r="F16" i="230"/>
  <c r="H16" i="230" s="1"/>
  <c r="H36" i="258" l="1"/>
  <c r="F16" i="231"/>
  <c r="H16" i="231" s="1"/>
  <c r="F17" i="230"/>
  <c r="H17" i="230" s="1"/>
  <c r="F37" i="258" l="1"/>
  <c r="F17" i="231"/>
  <c r="H17" i="231" s="1"/>
  <c r="F18" i="230"/>
  <c r="H18" i="230" s="1"/>
  <c r="H37" i="258" l="1"/>
  <c r="F38" i="258"/>
  <c r="H38" i="258" s="1"/>
  <c r="F39" i="258" s="1"/>
  <c r="F18" i="231"/>
  <c r="H18" i="231" s="1"/>
  <c r="F19" i="230"/>
  <c r="H19" i="230" s="1"/>
  <c r="H39" i="258" l="1"/>
  <c r="F40" i="258" s="1"/>
  <c r="F20" i="230"/>
  <c r="H20" i="230" s="1"/>
  <c r="F19" i="231"/>
  <c r="H19" i="231" s="1"/>
  <c r="H40" i="258" l="1"/>
  <c r="F41" i="258" s="1"/>
  <c r="F20" i="231"/>
  <c r="H20" i="231" s="1"/>
  <c r="F21" i="230"/>
  <c r="H21" i="230" s="1"/>
  <c r="H41" i="258" l="1"/>
  <c r="F42" i="258" s="1"/>
  <c r="F21" i="231"/>
  <c r="H21" i="231" s="1"/>
  <c r="F22" i="230"/>
  <c r="H22" i="230" s="1"/>
  <c r="F12" i="224"/>
  <c r="H12" i="224" s="1"/>
  <c r="H42" i="258" l="1"/>
  <c r="F13" i="224"/>
  <c r="H13" i="224" s="1"/>
  <c r="F22" i="231"/>
  <c r="H22" i="231" s="1"/>
  <c r="F23" i="230"/>
  <c r="F14" i="224" l="1"/>
  <c r="H14" i="224" s="1"/>
  <c r="H23" i="230"/>
  <c r="F23" i="231"/>
  <c r="F12" i="164" l="1"/>
  <c r="H12" i="164" s="1"/>
  <c r="H24" i="230"/>
  <c r="F15" i="224"/>
  <c r="H15" i="224" s="1"/>
  <c r="H23" i="231"/>
  <c r="F25" i="230" l="1"/>
  <c r="H25" i="230" s="1"/>
  <c r="F13" i="164"/>
  <c r="H13" i="164" s="1"/>
  <c r="F16" i="224"/>
  <c r="H16" i="224" s="1"/>
  <c r="H24" i="231"/>
  <c r="F25" i="231" s="1"/>
  <c r="H25" i="231" s="1"/>
  <c r="F26" i="231" l="1"/>
  <c r="H26" i="231" s="1"/>
  <c r="F26" i="230"/>
  <c r="H26" i="230" s="1"/>
  <c r="F27" i="230" s="1"/>
  <c r="F17" i="224"/>
  <c r="H17" i="224" s="1"/>
  <c r="F14" i="164"/>
  <c r="H14" i="164" s="1"/>
  <c r="F27" i="231" l="1"/>
  <c r="H27" i="231" s="1"/>
  <c r="F18" i="224"/>
  <c r="H18" i="224" s="1"/>
  <c r="F15" i="164"/>
  <c r="H15" i="164" s="1"/>
  <c r="F28" i="231" l="1"/>
  <c r="H28" i="231" s="1"/>
  <c r="F16" i="164"/>
  <c r="H16" i="164" s="1"/>
  <c r="F19" i="224"/>
  <c r="H19" i="224" s="1"/>
  <c r="F29" i="231" l="1"/>
  <c r="H29" i="231" s="1"/>
  <c r="F20" i="224"/>
  <c r="H20" i="224" s="1"/>
  <c r="F17" i="164"/>
  <c r="H17" i="164" s="1"/>
  <c r="F30" i="231" l="1"/>
  <c r="H30" i="231" s="1"/>
  <c r="F21" i="224"/>
  <c r="H21" i="224" s="1"/>
  <c r="F18" i="164"/>
  <c r="H18" i="164" s="1"/>
  <c r="F31" i="231" l="1"/>
  <c r="H31" i="231" s="1"/>
  <c r="F19" i="164"/>
  <c r="H19" i="164" s="1"/>
  <c r="F22" i="224"/>
  <c r="H22" i="224" s="1"/>
  <c r="F32" i="231" l="1"/>
  <c r="F20" i="164"/>
  <c r="H20" i="164" s="1"/>
  <c r="F23" i="224"/>
  <c r="H32" i="231" l="1"/>
  <c r="H23" i="224"/>
  <c r="F21" i="164"/>
  <c r="H21" i="164" s="1"/>
  <c r="F33" i="231" l="1"/>
  <c r="H33" i="231" s="1"/>
  <c r="H24" i="224"/>
  <c r="F25" i="224" s="1"/>
  <c r="H25" i="224" s="1"/>
  <c r="F22" i="164"/>
  <c r="H22" i="164" s="1"/>
  <c r="F34" i="231" l="1"/>
  <c r="H34" i="231" s="1"/>
  <c r="H35" i="231" s="1"/>
  <c r="F36" i="231" s="1"/>
  <c r="H36" i="231" s="1"/>
  <c r="F37" i="231" s="1"/>
  <c r="F26" i="224"/>
  <c r="H26" i="224" s="1"/>
  <c r="F23" i="164"/>
  <c r="F27" i="224" l="1"/>
  <c r="H27" i="224" s="1"/>
  <c r="H23" i="164"/>
  <c r="H37" i="231" l="1"/>
  <c r="F28" i="224"/>
  <c r="H28" i="224" s="1"/>
  <c r="H24" i="164"/>
  <c r="F12" i="200"/>
  <c r="H12" i="200" s="1"/>
  <c r="F38" i="231" l="1"/>
  <c r="F29" i="224"/>
  <c r="H29" i="224" s="1"/>
  <c r="F25" i="164"/>
  <c r="H25" i="164" s="1"/>
  <c r="F13" i="200"/>
  <c r="H13" i="200" s="1"/>
  <c r="H38" i="231" l="1"/>
  <c r="F39" i="231"/>
  <c r="H39" i="231" s="1"/>
  <c r="F26" i="164"/>
  <c r="H26" i="164" s="1"/>
  <c r="F30" i="224"/>
  <c r="H30" i="224" s="1"/>
  <c r="F14" i="200"/>
  <c r="H14" i="200" s="1"/>
  <c r="F12" i="201"/>
  <c r="H12" i="201" s="1"/>
  <c r="F40" i="231" l="1"/>
  <c r="H40" i="231" s="1"/>
  <c r="F31" i="224"/>
  <c r="H31" i="224" s="1"/>
  <c r="F27" i="164"/>
  <c r="H27" i="164" s="1"/>
  <c r="F13" i="201"/>
  <c r="H13" i="201" s="1"/>
  <c r="F15" i="200"/>
  <c r="H15" i="200" s="1"/>
  <c r="F41" i="231" l="1"/>
  <c r="F28" i="164"/>
  <c r="H28" i="164" s="1"/>
  <c r="F32" i="224"/>
  <c r="F16" i="200"/>
  <c r="H16" i="200" s="1"/>
  <c r="F14" i="201"/>
  <c r="H14" i="201" s="1"/>
  <c r="H41" i="231" l="1"/>
  <c r="F42" i="231"/>
  <c r="H42" i="231" s="1"/>
  <c r="H32" i="224"/>
  <c r="F29" i="164"/>
  <c r="H29" i="164" s="1"/>
  <c r="F15" i="201"/>
  <c r="H15" i="201" s="1"/>
  <c r="F17" i="200"/>
  <c r="H17" i="200" s="1"/>
  <c r="F43" i="231" l="1"/>
  <c r="H43" i="231" s="1"/>
  <c r="F33" i="224"/>
  <c r="H33" i="224" s="1"/>
  <c r="F30" i="164"/>
  <c r="H30" i="164" s="1"/>
  <c r="F18" i="200"/>
  <c r="H18" i="200" s="1"/>
  <c r="F16" i="201"/>
  <c r="H16" i="201" s="1"/>
  <c r="F34" i="224" l="1"/>
  <c r="H34" i="224"/>
  <c r="F31" i="164"/>
  <c r="H31" i="164" s="1"/>
  <c r="F19" i="200"/>
  <c r="H19" i="200" s="1"/>
  <c r="F17" i="201"/>
  <c r="H17" i="201" s="1"/>
  <c r="F35" i="224" l="1"/>
  <c r="H35" i="224" s="1"/>
  <c r="F32" i="164"/>
  <c r="F18" i="201"/>
  <c r="H18" i="201" s="1"/>
  <c r="F20" i="200"/>
  <c r="H20" i="200" s="1"/>
  <c r="F36" i="224" l="1"/>
  <c r="H36" i="224" s="1"/>
  <c r="H32" i="164"/>
  <c r="F21" i="200"/>
  <c r="H21" i="200" s="1"/>
  <c r="F19" i="201"/>
  <c r="H19" i="201" s="1"/>
  <c r="F37" i="224" l="1"/>
  <c r="F33" i="164"/>
  <c r="F20" i="201"/>
  <c r="H20" i="201" s="1"/>
  <c r="F22" i="200"/>
  <c r="H22" i="200" s="1"/>
  <c r="H37" i="224" l="1"/>
  <c r="H38" i="224"/>
  <c r="F39" i="224" s="1"/>
  <c r="H33" i="164"/>
  <c r="F23" i="200"/>
  <c r="F21" i="201"/>
  <c r="H21" i="201" s="1"/>
  <c r="H39" i="224" l="1"/>
  <c r="F34" i="164"/>
  <c r="F22" i="201"/>
  <c r="H22" i="201" s="1"/>
  <c r="H23" i="200"/>
  <c r="F40" i="224" l="1"/>
  <c r="H40" i="224" s="1"/>
  <c r="H34" i="164"/>
  <c r="H24" i="200"/>
  <c r="F25" i="200" s="1"/>
  <c r="H25" i="200" s="1"/>
  <c r="F23" i="201"/>
  <c r="F41" i="224" l="1"/>
  <c r="F35" i="164"/>
  <c r="H35" i="164" s="1"/>
  <c r="F26" i="200"/>
  <c r="H26" i="200" s="1"/>
  <c r="H23" i="201"/>
  <c r="H27" i="230"/>
  <c r="F28" i="230" s="1"/>
  <c r="H41" i="224" l="1"/>
  <c r="F42" i="224"/>
  <c r="H42" i="224" s="1"/>
  <c r="F36" i="164"/>
  <c r="H36" i="164" s="1"/>
  <c r="F27" i="200"/>
  <c r="H27" i="200" s="1"/>
  <c r="H24" i="201"/>
  <c r="F25" i="201" s="1"/>
  <c r="H25" i="201" s="1"/>
  <c r="H28" i="230"/>
  <c r="F29" i="230" s="1"/>
  <c r="F37" i="164" l="1"/>
  <c r="F43" i="224"/>
  <c r="H43" i="224" s="1"/>
  <c r="F28" i="200"/>
  <c r="H28" i="200" s="1"/>
  <c r="F26" i="201"/>
  <c r="H26" i="201" s="1"/>
  <c r="H29" i="230"/>
  <c r="F30" i="230" s="1"/>
  <c r="H37" i="164" l="1"/>
  <c r="H38" i="164"/>
  <c r="F39" i="164" s="1"/>
  <c r="F29" i="200"/>
  <c r="H29" i="200" s="1"/>
  <c r="F27" i="201"/>
  <c r="H27" i="201" s="1"/>
  <c r="H30" i="230"/>
  <c r="F31" i="230" s="1"/>
  <c r="H39" i="164" l="1"/>
  <c r="F28" i="201"/>
  <c r="H28" i="201" s="1"/>
  <c r="F30" i="200"/>
  <c r="H30" i="200" s="1"/>
  <c r="H31" i="230"/>
  <c r="F32" i="230" s="1"/>
  <c r="F40" i="164" l="1"/>
  <c r="H40" i="164" s="1"/>
  <c r="F31" i="200"/>
  <c r="H31" i="200" s="1"/>
  <c r="F29" i="201"/>
  <c r="H29" i="201" s="1"/>
  <c r="H32" i="230"/>
  <c r="F33" i="230" s="1"/>
  <c r="F41" i="164" l="1"/>
  <c r="F30" i="201"/>
  <c r="H30" i="201" s="1"/>
  <c r="F32" i="200"/>
  <c r="H33" i="230"/>
  <c r="F34" i="230" s="1"/>
  <c r="H41" i="164" l="1"/>
  <c r="F42" i="164"/>
  <c r="H42" i="164" s="1"/>
  <c r="H32" i="200"/>
  <c r="F31" i="201"/>
  <c r="H31" i="201" s="1"/>
  <c r="H34" i="230"/>
  <c r="F43" i="164" l="1"/>
  <c r="H43" i="164" s="1"/>
  <c r="H35" i="230"/>
  <c r="F36" i="230" s="1"/>
  <c r="F33" i="200"/>
  <c r="F32" i="201"/>
  <c r="H36" i="230" l="1"/>
  <c r="H33" i="200"/>
  <c r="F34" i="200" s="1"/>
  <c r="H34" i="200" s="1"/>
  <c r="F35" i="200" s="1"/>
  <c r="H35" i="200" s="1"/>
  <c r="H32" i="201"/>
  <c r="F33" i="201" s="1"/>
  <c r="H33" i="201" s="1"/>
  <c r="F37" i="230" l="1"/>
  <c r="H37" i="230" s="1"/>
  <c r="F36" i="200"/>
  <c r="H36" i="200" s="1"/>
  <c r="F34" i="201"/>
  <c r="H34" i="201" s="1"/>
  <c r="F37" i="200" l="1"/>
  <c r="F38" i="230"/>
  <c r="F35" i="201"/>
  <c r="H35" i="201" s="1"/>
  <c r="H37" i="200" l="1"/>
  <c r="H38" i="230"/>
  <c r="H38" i="200"/>
  <c r="F39" i="200" s="1"/>
  <c r="F36" i="201"/>
  <c r="H36" i="201" s="1"/>
  <c r="F39" i="230" l="1"/>
  <c r="H39" i="230" s="1"/>
  <c r="F37" i="201"/>
  <c r="H39" i="200"/>
  <c r="F40" i="230" l="1"/>
  <c r="H40" i="230" s="1"/>
  <c r="H37" i="201"/>
  <c r="H38" i="201"/>
  <c r="F39" i="201" s="1"/>
  <c r="F40" i="200"/>
  <c r="H40" i="200" s="1"/>
  <c r="F41" i="230" l="1"/>
  <c r="H39" i="201"/>
  <c r="F41" i="200"/>
  <c r="H41" i="200" l="1"/>
  <c r="H41" i="230"/>
  <c r="F40" i="201"/>
  <c r="H40" i="201" s="1"/>
  <c r="F42" i="200"/>
  <c r="H42" i="200" s="1"/>
  <c r="F42" i="230" l="1"/>
  <c r="F41" i="201"/>
  <c r="F43" i="200"/>
  <c r="H43" i="200" s="1"/>
  <c r="H42" i="230" l="1"/>
  <c r="H41" i="201"/>
  <c r="F42" i="201"/>
  <c r="H42" i="201" s="1"/>
  <c r="F43" i="230" l="1"/>
  <c r="F43" i="201"/>
  <c r="H43" i="201" s="1"/>
  <c r="H43" i="230" l="1"/>
  <c r="H51" i="230" l="1"/>
</calcChain>
</file>

<file path=xl/comments1.xml><?xml version="1.0" encoding="utf-8"?>
<comments xmlns="http://schemas.openxmlformats.org/spreadsheetml/2006/main">
  <authors>
    <author>D.DeCoria</author>
  </authors>
  <commentList>
    <comment ref="E17" author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Jennifer Gross</author>
  </authors>
  <commentList>
    <comment ref="C10" authorId="0">
      <text>
        <r>
          <rPr>
            <b/>
            <sz val="9"/>
            <color indexed="81"/>
            <rFont val="Tahoma"/>
            <family val="2"/>
          </rPr>
          <t>Jennifer Gross:</t>
        </r>
        <r>
          <rPr>
            <sz val="9"/>
            <color indexed="81"/>
            <rFont val="Tahoma"/>
            <family val="2"/>
          </rPr>
          <t xml:space="preserve">
</t>
        </r>
      </text>
    </comment>
  </commentList>
</comments>
</file>

<file path=xl/comments3.xml><?xml version="1.0" encoding="utf-8"?>
<comments xmlns="http://schemas.openxmlformats.org/spreadsheetml/2006/main">
  <authors>
    <author>D.DeCoria</author>
  </authors>
  <commentList>
    <comment ref="E12" authorId="0">
      <text>
        <r>
          <rPr>
            <b/>
            <sz val="8"/>
            <color indexed="81"/>
            <rFont val="Tahoma"/>
            <family val="2"/>
          </rPr>
          <t>D.DeCoria:</t>
        </r>
        <r>
          <rPr>
            <sz val="8"/>
            <color indexed="81"/>
            <rFont val="Tahoma"/>
            <family val="2"/>
          </rPr>
          <t xml:space="preserve">
Source AmortWA</t>
        </r>
      </text>
    </comment>
    <comment ref="E25" authorId="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authors>
    <author>D.DeCoria</author>
  </authors>
  <commentList>
    <comment ref="C4" authorId="0">
      <text>
        <r>
          <rPr>
            <b/>
            <sz val="8"/>
            <color indexed="81"/>
            <rFont val="Tahoma"/>
            <family val="2"/>
          </rPr>
          <t>D.DeCoria:</t>
        </r>
        <r>
          <rPr>
            <sz val="8"/>
            <color indexed="81"/>
            <rFont val="Tahoma"/>
            <family val="2"/>
          </rPr>
          <t xml:space="preserve">
Normally is all customers. For 11/1/2010-10/31/2011 is core</t>
        </r>
      </text>
    </comment>
    <comment ref="E12" authorId="0">
      <text>
        <r>
          <rPr>
            <b/>
            <sz val="8"/>
            <color indexed="81"/>
            <rFont val="Tahoma"/>
            <family val="2"/>
          </rPr>
          <t>D.DeCoria:</t>
        </r>
        <r>
          <rPr>
            <sz val="8"/>
            <color indexed="81"/>
            <rFont val="Tahoma"/>
            <family val="2"/>
          </rPr>
          <t xml:space="preserve">
Source AmortWA</t>
        </r>
      </text>
    </comment>
    <comment ref="E25" authorId="0">
      <text>
        <r>
          <rPr>
            <b/>
            <sz val="8"/>
            <color indexed="81"/>
            <rFont val="Tahoma"/>
            <family val="2"/>
          </rPr>
          <t>D.DeCoria:</t>
        </r>
        <r>
          <rPr>
            <sz val="8"/>
            <color indexed="81"/>
            <rFont val="Tahoma"/>
            <family val="2"/>
          </rPr>
          <t xml:space="preserve">
Source AmortWA</t>
        </r>
      </text>
    </comment>
    <comment ref="E35" authorId="0">
      <text>
        <r>
          <rPr>
            <b/>
            <sz val="8"/>
            <color indexed="81"/>
            <rFont val="Tahoma"/>
            <family val="2"/>
          </rPr>
          <t>D.DeCoria:</t>
        </r>
        <r>
          <rPr>
            <sz val="8"/>
            <color indexed="81"/>
            <rFont val="Tahoma"/>
            <family val="2"/>
          </rPr>
          <t xml:space="preserve">
Source AmortWA</t>
        </r>
      </text>
    </comment>
  </commentList>
</comments>
</file>

<file path=xl/comments5.xml><?xml version="1.0" encoding="utf-8"?>
<comments xmlns="http://schemas.openxmlformats.org/spreadsheetml/2006/main">
  <authors>
    <author>D.DeCoria</author>
  </authors>
  <commentList>
    <comment ref="E18" authorId="0">
      <text>
        <r>
          <rPr>
            <b/>
            <sz val="8"/>
            <color indexed="81"/>
            <rFont val="Tahoma"/>
            <family val="2"/>
          </rPr>
          <t>D.DeCoria:</t>
        </r>
        <r>
          <rPr>
            <sz val="8"/>
            <color indexed="81"/>
            <rFont val="Tahoma"/>
            <family val="2"/>
          </rPr>
          <t xml:space="preserve">
Source AmortWA</t>
        </r>
      </text>
    </comment>
  </commentList>
</comments>
</file>

<file path=xl/comments6.xml><?xml version="1.0" encoding="utf-8"?>
<comments xmlns="http://schemas.openxmlformats.org/spreadsheetml/2006/main">
  <authors>
    <author>D.DeCoria</author>
  </authors>
  <commentList>
    <comment ref="D9" authorId="0">
      <text>
        <r>
          <rPr>
            <b/>
            <sz val="8"/>
            <color indexed="81"/>
            <rFont val="Tahoma"/>
            <family val="2"/>
          </rPr>
          <t>To define a name:
Formulas ribbon
Highlight area
Define Name
Type in FERCINTYY
OK
SHOW FORMULAS ON FORMULA RIBBON</t>
        </r>
      </text>
    </comment>
  </commentList>
</comments>
</file>

<file path=xl/comments7.xml><?xml version="1.0" encoding="utf-8"?>
<comments xmlns="http://schemas.openxmlformats.org/spreadsheetml/2006/main">
  <authors>
    <author>Hjoyowid</author>
  </authors>
  <commentList>
    <comment ref="M4" authorId="0">
      <text>
        <r>
          <rPr>
            <sz val="14"/>
            <color indexed="81"/>
            <rFont val="Tahoma"/>
            <family val="2"/>
          </rPr>
          <t>Rate schedules 9xx</t>
        </r>
      </text>
    </comment>
  </commentList>
</comments>
</file>

<file path=xl/sharedStrings.xml><?xml version="1.0" encoding="utf-8"?>
<sst xmlns="http://schemas.openxmlformats.org/spreadsheetml/2006/main" count="363" uniqueCount="130">
  <si>
    <t>Adjustments</t>
  </si>
  <si>
    <t>Deferred Balance</t>
  </si>
  <si>
    <t>Interest</t>
  </si>
  <si>
    <t>Total</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</si>
  <si>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</si>
  <si>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</si>
  <si>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</si>
  <si>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</si>
  <si>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</si>
  <si>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</si>
  <si>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</si>
  <si>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</si>
  <si>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</si>
  <si>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</si>
  <si>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</si>
  <si>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</si>
  <si>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</si>
  <si>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</si>
  <si>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</si>
  <si>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</si>
  <si>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</si>
  <si>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</si>
  <si>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</si>
  <si>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</si>
  <si>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</si>
  <si>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Noncore</t>
  </si>
  <si>
    <t xml:space="preserve">Washington Residential Conservation Program </t>
  </si>
  <si>
    <t>47WA.6011.28051</t>
  </si>
  <si>
    <t>47WA.2530.01253</t>
  </si>
  <si>
    <t>47WA.2530.01254</t>
  </si>
  <si>
    <t>47WA.1862.20430</t>
  </si>
  <si>
    <t>47WA.1862.20444</t>
  </si>
  <si>
    <t>47WA.1862.20449</t>
  </si>
  <si>
    <t>N/A</t>
  </si>
  <si>
    <t>Prorated</t>
  </si>
  <si>
    <t>47WA.1860.20458N</t>
  </si>
  <si>
    <t>Commercial [4810]</t>
  </si>
  <si>
    <t>Residential [4800]</t>
  </si>
  <si>
    <t>Industrial [4809]</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</si>
  <si>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</si>
  <si>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</si>
  <si>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</si>
  <si>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</si>
  <si>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</si>
  <si>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</si>
  <si>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</si>
  <si>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</si>
  <si>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</si>
  <si>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</si>
  <si>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</si>
  <si>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</si>
  <si>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</si>
  <si>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</si>
  <si>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</si>
  <si>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</si>
  <si>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</si>
  <si>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</si>
  <si>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</si>
  <si>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</si>
  <si>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</si>
  <si>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</si>
  <si>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</si>
  <si>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</si>
  <si>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</si>
  <si>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</si>
  <si>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</si>
  <si>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</si>
  <si>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47WA.1862.20431</t>
  </si>
  <si>
    <t>To amortize the deferral of 50% of the gas management margins in agreement with the WA rate case settlement and Noncore Consolidated technical adjustments from prior periods.</t>
  </si>
  <si>
    <t xml:space="preserve">To record the amortization of the balance remaining from the CY10 merger commitment of a refund of $672 to Washington customers. </t>
  </si>
  <si>
    <t>n/a</t>
  </si>
  <si>
    <t>Regulatory Liabilities - WUTC imposed CNGC related/ Consolidated Noncore gas costs</t>
  </si>
  <si>
    <t>47WA.1860.20470</t>
  </si>
  <si>
    <t>TRANSP VOLUMES R/S 685/902</t>
  </si>
  <si>
    <t>FERCINT13</t>
  </si>
  <si>
    <t>Balance transferred from RA20430</t>
  </si>
  <si>
    <t>Balance transferred from RA20431</t>
  </si>
  <si>
    <t>Balance transferred from RA20444</t>
  </si>
  <si>
    <t>Balance transferred from RA20449</t>
  </si>
  <si>
    <t>FERCINT14</t>
  </si>
  <si>
    <t>Temporary Revenue Credit Residual Balance from CY13</t>
  </si>
  <si>
    <t>Balance transferred to DG01282</t>
  </si>
  <si>
    <t>Balance transferred from DG01254</t>
  </si>
  <si>
    <t>Balance transferred from DG01253</t>
  </si>
  <si>
    <t>http://www.ferc.gov/enforcement/acct-matts/interest-rates.asp</t>
  </si>
  <si>
    <t>Balance forward 10/31/2013</t>
  </si>
  <si>
    <t>Balance transferred from DG01241</t>
  </si>
  <si>
    <t>11/1/2014 through 10/31/2015</t>
  </si>
  <si>
    <t>11/01/2014 through 10/31/2015</t>
  </si>
  <si>
    <t>SOURCE(S):  CA1501 &amp; CA1501A</t>
  </si>
  <si>
    <t>FERCINT15</t>
  </si>
  <si>
    <t>Balance transferred to RA20472</t>
  </si>
  <si>
    <t>FERCINT16</t>
  </si>
  <si>
    <t>Balance transferred to DG01284</t>
  </si>
  <si>
    <t>47WA.2530.01284</t>
  </si>
  <si>
    <t>09/01/2015 WA Consolidated Technical Adjustments - Gas Cost</t>
  </si>
  <si>
    <t>09/01/2015 - 10/31/2016</t>
  </si>
  <si>
    <t>Consolidation of Core gas cost residual deferral balances per the 09/1/2015 tracker filing</t>
  </si>
  <si>
    <t>Balance transferred from DG01282</t>
  </si>
  <si>
    <t>Balance transferred from DG20479</t>
  </si>
  <si>
    <t>Balance transferred to RA20475</t>
  </si>
  <si>
    <t>12/01/2015 through 10/31/2016</t>
  </si>
  <si>
    <t>12/01/2015 WA Consolidated Technical Adjustments - Conservation</t>
  </si>
  <si>
    <t>47WA.1862.20475</t>
  </si>
  <si>
    <t>12/01/2015 - 10/31/2016</t>
  </si>
  <si>
    <t>Consolidation of Core Conservation deferral balances per the 12/1/2015 tracker filing</t>
  </si>
  <si>
    <t>Balance transferred from RA20472</t>
  </si>
  <si>
    <t>3rd Party Damage</t>
  </si>
  <si>
    <t>Washington Deferrals</t>
  </si>
  <si>
    <t>Month of</t>
  </si>
  <si>
    <t>Commodity</t>
  </si>
  <si>
    <t>Demand</t>
  </si>
  <si>
    <t>Gas Cost Recognized</t>
  </si>
  <si>
    <t xml:space="preserve">   Under the Rates eff 11/1/2014</t>
  </si>
  <si>
    <t xml:space="preserve">   Under the Rates eff 9/1/2015</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</si>
  <si>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</si>
  <si>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</si>
  <si>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</si>
  <si>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</si>
  <si>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</si>
  <si>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</si>
  <si>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</si>
  <si>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</si>
  <si>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</si>
  <si>
    <t>Washington Deferral Accounts</t>
  </si>
  <si>
    <t>Cascade Natural Gas Corporation</t>
  </si>
  <si>
    <t>Washignton Deferral Accounts</t>
  </si>
  <si>
    <t>Page 9 of 13</t>
  </si>
  <si>
    <t>page 10 of 13</t>
  </si>
  <si>
    <t>Page 11 of 13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</si>
</sst>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0000_);\(#,##0.00000\)"/>
    <numFmt numFmtId="165" formatCode="_(* #,##0.00000_);_(* \(#,##0.00000\);_(* &quot;-&quot;??_);_(@_)"/>
    <numFmt numFmtId="166" formatCode="_(* #,##0_);_(* \(#,##0\);_(* &quot;-&quot;??_);_(@_)"/>
    <numFmt numFmtId="167" formatCode="mm/dd/yy;@"/>
    <numFmt numFmtId="168" formatCode="[$-409]mmm\-yy;@"/>
    <numFmt numFmtId="169" formatCode="m/d/yy;@"/>
    <numFmt numFmtId="170" formatCode="[$-409]mmmm\-yy;@"/>
  </numFmts>
  <fonts count="35" x14ac:knownFonts="1">
    <font>
      <sz val="12"/>
      <name val="Helv"/>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sz val="10"/>
      <name val="Arial"/>
      <family val="2"/>
    </font>
    <font>
      <u/>
      <sz val="9.6"/>
      <color indexed="12"/>
      <name val="Helv"/>
    </font>
    <font>
      <sz val="14"/>
      <color indexed="81"/>
      <name val="Tahoma"/>
      <family val="2"/>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9"/>
      <color indexed="81"/>
      <name val="Tahoma"/>
      <family val="2"/>
    </font>
    <font>
      <b/>
      <sz val="9"/>
      <color indexed="81"/>
      <name val="Tahoma"/>
      <family val="2"/>
    </font>
    <font>
      <sz val="8"/>
      <name val="Arial"/>
      <family val="2"/>
    </font>
    <font>
      <b/>
      <sz val="10"/>
      <name val="Arial"/>
      <family val="2"/>
    </font>
    <font>
      <sz val="10"/>
      <name val="Arial"/>
      <family val="2"/>
    </font>
    <font>
      <sz val="9.5"/>
      <name val="Arial"/>
      <family val="2"/>
    </font>
    <font>
      <b/>
      <sz val="9"/>
      <name val="Arial"/>
      <family val="2"/>
    </font>
    <font>
      <u/>
      <sz val="9"/>
      <name val="Arial"/>
      <family val="2"/>
    </font>
    <font>
      <sz val="9"/>
      <name val="Arial"/>
      <family val="2"/>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s>
  <borders count="35">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26">
    <xf numFmtId="39" fontId="0" fillId="0" borderId="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3" fillId="0" borderId="0"/>
    <xf numFmtId="39" fontId="8" fillId="0" borderId="0"/>
    <xf numFmtId="0" fontId="5" fillId="0" borderId="0"/>
    <xf numFmtId="10" fontId="12" fillId="0" borderId="0"/>
    <xf numFmtId="0" fontId="9" fillId="0" borderId="0"/>
    <xf numFmtId="9"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0" fontId="30" fillId="0" borderId="0"/>
    <xf numFmtId="43" fontId="1"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9" fontId="5" fillId="0" borderId="0" applyFont="0" applyFill="0" applyBorder="0" applyAlignment="0" applyProtection="0"/>
  </cellStyleXfs>
  <cellXfs count="288">
    <xf numFmtId="39" fontId="0" fillId="0" borderId="0" xfId="0"/>
    <xf numFmtId="39" fontId="14" fillId="0" borderId="0" xfId="0" applyFont="1"/>
    <xf numFmtId="39" fontId="14" fillId="0" borderId="0" xfId="0" applyFont="1" applyBorder="1" applyAlignment="1">
      <alignment horizontal="left" vertical="top"/>
    </xf>
    <xf numFmtId="39" fontId="14" fillId="0" borderId="0" xfId="0" applyFont="1" applyBorder="1" applyAlignment="1">
      <alignment horizontal="left" wrapText="1"/>
    </xf>
    <xf numFmtId="39" fontId="14" fillId="0" borderId="0" xfId="0" applyNumberFormat="1" applyFont="1" applyAlignment="1" applyProtection="1">
      <alignment horizontal="left"/>
    </xf>
    <xf numFmtId="39" fontId="15" fillId="0" borderId="1" xfId="0" applyFont="1" applyBorder="1" applyAlignment="1">
      <alignment horizontal="center" wrapText="1"/>
    </xf>
    <xf numFmtId="39" fontId="15" fillId="0" borderId="1" xfId="0" applyNumberFormat="1" applyFont="1" applyBorder="1" applyAlignment="1" applyProtection="1">
      <alignment horizontal="center" wrapText="1"/>
    </xf>
    <xf numFmtId="0" fontId="14" fillId="0" borderId="0" xfId="9" applyFont="1"/>
    <xf numFmtId="39" fontId="14" fillId="0" borderId="0" xfId="0" applyNumberFormat="1" applyFont="1" applyAlignment="1" applyProtection="1">
      <alignment horizontal="left"/>
      <protection locked="0"/>
    </xf>
    <xf numFmtId="39" fontId="14" fillId="0" borderId="0" xfId="0" applyFont="1" applyFill="1"/>
    <xf numFmtId="39" fontId="14" fillId="0" borderId="0" xfId="0" applyFont="1" applyAlignment="1">
      <alignment horizontal="left"/>
    </xf>
    <xf numFmtId="39" fontId="19" fillId="0" borderId="0" xfId="0" applyNumberFormat="1" applyFont="1" applyProtection="1">
      <protection locked="0"/>
    </xf>
    <xf numFmtId="39" fontId="20" fillId="0" borderId="0" xfId="0" applyFont="1"/>
    <xf numFmtId="39" fontId="14" fillId="0" borderId="0" xfId="0" applyNumberFormat="1" applyFont="1" applyAlignment="1" applyProtection="1">
      <alignment horizontal="right"/>
    </xf>
    <xf numFmtId="10" fontId="14" fillId="0" borderId="2" xfId="14" applyNumberFormat="1" applyFont="1" applyBorder="1" applyAlignment="1">
      <alignment horizontal="center"/>
    </xf>
    <xf numFmtId="10" fontId="14" fillId="0" borderId="0" xfId="14" applyNumberFormat="1" applyFont="1" applyBorder="1" applyAlignment="1">
      <alignment horizontal="center"/>
    </xf>
    <xf numFmtId="10" fontId="14" fillId="0" borderId="1" xfId="14" applyNumberFormat="1" applyFont="1" applyBorder="1" applyAlignment="1">
      <alignment horizontal="center"/>
    </xf>
    <xf numFmtId="39" fontId="21" fillId="0" borderId="0" xfId="0" applyFont="1" applyAlignment="1">
      <alignment horizontal="left"/>
    </xf>
    <xf numFmtId="39" fontId="22" fillId="0" borderId="0" xfId="7" applyNumberFormat="1" applyFont="1" applyAlignment="1" applyProtection="1">
      <alignment horizontal="left"/>
    </xf>
    <xf numFmtId="37" fontId="14" fillId="0" borderId="1" xfId="0" applyNumberFormat="1" applyFont="1" applyBorder="1" applyAlignment="1">
      <alignment horizontal="center"/>
    </xf>
    <xf numFmtId="37" fontId="14" fillId="0" borderId="0" xfId="0" applyNumberFormat="1" applyFont="1" applyBorder="1" applyAlignment="1">
      <alignment horizontal="center"/>
    </xf>
    <xf numFmtId="37" fontId="14" fillId="0" borderId="2" xfId="0" applyNumberFormat="1" applyFont="1" applyBorder="1" applyAlignment="1">
      <alignment horizontal="center"/>
    </xf>
    <xf numFmtId="39" fontId="14" fillId="0" borderId="0" xfId="0" applyFont="1"/>
    <xf numFmtId="39" fontId="15" fillId="0" borderId="1" xfId="0" applyNumberFormat="1" applyFont="1" applyBorder="1" applyAlignment="1" applyProtection="1">
      <alignment horizontal="center" wrapText="1"/>
    </xf>
    <xf numFmtId="39" fontId="14" fillId="0" borderId="0" xfId="0" applyFont="1" applyAlignment="1">
      <alignment horizontal="left"/>
    </xf>
    <xf numFmtId="39" fontId="14" fillId="0" borderId="11" xfId="0" applyNumberFormat="1" applyFont="1" applyBorder="1" applyAlignment="1" applyProtection="1">
      <alignment horizontal="left"/>
      <protection locked="0"/>
    </xf>
    <xf numFmtId="39" fontId="14" fillId="0" borderId="11" xfId="0" applyFont="1" applyBorder="1"/>
    <xf numFmtId="39" fontId="15" fillId="0" borderId="1" xfId="0" applyFont="1" applyBorder="1" applyAlignment="1">
      <alignment horizontal="center"/>
    </xf>
    <xf numFmtId="39" fontId="14" fillId="0" borderId="0" xfId="0" applyFont="1" applyBorder="1" applyAlignment="1">
      <alignment horizontal="left" vertical="top"/>
    </xf>
    <xf numFmtId="39" fontId="14" fillId="0" borderId="0" xfId="0" applyFont="1" applyBorder="1" applyAlignment="1">
      <alignment horizontal="left" wrapText="1"/>
    </xf>
    <xf numFmtId="39" fontId="14" fillId="0" borderId="0" xfId="0" applyNumberFormat="1" applyFont="1" applyAlignment="1" applyProtection="1">
      <alignment horizontal="left"/>
    </xf>
    <xf numFmtId="39" fontId="15" fillId="0" borderId="1" xfId="0" applyFont="1" applyBorder="1" applyAlignment="1">
      <alignment horizontal="center" wrapText="1"/>
    </xf>
    <xf numFmtId="39" fontId="15" fillId="0" borderId="1" xfId="0" applyNumberFormat="1" applyFont="1" applyBorder="1" applyAlignment="1" applyProtection="1">
      <alignment horizontal="center" wrapText="1"/>
    </xf>
    <xf numFmtId="39" fontId="14" fillId="0" borderId="0" xfId="0" applyNumberFormat="1" applyFont="1" applyAlignment="1" applyProtection="1">
      <alignment horizontal="left"/>
      <protection locked="0"/>
    </xf>
    <xf numFmtId="39" fontId="14" fillId="0" borderId="0" xfId="0" applyFont="1" applyFill="1" applyBorder="1"/>
    <xf numFmtId="39" fontId="15" fillId="0" borderId="0" xfId="0" applyFont="1" applyAlignment="1">
      <alignment wrapText="1"/>
    </xf>
    <xf numFmtId="39" fontId="15" fillId="0" borderId="1" xfId="0" applyFont="1" applyBorder="1"/>
    <xf numFmtId="17" fontId="15" fillId="0" borderId="14" xfId="1" applyNumberFormat="1" applyFont="1" applyBorder="1" applyProtection="1"/>
    <xf numFmtId="39" fontId="14" fillId="0" borderId="0" xfId="0" applyFont="1"/>
    <xf numFmtId="39" fontId="15" fillId="0" borderId="1" xfId="0" applyFont="1" applyBorder="1" applyAlignment="1">
      <alignment horizontal="center"/>
    </xf>
    <xf numFmtId="39" fontId="23" fillId="0" borderId="0" xfId="0" applyFont="1"/>
    <xf numFmtId="39" fontId="24" fillId="0" borderId="15" xfId="0" applyNumberFormat="1" applyFont="1" applyBorder="1" applyAlignment="1" applyProtection="1">
      <alignment horizontal="center" wrapText="1"/>
    </xf>
    <xf numFmtId="166" fontId="23" fillId="0" borderId="0" xfId="1" applyNumberFormat="1" applyFont="1" applyAlignment="1">
      <alignment horizontal="center"/>
    </xf>
    <xf numFmtId="166" fontId="23" fillId="0" borderId="1" xfId="1" applyNumberFormat="1" applyFont="1" applyBorder="1" applyAlignment="1">
      <alignment horizontal="center"/>
    </xf>
    <xf numFmtId="39" fontId="23" fillId="0" borderId="0" xfId="0" applyFont="1" applyAlignment="1">
      <alignment horizontal="center"/>
    </xf>
    <xf numFmtId="39" fontId="23" fillId="0" borderId="13" xfId="0" applyFont="1" applyBorder="1"/>
    <xf numFmtId="37" fontId="17" fillId="0" borderId="15" xfId="0" applyNumberFormat="1" applyFont="1" applyBorder="1" applyAlignment="1" applyProtection="1">
      <alignment horizontal="center" wrapText="1"/>
    </xf>
    <xf numFmtId="166" fontId="16" fillId="0" borderId="0" xfId="1" applyNumberFormat="1" applyFont="1"/>
    <xf numFmtId="37" fontId="16" fillId="0" borderId="0" xfId="0" applyNumberFormat="1" applyFont="1"/>
    <xf numFmtId="37" fontId="17" fillId="0" borderId="16" xfId="0" applyNumberFormat="1" applyFont="1" applyBorder="1" applyAlignment="1" applyProtection="1">
      <alignment horizontal="center" wrapText="1"/>
    </xf>
    <xf numFmtId="37" fontId="16" fillId="0" borderId="7" xfId="0" applyNumberFormat="1" applyFont="1" applyBorder="1"/>
    <xf numFmtId="39" fontId="16" fillId="0" borderId="13" xfId="0" applyFont="1" applyBorder="1"/>
    <xf numFmtId="39" fontId="17" fillId="0" borderId="15" xfId="0" applyNumberFormat="1" applyFont="1" applyBorder="1" applyAlignment="1" applyProtection="1">
      <alignment horizontal="center" wrapText="1"/>
    </xf>
    <xf numFmtId="39" fontId="16" fillId="0" borderId="0" xfId="0" applyFont="1"/>
    <xf numFmtId="39" fontId="16" fillId="0" borderId="8" xfId="0" applyFont="1" applyBorder="1"/>
    <xf numFmtId="37" fontId="16" fillId="0" borderId="0" xfId="0" applyNumberFormat="1" applyFont="1" applyBorder="1"/>
    <xf numFmtId="37" fontId="16" fillId="0" borderId="8" xfId="0" applyNumberFormat="1" applyFont="1" applyBorder="1"/>
    <xf numFmtId="37" fontId="16" fillId="0" borderId="1" xfId="0" applyNumberFormat="1" applyFont="1" applyBorder="1"/>
    <xf numFmtId="37" fontId="16" fillId="0" borderId="9" xfId="0" applyNumberFormat="1" applyFont="1" applyBorder="1"/>
    <xf numFmtId="168" fontId="15" fillId="0" borderId="7" xfId="0" applyNumberFormat="1" applyFont="1" applyBorder="1" applyAlignment="1">
      <alignment shrinkToFit="1"/>
    </xf>
    <xf numFmtId="17" fontId="14" fillId="0" borderId="0" xfId="0" applyNumberFormat="1" applyFont="1" applyAlignment="1">
      <alignment horizontal="right"/>
    </xf>
    <xf numFmtId="39" fontId="14" fillId="0" borderId="0" xfId="0" applyFont="1"/>
    <xf numFmtId="43" fontId="14" fillId="0" borderId="0" xfId="1" applyFont="1"/>
    <xf numFmtId="39" fontId="14" fillId="0" borderId="0" xfId="0" applyFont="1" applyAlignment="1">
      <alignment horizontal="center"/>
    </xf>
    <xf numFmtId="167" fontId="14" fillId="0" borderId="0" xfId="0" applyNumberFormat="1" applyFont="1" applyAlignment="1">
      <alignment horizontal="center"/>
    </xf>
    <xf numFmtId="0" fontId="14" fillId="0" borderId="0" xfId="9" applyFont="1"/>
    <xf numFmtId="17" fontId="14" fillId="0" borderId="0" xfId="9" applyNumberFormat="1" applyFont="1"/>
    <xf numFmtId="39" fontId="14" fillId="0" borderId="0" xfId="9" applyNumberFormat="1" applyFont="1"/>
    <xf numFmtId="39" fontId="14" fillId="0" borderId="0" xfId="9" applyNumberFormat="1" applyFont="1" applyFill="1"/>
    <xf numFmtId="39" fontId="14" fillId="0" borderId="0" xfId="9" applyNumberFormat="1" applyFont="1" applyAlignment="1" applyProtection="1"/>
    <xf numFmtId="43" fontId="18" fillId="0" borderId="0" xfId="1" applyFont="1"/>
    <xf numFmtId="166" fontId="14" fillId="0" borderId="0" xfId="1" applyNumberFormat="1" applyFont="1"/>
    <xf numFmtId="0" fontId="18" fillId="0" borderId="0" xfId="9" applyFont="1"/>
    <xf numFmtId="169" fontId="14" fillId="0" borderId="0" xfId="0" applyNumberFormat="1" applyFont="1"/>
    <xf numFmtId="39" fontId="14" fillId="0" borderId="0" xfId="9" applyNumberFormat="1" applyFont="1" applyAlignment="1" applyProtection="1">
      <alignment horizontal="fill"/>
    </xf>
    <xf numFmtId="166" fontId="18" fillId="0" borderId="0" xfId="1" applyNumberFormat="1" applyFont="1"/>
    <xf numFmtId="39" fontId="18" fillId="0" borderId="0" xfId="9" applyNumberFormat="1" applyFont="1"/>
    <xf numFmtId="39" fontId="14" fillId="0" borderId="0" xfId="0" applyFont="1" applyFill="1"/>
    <xf numFmtId="39" fontId="14" fillId="0" borderId="0" xfId="0" applyNumberFormat="1" applyFont="1" applyAlignment="1" applyProtection="1"/>
    <xf numFmtId="39" fontId="14" fillId="0" borderId="0" xfId="0" applyNumberFormat="1" applyFont="1" applyProtection="1"/>
    <xf numFmtId="164" fontId="14" fillId="0" borderId="0" xfId="0" applyNumberFormat="1" applyFont="1"/>
    <xf numFmtId="39" fontId="14" fillId="0" borderId="0" xfId="0" applyFont="1" applyBorder="1"/>
    <xf numFmtId="164" fontId="14" fillId="0" borderId="0" xfId="9" applyNumberFormat="1" applyFont="1" applyBorder="1" applyAlignment="1">
      <alignment horizontal="center"/>
    </xf>
    <xf numFmtId="17" fontId="14" fillId="0" borderId="0" xfId="0" applyNumberFormat="1" applyFont="1" applyBorder="1"/>
    <xf numFmtId="39" fontId="14" fillId="0" borderId="0" xfId="9" applyNumberFormat="1" applyFont="1" applyFill="1" applyBorder="1"/>
    <xf numFmtId="39" fontId="14" fillId="0" borderId="0" xfId="9" applyNumberFormat="1" applyFont="1" applyBorder="1"/>
    <xf numFmtId="39" fontId="14" fillId="0" borderId="0" xfId="9" applyNumberFormat="1" applyFont="1" applyBorder="1" applyAlignment="1" applyProtection="1"/>
    <xf numFmtId="43" fontId="14" fillId="0" borderId="0" xfId="1" applyFont="1" applyBorder="1"/>
    <xf numFmtId="169" fontId="14" fillId="0" borderId="0" xfId="0" applyNumberFormat="1" applyFont="1" applyBorder="1"/>
    <xf numFmtId="0" fontId="18" fillId="2" borderId="0" xfId="9" applyFont="1" applyFill="1"/>
    <xf numFmtId="39" fontId="14" fillId="2" borderId="0" xfId="9" applyNumberFormat="1" applyFont="1" applyFill="1" applyBorder="1"/>
    <xf numFmtId="37" fontId="23" fillId="0" borderId="0" xfId="0" applyNumberFormat="1" applyFont="1" applyBorder="1"/>
    <xf numFmtId="37" fontId="23" fillId="0" borderId="1" xfId="0" applyNumberFormat="1" applyFont="1" applyBorder="1"/>
    <xf numFmtId="37" fontId="23" fillId="0" borderId="13" xfId="0" applyNumberFormat="1" applyFont="1" applyBorder="1"/>
    <xf numFmtId="37" fontId="23" fillId="0" borderId="14" xfId="0" applyNumberFormat="1" applyFont="1" applyBorder="1"/>
    <xf numFmtId="166" fontId="14" fillId="0" borderId="0" xfId="1" applyNumberFormat="1" applyFont="1" applyFill="1" applyBorder="1"/>
    <xf numFmtId="0" fontId="18" fillId="0" borderId="0" xfId="9" applyFont="1" applyFill="1"/>
    <xf numFmtId="39" fontId="14" fillId="0" borderId="0" xfId="0" applyNumberFormat="1" applyFont="1" applyFill="1" applyProtection="1"/>
    <xf numFmtId="168" fontId="14" fillId="0" borderId="0" xfId="0" applyNumberFormat="1" applyFont="1"/>
    <xf numFmtId="39" fontId="10" fillId="0" borderId="0" xfId="7" applyNumberFormat="1" applyAlignment="1" applyProtection="1">
      <alignment horizontal="left"/>
    </xf>
    <xf numFmtId="37" fontId="14" fillId="0" borderId="0" xfId="9" applyNumberFormat="1" applyFont="1"/>
    <xf numFmtId="39" fontId="14" fillId="0" borderId="0" xfId="0" applyFont="1"/>
    <xf numFmtId="39" fontId="15" fillId="0" borderId="1" xfId="0" applyFont="1" applyBorder="1" applyAlignment="1">
      <alignment horizontal="center"/>
    </xf>
    <xf numFmtId="39" fontId="14" fillId="0" borderId="0" xfId="0" applyFont="1" applyBorder="1" applyAlignment="1">
      <alignment horizontal="left" vertical="top"/>
    </xf>
    <xf numFmtId="39" fontId="14" fillId="0" borderId="0" xfId="0" applyFont="1" applyBorder="1" applyAlignment="1">
      <alignment horizontal="left" wrapText="1"/>
    </xf>
    <xf numFmtId="39" fontId="14" fillId="0" borderId="0" xfId="0" applyNumberFormat="1" applyFont="1" applyAlignment="1" applyProtection="1">
      <alignment horizontal="left"/>
    </xf>
    <xf numFmtId="39" fontId="15" fillId="0" borderId="1" xfId="0" applyFont="1" applyBorder="1" applyAlignment="1">
      <alignment horizontal="center" wrapText="1"/>
    </xf>
    <xf numFmtId="43" fontId="14" fillId="0" borderId="0" xfId="1" applyFont="1"/>
    <xf numFmtId="39" fontId="14" fillId="0" borderId="0" xfId="0" applyFont="1" applyAlignment="1">
      <alignment horizontal="center"/>
    </xf>
    <xf numFmtId="167" fontId="14" fillId="0" borderId="0" xfId="0" applyNumberFormat="1" applyFont="1" applyAlignment="1">
      <alignment horizontal="center"/>
    </xf>
    <xf numFmtId="39" fontId="15" fillId="0" borderId="1" xfId="0" applyNumberFormat="1" applyFont="1" applyBorder="1" applyAlignment="1" applyProtection="1">
      <alignment horizontal="center" wrapText="1"/>
    </xf>
    <xf numFmtId="39" fontId="14" fillId="0" borderId="0" xfId="0" applyNumberFormat="1" applyFont="1" applyAlignment="1" applyProtection="1">
      <alignment horizontal="left"/>
      <protection locked="0"/>
    </xf>
    <xf numFmtId="43" fontId="18" fillId="0" borderId="0" xfId="1" applyFont="1"/>
    <xf numFmtId="165" fontId="18" fillId="0" borderId="0" xfId="1" applyNumberFormat="1" applyFont="1"/>
    <xf numFmtId="166" fontId="14" fillId="0" borderId="0" xfId="1" applyNumberFormat="1" applyFont="1"/>
    <xf numFmtId="169" fontId="14" fillId="0" borderId="0" xfId="0" applyNumberFormat="1" applyFont="1"/>
    <xf numFmtId="43" fontId="18" fillId="0" borderId="0" xfId="1" applyFont="1" applyFill="1"/>
    <xf numFmtId="39" fontId="14" fillId="0" borderId="0" xfId="0" applyFont="1" applyFill="1"/>
    <xf numFmtId="39" fontId="14" fillId="0" borderId="0" xfId="0" applyNumberFormat="1" applyFont="1" applyAlignment="1" applyProtection="1"/>
    <xf numFmtId="39" fontId="14" fillId="0" borderId="0" xfId="0" applyNumberFormat="1" applyFont="1" applyProtection="1"/>
    <xf numFmtId="164" fontId="14" fillId="0" borderId="0" xfId="0" applyNumberFormat="1" applyFont="1"/>
    <xf numFmtId="39" fontId="14" fillId="2" borderId="0" xfId="0" applyFont="1" applyFill="1"/>
    <xf numFmtId="166" fontId="14" fillId="0" borderId="0" xfId="1" applyNumberFormat="1" applyFont="1" applyBorder="1"/>
    <xf numFmtId="39" fontId="14" fillId="0" borderId="0" xfId="0" applyFont="1" applyBorder="1"/>
    <xf numFmtId="17" fontId="14" fillId="0" borderId="0" xfId="0" applyNumberFormat="1" applyFont="1" applyBorder="1"/>
    <xf numFmtId="166" fontId="18" fillId="0" borderId="0" xfId="1" applyNumberFormat="1" applyFont="1"/>
    <xf numFmtId="43" fontId="18" fillId="0" borderId="0" xfId="1" applyFont="1" applyBorder="1"/>
    <xf numFmtId="43" fontId="14" fillId="0" borderId="0" xfId="1" applyFont="1" applyBorder="1"/>
    <xf numFmtId="169" fontId="14" fillId="0" borderId="0" xfId="0" applyNumberFormat="1" applyFont="1" applyBorder="1"/>
    <xf numFmtId="168" fontId="14" fillId="0" borderId="5" xfId="11" applyNumberFormat="1" applyFont="1" applyBorder="1" applyAlignment="1">
      <alignment horizontal="center" vertical="top"/>
    </xf>
    <xf numFmtId="168" fontId="14" fillId="0" borderId="7" xfId="11" applyNumberFormat="1" applyFont="1" applyBorder="1" applyAlignment="1">
      <alignment horizontal="center" vertical="top"/>
    </xf>
    <xf numFmtId="168" fontId="14" fillId="0" borderId="9" xfId="11" applyNumberFormat="1" applyFont="1" applyBorder="1" applyAlignment="1">
      <alignment horizontal="center" vertical="top"/>
    </xf>
    <xf numFmtId="39" fontId="14" fillId="0" borderId="1" xfId="9" applyNumberFormat="1" applyFont="1" applyBorder="1"/>
    <xf numFmtId="37" fontId="16" fillId="0" borderId="14" xfId="0" applyNumberFormat="1" applyFont="1" applyBorder="1"/>
    <xf numFmtId="166" fontId="16" fillId="0" borderId="1" xfId="1" applyNumberFormat="1" applyFont="1" applyBorder="1"/>
    <xf numFmtId="37" fontId="16" fillId="0" borderId="10" xfId="0" applyNumberFormat="1" applyFont="1" applyBorder="1"/>
    <xf numFmtId="39" fontId="15" fillId="0" borderId="0" xfId="12" applyNumberFormat="1" applyFont="1"/>
    <xf numFmtId="0" fontId="30" fillId="0" borderId="0" xfId="20"/>
    <xf numFmtId="39" fontId="8" fillId="0" borderId="0" xfId="0" applyFont="1"/>
    <xf numFmtId="39" fontId="0" fillId="0" borderId="0" xfId="0"/>
    <xf numFmtId="39" fontId="14" fillId="0" borderId="0" xfId="0" applyFont="1" applyFill="1"/>
    <xf numFmtId="43" fontId="18" fillId="0" borderId="0" xfId="1" applyFont="1" applyFill="1"/>
    <xf numFmtId="0" fontId="5" fillId="0" borderId="0" xfId="20" applyFont="1"/>
    <xf numFmtId="0" fontId="5" fillId="0" borderId="0" xfId="20" applyFont="1" applyAlignment="1">
      <alignment horizontal="center"/>
    </xf>
    <xf numFmtId="0" fontId="28" fillId="0" borderId="0" xfId="20" applyFont="1" applyAlignment="1">
      <alignment horizontal="left"/>
    </xf>
    <xf numFmtId="44" fontId="5" fillId="0" borderId="0" xfId="20" applyNumberFormat="1" applyFont="1"/>
    <xf numFmtId="0" fontId="29" fillId="0" borderId="0" xfId="20" applyFont="1" applyAlignment="1">
      <alignment horizontal="center" vertical="center"/>
    </xf>
    <xf numFmtId="0" fontId="5" fillId="0" borderId="1" xfId="20" applyFont="1" applyBorder="1" applyAlignment="1">
      <alignment horizontal="center"/>
    </xf>
    <xf numFmtId="0" fontId="4" fillId="0" borderId="0" xfId="20" applyFont="1"/>
    <xf numFmtId="170" fontId="4" fillId="0" borderId="0" xfId="20" applyNumberFormat="1" applyFont="1" applyBorder="1" applyAlignment="1">
      <alignment horizontal="left"/>
    </xf>
    <xf numFmtId="170" fontId="4" fillId="0" borderId="0" xfId="20" applyNumberFormat="1" applyFont="1" applyBorder="1" applyAlignment="1"/>
    <xf numFmtId="0" fontId="30" fillId="0" borderId="0" xfId="20" applyAlignment="1">
      <alignment horizontal="left"/>
    </xf>
    <xf numFmtId="0" fontId="5" fillId="0" borderId="17" xfId="20" applyFont="1" applyBorder="1" applyAlignment="1">
      <alignment horizontal="center"/>
    </xf>
    <xf numFmtId="17" fontId="14" fillId="0" borderId="0" xfId="0" applyNumberFormat="1" applyFont="1" applyFill="1" applyBorder="1"/>
    <xf numFmtId="165" fontId="18" fillId="0" borderId="0" xfId="1" applyNumberFormat="1" applyFont="1" applyFill="1"/>
    <xf numFmtId="0" fontId="31" fillId="0" borderId="0" xfId="20" applyFont="1"/>
    <xf numFmtId="0" fontId="31" fillId="0" borderId="0" xfId="20" applyFont="1" applyBorder="1"/>
    <xf numFmtId="0" fontId="32" fillId="4" borderId="0" xfId="20" applyFont="1" applyFill="1" applyBorder="1"/>
    <xf numFmtId="0" fontId="33" fillId="4" borderId="0" xfId="20" applyFont="1" applyFill="1" applyBorder="1" applyAlignment="1">
      <alignment horizontal="center"/>
    </xf>
    <xf numFmtId="0" fontId="33" fillId="4" borderId="29" xfId="20" applyFont="1" applyFill="1" applyBorder="1" applyAlignment="1">
      <alignment horizontal="center"/>
    </xf>
    <xf numFmtId="0" fontId="32" fillId="4" borderId="1" xfId="20" applyFont="1" applyFill="1" applyBorder="1"/>
    <xf numFmtId="0" fontId="34" fillId="4" borderId="1" xfId="20" applyFont="1" applyFill="1" applyBorder="1" applyAlignment="1">
      <alignment horizontal="center"/>
    </xf>
    <xf numFmtId="0" fontId="34" fillId="4" borderId="30" xfId="20" applyFont="1" applyFill="1" applyBorder="1" applyAlignment="1">
      <alignment horizontal="center"/>
    </xf>
    <xf numFmtId="0" fontId="34" fillId="0" borderId="0" xfId="20" applyFont="1" applyAlignment="1">
      <alignment horizontal="left" indent="1"/>
    </xf>
    <xf numFmtId="0" fontId="34" fillId="0" borderId="0" xfId="20" applyFont="1"/>
    <xf numFmtId="0" fontId="33" fillId="0" borderId="0" xfId="20" applyFont="1" applyAlignment="1">
      <alignment horizontal="center"/>
    </xf>
    <xf numFmtId="0" fontId="33" fillId="0" borderId="29" xfId="20" applyFont="1" applyBorder="1" applyAlignment="1">
      <alignment horizontal="center"/>
    </xf>
    <xf numFmtId="44" fontId="34" fillId="0" borderId="0" xfId="20" applyNumberFormat="1" applyFont="1" applyBorder="1" applyAlignment="1">
      <alignment horizontal="center"/>
    </xf>
    <xf numFmtId="44" fontId="34" fillId="0" borderId="29" xfId="20" applyNumberFormat="1" applyFont="1" applyBorder="1" applyAlignment="1">
      <alignment horizontal="center"/>
    </xf>
    <xf numFmtId="44" fontId="34" fillId="0" borderId="0" xfId="20" applyNumberFormat="1" applyFont="1" applyBorder="1"/>
    <xf numFmtId="44" fontId="34" fillId="0" borderId="1" xfId="20" applyNumberFormat="1" applyFont="1" applyFill="1" applyBorder="1" applyAlignment="1">
      <alignment horizontal="center"/>
    </xf>
    <xf numFmtId="44" fontId="34" fillId="0" borderId="30" xfId="20" applyNumberFormat="1" applyFont="1" applyBorder="1" applyAlignment="1">
      <alignment horizontal="center"/>
    </xf>
    <xf numFmtId="44" fontId="34" fillId="0" borderId="1" xfId="20" applyNumberFormat="1" applyFont="1" applyBorder="1"/>
    <xf numFmtId="44" fontId="34" fillId="3" borderId="0" xfId="20" applyNumberFormat="1" applyFont="1" applyFill="1" applyBorder="1" applyAlignment="1">
      <alignment horizontal="center"/>
    </xf>
    <xf numFmtId="44" fontId="34" fillId="3" borderId="1" xfId="6" applyFont="1" applyFill="1" applyBorder="1"/>
    <xf numFmtId="44" fontId="34" fillId="3" borderId="33" xfId="6" applyFont="1" applyFill="1" applyBorder="1"/>
    <xf numFmtId="44" fontId="34" fillId="0" borderId="30" xfId="6" applyFont="1" applyBorder="1"/>
    <xf numFmtId="44" fontId="34" fillId="3" borderId="0" xfId="6" applyFont="1" applyFill="1"/>
    <xf numFmtId="44" fontId="34" fillId="3" borderId="34" xfId="6" applyFont="1" applyFill="1" applyBorder="1"/>
    <xf numFmtId="44" fontId="34" fillId="0" borderId="34" xfId="6" applyFont="1" applyBorder="1"/>
    <xf numFmtId="44" fontId="34" fillId="0" borderId="0" xfId="6" applyFont="1"/>
    <xf numFmtId="44" fontId="34" fillId="3" borderId="0" xfId="6" applyFont="1" applyFill="1" applyBorder="1"/>
    <xf numFmtId="44" fontId="34" fillId="3" borderId="3" xfId="6" applyFont="1" applyFill="1" applyBorder="1"/>
    <xf numFmtId="44" fontId="34" fillId="0" borderId="3" xfId="6" applyFont="1" applyBorder="1"/>
    <xf numFmtId="44" fontId="34" fillId="0" borderId="0" xfId="20" applyNumberFormat="1" applyFont="1"/>
    <xf numFmtId="0" fontId="34" fillId="0" borderId="1" xfId="20" applyFont="1" applyBorder="1" applyAlignment="1">
      <alignment horizontal="left" indent="1"/>
    </xf>
    <xf numFmtId="0" fontId="34" fillId="0" borderId="1" xfId="20" applyFont="1" applyBorder="1"/>
    <xf numFmtId="44" fontId="34" fillId="0" borderId="29" xfId="6" applyFont="1" applyBorder="1"/>
    <xf numFmtId="0" fontId="34" fillId="0" borderId="15" xfId="20" applyFont="1" applyBorder="1" applyAlignment="1">
      <alignment horizontal="left" indent="1"/>
    </xf>
    <xf numFmtId="0" fontId="34" fillId="0" borderId="15" xfId="20" applyFont="1" applyBorder="1"/>
    <xf numFmtId="44" fontId="34" fillId="0" borderId="15" xfId="20" applyNumberFormat="1" applyFont="1" applyBorder="1"/>
    <xf numFmtId="44" fontId="34" fillId="0" borderId="31" xfId="20" applyNumberFormat="1" applyFont="1" applyBorder="1"/>
    <xf numFmtId="0" fontId="34" fillId="0" borderId="29" xfId="20" applyFont="1" applyBorder="1"/>
    <xf numFmtId="166" fontId="34" fillId="0" borderId="0" xfId="24" applyNumberFormat="1" applyFont="1"/>
    <xf numFmtId="44" fontId="34" fillId="0" borderId="0" xfId="20" applyNumberFormat="1" applyFont="1" applyAlignment="1">
      <alignment horizontal="center"/>
    </xf>
    <xf numFmtId="0" fontId="34" fillId="0" borderId="0" xfId="20" applyFont="1" applyAlignment="1">
      <alignment horizontal="center"/>
    </xf>
    <xf numFmtId="49" fontId="33" fillId="0" borderId="0" xfId="20" applyNumberFormat="1" applyFont="1" applyAlignment="1">
      <alignment horizontal="center"/>
    </xf>
    <xf numFmtId="49" fontId="33" fillId="0" borderId="29" xfId="20" applyNumberFormat="1" applyFont="1" applyBorder="1" applyAlignment="1">
      <alignment horizontal="center"/>
    </xf>
    <xf numFmtId="44" fontId="34" fillId="0" borderId="29" xfId="20" applyNumberFormat="1" applyFont="1" applyBorder="1"/>
    <xf numFmtId="44" fontId="34" fillId="0" borderId="0" xfId="20" applyNumberFormat="1" applyFont="1" applyAlignment="1">
      <alignment horizontal="right"/>
    </xf>
    <xf numFmtId="0" fontId="34" fillId="0" borderId="0" xfId="20" applyFont="1" applyAlignment="1">
      <alignment horizontal="right"/>
    </xf>
    <xf numFmtId="0" fontId="34" fillId="0" borderId="32" xfId="20" applyFont="1" applyBorder="1" applyAlignment="1">
      <alignment horizontal="center"/>
    </xf>
    <xf numFmtId="39" fontId="14" fillId="0" borderId="0" xfId="0" applyFont="1" applyBorder="1" applyAlignment="1">
      <alignment horizontal="right"/>
    </xf>
    <xf numFmtId="39" fontId="25" fillId="0" borderId="0" xfId="0" applyFont="1" applyAlignment="1">
      <alignment horizontal="center"/>
    </xf>
    <xf numFmtId="39" fontId="14" fillId="0" borderId="23" xfId="0" applyFont="1" applyBorder="1" applyAlignment="1">
      <alignment horizontal="left" vertical="top"/>
    </xf>
    <xf numFmtId="39" fontId="14" fillId="0" borderId="24" xfId="0" applyFont="1" applyBorder="1" applyAlignment="1">
      <alignment horizontal="left" vertical="top"/>
    </xf>
    <xf numFmtId="39" fontId="14" fillId="0" borderId="24" xfId="0" applyFont="1" applyBorder="1" applyAlignment="1">
      <alignment horizontal="left" vertical="top" wrapText="1"/>
    </xf>
    <xf numFmtId="39" fontId="14" fillId="0" borderId="25" xfId="0" applyFont="1" applyBorder="1" applyAlignment="1">
      <alignment horizontal="left" vertical="top" wrapText="1"/>
    </xf>
    <xf numFmtId="17" fontId="14" fillId="0" borderId="0" xfId="0" applyNumberFormat="1" applyFont="1" applyBorder="1" applyAlignment="1">
      <alignment horizontal="right"/>
    </xf>
    <xf numFmtId="39" fontId="14" fillId="0" borderId="7" xfId="0" applyNumberFormat="1" applyFont="1" applyBorder="1" applyAlignment="1" applyProtection="1">
      <alignment horizontal="left"/>
    </xf>
    <xf numFmtId="39" fontId="14" fillId="0" borderId="0" xfId="0" applyNumberFormat="1" applyFont="1" applyBorder="1" applyAlignment="1" applyProtection="1">
      <alignment horizontal="left"/>
    </xf>
    <xf numFmtId="39" fontId="14" fillId="0" borderId="2" xfId="0" applyNumberFormat="1" applyFont="1" applyBorder="1" applyAlignment="1" applyProtection="1">
      <alignment horizontal="left"/>
      <protection locked="0"/>
    </xf>
    <xf numFmtId="39" fontId="14" fillId="0" borderId="6" xfId="0" applyNumberFormat="1" applyFont="1" applyBorder="1" applyAlignment="1" applyProtection="1">
      <alignment horizontal="left"/>
      <protection locked="0"/>
    </xf>
    <xf numFmtId="39" fontId="14" fillId="0" borderId="0" xfId="0" applyNumberFormat="1" applyFont="1" applyBorder="1" applyAlignment="1" applyProtection="1">
      <alignment horizontal="left"/>
      <protection locked="0"/>
    </xf>
    <xf numFmtId="39" fontId="14" fillId="0" borderId="8" xfId="0" applyNumberFormat="1" applyFont="1" applyBorder="1" applyAlignment="1" applyProtection="1">
      <alignment horizontal="left"/>
      <protection locked="0"/>
    </xf>
    <xf numFmtId="39" fontId="14" fillId="0" borderId="0" xfId="0" applyNumberFormat="1" applyFont="1" applyFill="1" applyBorder="1" applyAlignment="1" applyProtection="1">
      <alignment horizontal="left"/>
      <protection locked="0"/>
    </xf>
    <xf numFmtId="39" fontId="14" fillId="0" borderId="8" xfId="0" applyNumberFormat="1" applyFont="1" applyFill="1" applyBorder="1" applyAlignment="1" applyProtection="1">
      <alignment horizontal="left"/>
      <protection locked="0"/>
    </xf>
    <xf numFmtId="39" fontId="14" fillId="0" borderId="5" xfId="0" applyNumberFormat="1" applyFont="1" applyBorder="1" applyAlignment="1" applyProtection="1">
      <alignment horizontal="left"/>
    </xf>
    <xf numFmtId="39" fontId="14" fillId="0" borderId="2" xfId="0" applyNumberFormat="1" applyFont="1" applyBorder="1" applyAlignment="1" applyProtection="1">
      <alignment horizontal="left"/>
    </xf>
    <xf numFmtId="39" fontId="14" fillId="0" borderId="20" xfId="0" applyNumberFormat="1" applyFont="1" applyBorder="1" applyAlignment="1" applyProtection="1">
      <alignment horizontal="left"/>
    </xf>
    <xf numFmtId="39" fontId="14" fillId="0" borderId="0" xfId="0" applyNumberFormat="1" applyFont="1" applyBorder="1" applyAlignment="1" applyProtection="1">
      <protection locked="0"/>
    </xf>
    <xf numFmtId="39" fontId="14" fillId="0" borderId="3" xfId="0" applyNumberFormat="1" applyFont="1" applyBorder="1" applyAlignment="1" applyProtection="1">
      <protection locked="0"/>
    </xf>
    <xf numFmtId="39" fontId="14" fillId="0" borderId="3" xfId="0" applyNumberFormat="1" applyFont="1" applyBorder="1" applyAlignment="1" applyProtection="1">
      <alignment horizontal="left"/>
      <protection locked="0"/>
    </xf>
    <xf numFmtId="39" fontId="14" fillId="0" borderId="26" xfId="0" applyFont="1" applyBorder="1" applyAlignment="1">
      <alignment horizontal="left" vertical="top"/>
    </xf>
    <xf numFmtId="39" fontId="14" fillId="0" borderId="27" xfId="0" applyFont="1" applyBorder="1" applyAlignment="1">
      <alignment horizontal="left" vertical="top"/>
    </xf>
    <xf numFmtId="39" fontId="14" fillId="0" borderId="27" xfId="0" applyFont="1" applyBorder="1" applyAlignment="1">
      <alignment horizontal="left" vertical="top" wrapText="1"/>
    </xf>
    <xf numFmtId="39" fontId="14" fillId="0" borderId="28" xfId="0" applyFont="1" applyBorder="1" applyAlignment="1">
      <alignment horizontal="left" vertical="top" wrapText="1"/>
    </xf>
    <xf numFmtId="39" fontId="14" fillId="0" borderId="4" xfId="0" applyNumberFormat="1" applyFont="1" applyBorder="1" applyAlignment="1" applyProtection="1">
      <alignment horizontal="left"/>
      <protection locked="0"/>
    </xf>
    <xf numFmtId="39" fontId="14" fillId="0" borderId="19" xfId="0" applyNumberFormat="1" applyFont="1" applyBorder="1" applyAlignment="1" applyProtection="1">
      <alignment horizontal="left"/>
      <protection locked="0"/>
    </xf>
    <xf numFmtId="39" fontId="14" fillId="0" borderId="3" xfId="0" applyNumberFormat="1" applyFont="1" applyFill="1" applyBorder="1" applyAlignment="1" applyProtection="1">
      <alignment horizontal="left"/>
      <protection locked="0"/>
    </xf>
    <xf numFmtId="39" fontId="14" fillId="0" borderId="18" xfId="0" applyNumberFormat="1" applyFont="1" applyBorder="1" applyAlignment="1" applyProtection="1">
      <alignment horizontal="left"/>
    </xf>
    <xf numFmtId="39" fontId="14" fillId="0" borderId="4" xfId="0" applyNumberFormat="1" applyFont="1" applyBorder="1" applyAlignment="1" applyProtection="1">
      <alignment horizontal="left"/>
    </xf>
    <xf numFmtId="39" fontId="14" fillId="0" borderId="0" xfId="9" applyNumberFormat="1" applyFont="1" applyAlignment="1">
      <alignment horizontal="right"/>
    </xf>
    <xf numFmtId="39" fontId="14" fillId="0" borderId="27" xfId="9" applyNumberFormat="1" applyFont="1" applyBorder="1" applyAlignment="1">
      <alignment horizontal="left" vertical="top" wrapText="1"/>
    </xf>
    <xf numFmtId="39" fontId="14" fillId="0" borderId="28" xfId="9" applyNumberFormat="1" applyFont="1" applyBorder="1" applyAlignment="1">
      <alignment horizontal="left" vertical="top" wrapText="1"/>
    </xf>
    <xf numFmtId="39" fontId="14" fillId="0" borderId="0" xfId="9" applyNumberFormat="1" applyFont="1" applyFill="1" applyBorder="1" applyAlignment="1" applyProtection="1">
      <alignment horizontal="left"/>
      <protection locked="0"/>
    </xf>
    <xf numFmtId="39" fontId="14" fillId="0" borderId="3" xfId="9" applyNumberFormat="1" applyFont="1" applyFill="1" applyBorder="1" applyAlignment="1" applyProtection="1">
      <alignment horizontal="left"/>
      <protection locked="0"/>
    </xf>
    <xf numFmtId="39" fontId="14" fillId="0" borderId="4" xfId="9" applyNumberFormat="1" applyFont="1" applyBorder="1" applyAlignment="1" applyProtection="1">
      <alignment horizontal="left"/>
      <protection locked="0"/>
    </xf>
    <xf numFmtId="39" fontId="14" fillId="0" borderId="19" xfId="9" applyNumberFormat="1" applyFont="1" applyBorder="1" applyAlignment="1" applyProtection="1">
      <alignment horizontal="left"/>
      <protection locked="0"/>
    </xf>
    <xf numFmtId="39" fontId="14" fillId="0" borderId="0" xfId="9" applyNumberFormat="1" applyFont="1" applyBorder="1" applyAlignment="1" applyProtection="1">
      <alignment horizontal="left"/>
      <protection locked="0"/>
    </xf>
    <xf numFmtId="39" fontId="14" fillId="0" borderId="3" xfId="9" applyNumberFormat="1" applyFont="1" applyBorder="1" applyAlignment="1" applyProtection="1">
      <alignment horizontal="left"/>
      <protection locked="0"/>
    </xf>
    <xf numFmtId="0" fontId="4" fillId="0" borderId="0" xfId="20" applyFont="1" applyAlignment="1"/>
    <xf numFmtId="0" fontId="5" fillId="0" borderId="1" xfId="20" applyFont="1" applyBorder="1" applyAlignment="1">
      <alignment horizontal="center"/>
    </xf>
    <xf numFmtId="39" fontId="14" fillId="0" borderId="4" xfId="0" applyNumberFormat="1" applyFont="1" applyBorder="1" applyAlignment="1" applyProtection="1">
      <protection locked="0"/>
    </xf>
    <xf numFmtId="39" fontId="14" fillId="0" borderId="19" xfId="0" applyNumberFormat="1" applyFont="1" applyBorder="1" applyAlignment="1" applyProtection="1">
      <protection locked="0"/>
    </xf>
    <xf numFmtId="39" fontId="14" fillId="0" borderId="0" xfId="0" applyNumberFormat="1" applyFont="1" applyFill="1" applyBorder="1" applyAlignment="1" applyProtection="1">
      <protection locked="0"/>
    </xf>
    <xf numFmtId="39" fontId="14" fillId="0" borderId="3" xfId="0" applyNumberFormat="1" applyFont="1" applyFill="1" applyBorder="1" applyAlignment="1" applyProtection="1">
      <protection locked="0"/>
    </xf>
    <xf numFmtId="39" fontId="14" fillId="0" borderId="26" xfId="0" applyFont="1" applyBorder="1" applyAlignment="1">
      <alignment horizontal="left"/>
    </xf>
    <xf numFmtId="39" fontId="14" fillId="0" borderId="27" xfId="0" applyFont="1" applyBorder="1" applyAlignment="1">
      <alignment horizontal="left"/>
    </xf>
    <xf numFmtId="39" fontId="14" fillId="0" borderId="27" xfId="0" applyFont="1" applyBorder="1" applyAlignment="1">
      <alignment horizontal="left" wrapText="1"/>
    </xf>
    <xf numFmtId="39" fontId="14" fillId="0" borderId="28" xfId="0" applyFont="1" applyBorder="1" applyAlignment="1">
      <alignment horizontal="left" wrapText="1"/>
    </xf>
    <xf numFmtId="39" fontId="14" fillId="0" borderId="4" xfId="9" applyNumberFormat="1" applyFont="1" applyBorder="1" applyAlignment="1" applyProtection="1">
      <protection locked="0"/>
    </xf>
    <xf numFmtId="39" fontId="14" fillId="0" borderId="19" xfId="9" applyNumberFormat="1" applyFont="1" applyBorder="1" applyAlignment="1" applyProtection="1">
      <protection locked="0"/>
    </xf>
    <xf numFmtId="38" fontId="14" fillId="0" borderId="27" xfId="12" applyNumberFormat="1" applyFont="1" applyBorder="1" applyAlignment="1" applyProtection="1">
      <alignment horizontal="left" vertical="top" wrapText="1"/>
      <protection locked="0"/>
    </xf>
    <xf numFmtId="38" fontId="14" fillId="0" borderId="28" xfId="12" applyNumberFormat="1" applyFont="1" applyBorder="1" applyAlignment="1" applyProtection="1">
      <alignment horizontal="left" vertical="top" wrapText="1"/>
      <protection locked="0"/>
    </xf>
    <xf numFmtId="38" fontId="14" fillId="0" borderId="0" xfId="13" applyNumberFormat="1" applyFont="1" applyBorder="1" applyAlignment="1" applyProtection="1">
      <protection locked="0"/>
    </xf>
    <xf numFmtId="38" fontId="14" fillId="0" borderId="3" xfId="13" applyNumberFormat="1" applyFont="1" applyBorder="1" applyAlignment="1" applyProtection="1">
      <protection locked="0"/>
    </xf>
    <xf numFmtId="38" fontId="14" fillId="0" borderId="0" xfId="13" applyNumberFormat="1" applyFont="1" applyBorder="1" applyAlignment="1" applyProtection="1">
      <alignment horizontal="left"/>
      <protection locked="0"/>
    </xf>
    <xf numFmtId="38" fontId="14" fillId="0" borderId="3" xfId="13" applyNumberFormat="1" applyFont="1" applyBorder="1" applyAlignment="1" applyProtection="1">
      <alignment horizontal="left"/>
      <protection locked="0"/>
    </xf>
    <xf numFmtId="38" fontId="14" fillId="0" borderId="4" xfId="13" applyNumberFormat="1" applyFont="1" applyBorder="1" applyAlignment="1" applyProtection="1">
      <protection locked="0"/>
    </xf>
    <xf numFmtId="38" fontId="14" fillId="0" borderId="19" xfId="13" applyNumberFormat="1" applyFont="1" applyBorder="1" applyAlignment="1" applyProtection="1">
      <protection locked="0"/>
    </xf>
    <xf numFmtId="39" fontId="14" fillId="0" borderId="0" xfId="0" applyFont="1" applyFill="1" applyBorder="1" applyAlignment="1">
      <alignment horizontal="right"/>
    </xf>
    <xf numFmtId="39" fontId="14" fillId="0" borderId="12" xfId="0" applyFont="1" applyBorder="1" applyAlignment="1">
      <alignment horizontal="center" vertical="center" textRotation="90"/>
    </xf>
    <xf numFmtId="39" fontId="14" fillId="0" borderId="13" xfId="0" applyFont="1" applyBorder="1" applyAlignment="1">
      <alignment horizontal="center" vertical="center" textRotation="90"/>
    </xf>
    <xf numFmtId="39" fontId="14" fillId="0" borderId="14" xfId="0" applyFont="1" applyBorder="1" applyAlignment="1">
      <alignment horizontal="center" vertical="center" textRotation="90"/>
    </xf>
    <xf numFmtId="39" fontId="17" fillId="0" borderId="6" xfId="0" applyNumberFormat="1" applyFont="1" applyBorder="1" applyAlignment="1" applyProtection="1">
      <alignment horizontal="center" wrapText="1"/>
    </xf>
    <xf numFmtId="39" fontId="17" fillId="0" borderId="10" xfId="0" applyNumberFormat="1" applyFont="1" applyBorder="1" applyAlignment="1" applyProtection="1">
      <alignment horizontal="center" wrapText="1"/>
    </xf>
    <xf numFmtId="39" fontId="21" fillId="0" borderId="18" xfId="0" applyFont="1" applyBorder="1" applyAlignment="1">
      <alignment horizontal="left"/>
    </xf>
    <xf numFmtId="39" fontId="21" fillId="0" borderId="4" xfId="0" applyFont="1" applyBorder="1" applyAlignment="1">
      <alignment horizontal="left"/>
    </xf>
    <xf numFmtId="39" fontId="21" fillId="0" borderId="19" xfId="0" applyFont="1" applyBorder="1" applyAlignment="1">
      <alignment horizontal="left"/>
    </xf>
    <xf numFmtId="39" fontId="21" fillId="0" borderId="20" xfId="0" applyFont="1" applyBorder="1" applyAlignment="1">
      <alignment horizontal="left"/>
    </xf>
    <xf numFmtId="39" fontId="21" fillId="0" borderId="17" xfId="0" applyFont="1" applyBorder="1" applyAlignment="1">
      <alignment horizontal="left"/>
    </xf>
    <xf numFmtId="39" fontId="21" fillId="0" borderId="21" xfId="0" applyFont="1" applyBorder="1" applyAlignment="1">
      <alignment horizontal="left"/>
    </xf>
    <xf numFmtId="39" fontId="15" fillId="0" borderId="12" xfId="0" applyNumberFormat="1" applyFont="1" applyBorder="1" applyAlignment="1" applyProtection="1">
      <alignment horizontal="center" wrapText="1"/>
    </xf>
    <xf numFmtId="39" fontId="15" fillId="0" borderId="14" xfId="0" applyNumberFormat="1" applyFont="1" applyBorder="1" applyAlignment="1" applyProtection="1">
      <alignment horizontal="center" wrapText="1"/>
    </xf>
    <xf numFmtId="37" fontId="15" fillId="0" borderId="16" xfId="0" applyNumberFormat="1" applyFont="1" applyBorder="1" applyAlignment="1">
      <alignment horizontal="center"/>
    </xf>
    <xf numFmtId="37" fontId="15" fillId="0" borderId="15" xfId="0" applyNumberFormat="1" applyFont="1" applyBorder="1" applyAlignment="1">
      <alignment horizontal="center"/>
    </xf>
    <xf numFmtId="37" fontId="15" fillId="0" borderId="22" xfId="0" applyNumberFormat="1" applyFont="1" applyBorder="1" applyAlignment="1">
      <alignment horizontal="center"/>
    </xf>
    <xf numFmtId="39" fontId="24" fillId="0" borderId="5" xfId="0" applyNumberFormat="1" applyFont="1" applyBorder="1" applyAlignment="1" applyProtection="1">
      <alignment horizontal="center" wrapText="1"/>
    </xf>
    <xf numFmtId="39" fontId="24" fillId="0" borderId="9" xfId="0" applyNumberFormat="1" applyFont="1" applyBorder="1" applyAlignment="1" applyProtection="1">
      <alignment horizontal="center" wrapText="1"/>
    </xf>
    <xf numFmtId="39" fontId="17" fillId="0" borderId="12" xfId="0" applyNumberFormat="1" applyFont="1" applyBorder="1" applyAlignment="1" applyProtection="1">
      <alignment horizontal="center" wrapText="1"/>
    </xf>
    <xf numFmtId="39" fontId="17" fillId="0" borderId="14" xfId="0" applyNumberFormat="1" applyFont="1" applyBorder="1" applyAlignment="1" applyProtection="1">
      <alignment horizontal="center" wrapText="1"/>
    </xf>
    <xf numFmtId="39" fontId="24" fillId="0" borderId="6" xfId="0" applyNumberFormat="1" applyFont="1" applyBorder="1" applyAlignment="1" applyProtection="1">
      <alignment horizontal="center" wrapText="1"/>
    </xf>
    <xf numFmtId="39" fontId="24" fillId="0" borderId="10" xfId="0" applyNumberFormat="1" applyFont="1" applyBorder="1" applyAlignment="1" applyProtection="1">
      <alignment horizontal="center" wrapText="1"/>
    </xf>
    <xf numFmtId="39" fontId="15" fillId="0" borderId="16" xfId="0" applyNumberFormat="1" applyFont="1" applyBorder="1" applyAlignment="1" applyProtection="1">
      <alignment horizontal="center"/>
    </xf>
    <xf numFmtId="39" fontId="15" fillId="0" borderId="15" xfId="0" applyNumberFormat="1" applyFont="1" applyBorder="1" applyAlignment="1" applyProtection="1">
      <alignment horizontal="center"/>
    </xf>
    <xf numFmtId="39" fontId="24" fillId="0" borderId="12" xfId="0" applyNumberFormat="1" applyFont="1" applyBorder="1" applyAlignment="1" applyProtection="1">
      <alignment horizontal="center" wrapText="1"/>
    </xf>
    <xf numFmtId="39" fontId="24" fillId="0" borderId="14" xfId="0" applyNumberFormat="1" applyFont="1" applyBorder="1" applyAlignment="1" applyProtection="1">
      <alignment horizontal="center" wrapText="1"/>
    </xf>
  </cellXfs>
  <cellStyles count="26">
    <cellStyle name="Comma" xfId="1" builtinId="3"/>
    <cellStyle name="Comma 2" xfId="2"/>
    <cellStyle name="Comma 2 2" xfId="3"/>
    <cellStyle name="Comma 2 3" xfId="16"/>
    <cellStyle name="Comma 2 3 2" xfId="21"/>
    <cellStyle name="Comma 2 4" xfId="24"/>
    <cellStyle name="Comma 2 5" xfId="18"/>
    <cellStyle name="Comma 3" xfId="4"/>
    <cellStyle name="Currency 2" xfId="5"/>
    <cellStyle name="Currency 3" xfId="6"/>
    <cellStyle name="Hyperlink" xfId="7" builtinId="8"/>
    <cellStyle name="Hyperlink 2" xfId="8"/>
    <cellStyle name="Normal" xfId="0" builtinId="0"/>
    <cellStyle name="Normal 2" xfId="9"/>
    <cellStyle name="Normal 2 2" xfId="10"/>
    <cellStyle name="Normal 2 3" xfId="17"/>
    <cellStyle name="Normal 2 3 2" xfId="22"/>
    <cellStyle name="Normal 2 4" xfId="23"/>
    <cellStyle name="Normal 2 5" xfId="19"/>
    <cellStyle name="Normal 3" xfId="11"/>
    <cellStyle name="Normal 4" xfId="20"/>
    <cellStyle name="Normal_2002" xfId="12"/>
    <cellStyle name="Normal_DEFSUMOR_2009" xfId="13"/>
    <cellStyle name="Percent" xfId="14" builtinId="5"/>
    <cellStyle name="Percent 2" xfId="15"/>
    <cellStyle name="Percent 2 2" xfId="2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view="pageBreakPreview" zoomScale="115" zoomScaleNormal="75" zoomScaleSheetLayoutView="115" workbookViewId="0">
      <pane xSplit="1" ySplit="10" topLeftCell="B27" activePane="bottomRight" state="frozen"/>
      <selection activeCell="A92" sqref="A92:H93"/>
      <selection pane="topRight" activeCell="A92" sqref="A92:H93"/>
      <selection pane="bottomLeft" activeCell="A92" sqref="A92:H93"/>
      <selection pane="bottomRight" activeCell="H48" sqref="H48"/>
    </sheetView>
  </sheetViews>
  <sheetFormatPr defaultRowHeight="12.75" x14ac:dyDescent="0.2"/>
  <cols>
    <col min="1" max="1" width="9.5546875" style="1" bestFit="1" customWidth="1"/>
    <col min="2" max="2" width="7.77734375" style="1" customWidth="1"/>
    <col min="3" max="3" width="10.77734375" style="1" customWidth="1"/>
    <col min="4" max="4" width="11.109375" style="1" customWidth="1"/>
    <col min="5" max="5" width="9.77734375" style="1" bestFit="1" customWidth="1"/>
    <col min="6" max="6" width="9.33203125" style="1" customWidth="1"/>
    <col min="7" max="7" width="12.109375" style="1" customWidth="1"/>
    <col min="8" max="8" width="12.3320312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17" t="s">
        <v>13</v>
      </c>
      <c r="B1" s="218"/>
      <c r="C1" s="211" t="s">
        <v>14</v>
      </c>
      <c r="D1" s="211"/>
      <c r="E1" s="211"/>
      <c r="F1" s="211"/>
      <c r="G1" s="211"/>
      <c r="H1" s="212"/>
    </row>
    <row r="2" spans="1:12" x14ac:dyDescent="0.2">
      <c r="A2" s="209" t="s">
        <v>16</v>
      </c>
      <c r="B2" s="210"/>
      <c r="C2" s="213" t="s">
        <v>41</v>
      </c>
      <c r="D2" s="213"/>
      <c r="E2" s="213"/>
      <c r="F2" s="213"/>
      <c r="G2" s="213"/>
      <c r="H2" s="214"/>
    </row>
    <row r="3" spans="1:12" x14ac:dyDescent="0.2">
      <c r="A3" s="209" t="s">
        <v>17</v>
      </c>
      <c r="B3" s="210"/>
      <c r="C3" s="213" t="s">
        <v>28</v>
      </c>
      <c r="D3" s="213"/>
      <c r="E3" s="213"/>
      <c r="F3" s="213"/>
      <c r="G3" s="213"/>
      <c r="H3" s="214"/>
    </row>
    <row r="4" spans="1:12" x14ac:dyDescent="0.2">
      <c r="A4" s="209" t="s">
        <v>18</v>
      </c>
      <c r="B4" s="210"/>
      <c r="C4" s="215" t="s">
        <v>19</v>
      </c>
      <c r="D4" s="215"/>
      <c r="E4" s="215"/>
      <c r="F4" s="215"/>
      <c r="G4" s="215"/>
      <c r="H4" s="216"/>
    </row>
    <row r="5" spans="1:12" x14ac:dyDescent="0.2">
      <c r="A5" s="209" t="s">
        <v>20</v>
      </c>
      <c r="B5" s="210"/>
      <c r="C5" s="213" t="s">
        <v>87</v>
      </c>
      <c r="D5" s="213"/>
      <c r="E5" s="213"/>
      <c r="F5" s="213"/>
      <c r="G5" s="213"/>
      <c r="H5" s="214"/>
    </row>
    <row r="6" spans="1:12" x14ac:dyDescent="0.2">
      <c r="A6" s="209" t="s">
        <v>21</v>
      </c>
      <c r="B6" s="210"/>
      <c r="C6" s="213" t="s">
        <v>33</v>
      </c>
      <c r="D6" s="213"/>
      <c r="E6" s="213"/>
      <c r="F6" s="213"/>
      <c r="G6" s="213"/>
      <c r="H6" s="214"/>
    </row>
    <row r="7" spans="1:12" ht="29.25" customHeight="1" x14ac:dyDescent="0.2">
      <c r="A7" s="204" t="s">
        <v>22</v>
      </c>
      <c r="B7" s="205"/>
      <c r="C7" s="206" t="s">
        <v>43</v>
      </c>
      <c r="D7" s="206"/>
      <c r="E7" s="206"/>
      <c r="F7" s="206"/>
      <c r="G7" s="206"/>
      <c r="H7" s="207"/>
    </row>
    <row r="8" spans="1:12" x14ac:dyDescent="0.2">
      <c r="B8" s="11"/>
      <c r="G8" s="136" t="s">
        <v>107</v>
      </c>
    </row>
    <row r="9" spans="1:12" x14ac:dyDescent="0.2">
      <c r="A9" s="4"/>
      <c r="D9" s="203" t="s">
        <v>39</v>
      </c>
      <c r="E9" s="203"/>
      <c r="F9" s="203"/>
    </row>
    <row r="10" spans="1:12" s="5" customFormat="1" x14ac:dyDescent="0.2">
      <c r="A10" s="6" t="s">
        <v>40</v>
      </c>
      <c r="B10" s="6" t="s">
        <v>4</v>
      </c>
      <c r="C10" s="6" t="s">
        <v>12</v>
      </c>
      <c r="D10" s="6" t="s">
        <v>23</v>
      </c>
      <c r="E10" s="6" t="s">
        <v>24</v>
      </c>
      <c r="F10" s="6" t="s">
        <v>2</v>
      </c>
      <c r="G10" s="6" t="s">
        <v>0</v>
      </c>
      <c r="H10" s="6" t="s">
        <v>1</v>
      </c>
      <c r="I10" s="27"/>
      <c r="J10" s="27"/>
      <c r="K10" s="27"/>
      <c r="L10" s="27"/>
    </row>
    <row r="11" spans="1:12" x14ac:dyDescent="0.2">
      <c r="A11" s="208" t="s">
        <v>85</v>
      </c>
      <c r="B11" s="208"/>
      <c r="C11" s="208"/>
      <c r="D11" s="208"/>
      <c r="E11" s="208"/>
      <c r="F11" s="208"/>
      <c r="G11" s="208"/>
      <c r="H11" s="61">
        <v>-1120659.83</v>
      </c>
      <c r="J11" s="61"/>
      <c r="K11" s="63"/>
      <c r="L11" s="64"/>
    </row>
    <row r="12" spans="1:12" x14ac:dyDescent="0.2">
      <c r="A12" s="60">
        <f>'FERC Interest Rates'!A20</f>
        <v>41608</v>
      </c>
      <c r="B12" s="38"/>
      <c r="C12" s="38"/>
      <c r="D12" s="38">
        <v>93596.04</v>
      </c>
      <c r="E12" s="38"/>
      <c r="F12" s="81">
        <f>ROUND(H11*VLOOKUP(A12,FERCINT13,2)/365*VLOOKUP(A12,FERCINT13,3),2)</f>
        <v>-2993.54</v>
      </c>
      <c r="G12" s="38"/>
      <c r="H12" s="61">
        <f t="shared" ref="H12:H24" si="0">H11+SUM(D12:G12)</f>
        <v>-1030057.3300000001</v>
      </c>
      <c r="J12" s="61"/>
      <c r="K12" s="63"/>
      <c r="L12" s="64"/>
    </row>
    <row r="13" spans="1:12" x14ac:dyDescent="0.2">
      <c r="A13" s="60">
        <f>'FERC Interest Rates'!A21</f>
        <v>41639</v>
      </c>
      <c r="D13" s="1">
        <v>-302560.25</v>
      </c>
      <c r="F13" s="81">
        <f t="shared" ref="F13" si="1">ROUND(H12*VLOOKUP(A13,FERCINT13,2)/365*VLOOKUP(A13,FERCINT13,3),2)</f>
        <v>-2843.24</v>
      </c>
      <c r="H13" s="61">
        <f t="shared" si="0"/>
        <v>-1335460.82</v>
      </c>
      <c r="J13" s="61"/>
      <c r="K13" s="63"/>
      <c r="L13" s="64"/>
    </row>
    <row r="14" spans="1:12" x14ac:dyDescent="0.2">
      <c r="A14" s="60">
        <f>'FERC Interest Rates'!A22</f>
        <v>41670</v>
      </c>
      <c r="D14" s="1">
        <v>192476.01</v>
      </c>
      <c r="F14" s="81">
        <f t="shared" ref="F14:F23" si="2">ROUND(H13*VLOOKUP(A14,FERCINT14,2)/365*VLOOKUP(A14,FERCINT14,3),2)</f>
        <v>-3686.24</v>
      </c>
      <c r="H14" s="61">
        <f t="shared" si="0"/>
        <v>-1146671.05</v>
      </c>
      <c r="J14" s="61"/>
      <c r="K14" s="63"/>
      <c r="L14" s="64"/>
    </row>
    <row r="15" spans="1:12" x14ac:dyDescent="0.2">
      <c r="A15" s="60">
        <f>'FERC Interest Rates'!A23</f>
        <v>41698</v>
      </c>
      <c r="D15" s="1">
        <v>1883159.68</v>
      </c>
      <c r="F15" s="81">
        <f t="shared" si="2"/>
        <v>-2858.82</v>
      </c>
      <c r="H15" s="61">
        <f t="shared" si="0"/>
        <v>733629.80999999982</v>
      </c>
      <c r="J15" s="61"/>
      <c r="K15" s="63"/>
      <c r="L15" s="64"/>
    </row>
    <row r="16" spans="1:12" x14ac:dyDescent="0.2">
      <c r="A16" s="60">
        <f>'FERC Interest Rates'!A24</f>
        <v>41729</v>
      </c>
      <c r="D16" s="1">
        <v>1966862.04</v>
      </c>
      <c r="F16" s="81">
        <f t="shared" si="2"/>
        <v>2025.02</v>
      </c>
      <c r="H16" s="61">
        <f t="shared" si="0"/>
        <v>2702516.87</v>
      </c>
      <c r="J16" s="61"/>
      <c r="K16" s="63"/>
      <c r="L16" s="64"/>
    </row>
    <row r="17" spans="1:12" x14ac:dyDescent="0.2">
      <c r="A17" s="60">
        <f>'FERC Interest Rates'!A25</f>
        <v>41759</v>
      </c>
      <c r="D17" s="1">
        <f>-274443.54-10556.4</f>
        <v>-284999.94</v>
      </c>
      <c r="F17" s="81">
        <f t="shared" si="2"/>
        <v>7219.05</v>
      </c>
      <c r="H17" s="61">
        <f t="shared" si="0"/>
        <v>2424735.98</v>
      </c>
      <c r="J17" s="61"/>
      <c r="K17" s="63"/>
      <c r="L17" s="64"/>
    </row>
    <row r="18" spans="1:12" x14ac:dyDescent="0.2">
      <c r="A18" s="60">
        <f>'FERC Interest Rates'!A26</f>
        <v>41790</v>
      </c>
      <c r="D18" s="1">
        <v>1506.11</v>
      </c>
      <c r="F18" s="81">
        <f t="shared" si="2"/>
        <v>6692.94</v>
      </c>
      <c r="H18" s="61">
        <f t="shared" si="0"/>
        <v>2432935.0299999998</v>
      </c>
      <c r="J18" s="61"/>
      <c r="K18" s="63"/>
      <c r="L18" s="64"/>
    </row>
    <row r="19" spans="1:12" x14ac:dyDescent="0.2">
      <c r="A19" s="60">
        <f>'FERC Interest Rates'!A27</f>
        <v>41820</v>
      </c>
      <c r="D19" s="1">
        <v>152709.69</v>
      </c>
      <c r="F19" s="81">
        <f t="shared" si="2"/>
        <v>6498.94</v>
      </c>
      <c r="H19" s="61">
        <f t="shared" si="0"/>
        <v>2592143.6599999997</v>
      </c>
      <c r="J19" s="61"/>
      <c r="K19" s="63"/>
      <c r="L19" s="64"/>
    </row>
    <row r="20" spans="1:12" x14ac:dyDescent="0.2">
      <c r="A20" s="60">
        <f>'FERC Interest Rates'!A28</f>
        <v>41851</v>
      </c>
      <c r="D20" s="1">
        <v>167726.51</v>
      </c>
      <c r="F20" s="81">
        <f t="shared" si="2"/>
        <v>7155.03</v>
      </c>
      <c r="H20" s="61">
        <f t="shared" si="0"/>
        <v>2767025.1999999997</v>
      </c>
      <c r="J20" s="61"/>
      <c r="K20" s="63"/>
      <c r="L20" s="64"/>
    </row>
    <row r="21" spans="1:12" x14ac:dyDescent="0.2">
      <c r="A21" s="60">
        <f>'FERC Interest Rates'!A29</f>
        <v>41882</v>
      </c>
      <c r="D21" s="1">
        <v>-467001.19</v>
      </c>
      <c r="F21" s="81">
        <f t="shared" si="2"/>
        <v>7637.75</v>
      </c>
      <c r="H21" s="61">
        <f t="shared" si="0"/>
        <v>2307661.7599999998</v>
      </c>
      <c r="J21" s="61"/>
      <c r="K21" s="63"/>
      <c r="L21" s="64"/>
    </row>
    <row r="22" spans="1:12" x14ac:dyDescent="0.2">
      <c r="A22" s="60">
        <f>'FERC Interest Rates'!A30</f>
        <v>41912</v>
      </c>
      <c r="D22" s="1">
        <v>-76065.69</v>
      </c>
      <c r="F22" s="81">
        <f t="shared" si="2"/>
        <v>6164.3</v>
      </c>
      <c r="H22" s="61">
        <f t="shared" si="0"/>
        <v>2237760.3699999996</v>
      </c>
      <c r="J22" s="61"/>
      <c r="K22" s="63"/>
      <c r="L22" s="64"/>
    </row>
    <row r="23" spans="1:12" x14ac:dyDescent="0.2">
      <c r="A23" s="60">
        <f>'FERC Interest Rates'!A31</f>
        <v>41943</v>
      </c>
      <c r="D23" s="1">
        <v>-41866.550000000003</v>
      </c>
      <c r="F23" s="81">
        <f t="shared" si="2"/>
        <v>6176.83</v>
      </c>
      <c r="H23" s="62">
        <f t="shared" si="0"/>
        <v>2202070.6499999994</v>
      </c>
      <c r="J23" s="61"/>
      <c r="K23" s="63"/>
      <c r="L23" s="64"/>
    </row>
    <row r="24" spans="1:12" x14ac:dyDescent="0.2">
      <c r="A24" s="202" t="s">
        <v>81</v>
      </c>
      <c r="B24" s="202"/>
      <c r="C24" s="202"/>
      <c r="D24" s="202"/>
      <c r="E24" s="202"/>
      <c r="F24" s="202"/>
      <c r="G24" s="101">
        <v>-2789754.01</v>
      </c>
      <c r="H24" s="62">
        <f t="shared" si="0"/>
        <v>-587683.36000000034</v>
      </c>
    </row>
    <row r="25" spans="1:12" x14ac:dyDescent="0.2">
      <c r="A25" s="60">
        <f>'FERC Interest Rates'!A32</f>
        <v>41973</v>
      </c>
      <c r="D25" s="1">
        <v>-388093.17</v>
      </c>
      <c r="F25" s="81">
        <f t="shared" ref="F25" si="3">ROUND(H24*VLOOKUP(A25,FERCINT14,2)/365*VLOOKUP(A25,FERCINT14,3),2)</f>
        <v>-1569.84</v>
      </c>
      <c r="G25" s="61"/>
      <c r="H25" s="62">
        <f t="shared" ref="H25" si="4">H24+SUM(D25:G25)</f>
        <v>-977346.37000000034</v>
      </c>
      <c r="J25" s="61"/>
      <c r="K25" s="108"/>
      <c r="L25" s="109"/>
    </row>
    <row r="26" spans="1:12" x14ac:dyDescent="0.2">
      <c r="A26" s="60">
        <f>'FERC Interest Rates'!A33</f>
        <v>42004</v>
      </c>
      <c r="D26" s="1">
        <v>50810.48</v>
      </c>
      <c r="F26" s="81">
        <f t="shared" ref="F26" si="5">ROUND(H25*VLOOKUP(A26,FERCINT14,2)/365*VLOOKUP(A26,FERCINT14,3),2)</f>
        <v>-2697.74</v>
      </c>
      <c r="G26" s="61"/>
      <c r="H26" s="62">
        <f t="shared" ref="H26:H51" si="6">H25+SUM(D26:G26)</f>
        <v>-929233.63000000035</v>
      </c>
      <c r="J26" s="61"/>
      <c r="K26" s="108"/>
      <c r="L26" s="109"/>
    </row>
    <row r="27" spans="1:12" x14ac:dyDescent="0.2">
      <c r="A27" s="60">
        <f>'FERC Interest Rates'!A34</f>
        <v>42035</v>
      </c>
      <c r="D27" s="1">
        <v>-1925336.63</v>
      </c>
      <c r="F27" s="81">
        <f t="shared" ref="F27:F39" si="7">ROUND(H26*VLOOKUP(A27,FERCINT15,2)/365*VLOOKUP(A27,FERCINT15,3),2)</f>
        <v>-2564.94</v>
      </c>
      <c r="G27" s="61"/>
      <c r="H27" s="62">
        <f t="shared" si="6"/>
        <v>-2857135.2</v>
      </c>
      <c r="J27" s="61"/>
      <c r="K27" s="108"/>
      <c r="L27" s="109"/>
    </row>
    <row r="28" spans="1:12" x14ac:dyDescent="0.2">
      <c r="A28" s="60">
        <f>'FERC Interest Rates'!A35</f>
        <v>42063</v>
      </c>
      <c r="D28" s="1">
        <v>-1353526.41</v>
      </c>
      <c r="F28" s="81">
        <f t="shared" si="7"/>
        <v>-7123.27</v>
      </c>
      <c r="G28" s="61"/>
      <c r="H28" s="62">
        <f t="shared" si="6"/>
        <v>-4217784.88</v>
      </c>
      <c r="J28" s="61"/>
      <c r="K28" s="108"/>
      <c r="L28" s="109"/>
    </row>
    <row r="29" spans="1:12" x14ac:dyDescent="0.2">
      <c r="A29" s="60">
        <f>'FERC Interest Rates'!A36</f>
        <v>42094</v>
      </c>
      <c r="D29" s="1">
        <v>-1683298.68</v>
      </c>
      <c r="F29" s="81">
        <f t="shared" si="7"/>
        <v>-11642.24</v>
      </c>
      <c r="G29" s="61"/>
      <c r="H29" s="62">
        <f t="shared" si="6"/>
        <v>-5912725.7999999998</v>
      </c>
      <c r="J29" s="61"/>
      <c r="K29" s="108"/>
      <c r="L29" s="109"/>
    </row>
    <row r="30" spans="1:12" x14ac:dyDescent="0.2">
      <c r="A30" s="60">
        <f>'FERC Interest Rates'!A37</f>
        <v>42124</v>
      </c>
      <c r="D30" s="1">
        <v>-1792191.55</v>
      </c>
      <c r="F30" s="81">
        <f t="shared" si="7"/>
        <v>-15794.27</v>
      </c>
      <c r="G30" s="61"/>
      <c r="H30" s="62">
        <f t="shared" si="6"/>
        <v>-7720711.6200000001</v>
      </c>
      <c r="J30" s="61"/>
      <c r="K30" s="108"/>
      <c r="L30" s="109"/>
    </row>
    <row r="31" spans="1:12" x14ac:dyDescent="0.2">
      <c r="A31" s="60">
        <f>'FERC Interest Rates'!A38</f>
        <v>42155</v>
      </c>
      <c r="D31" s="1">
        <v>-1388193.03</v>
      </c>
      <c r="F31" s="81">
        <f t="shared" si="7"/>
        <v>-21311.279999999999</v>
      </c>
      <c r="G31" s="61"/>
      <c r="H31" s="62">
        <f t="shared" si="6"/>
        <v>-9130215.9299999997</v>
      </c>
      <c r="J31" s="61"/>
      <c r="K31" s="108"/>
      <c r="L31" s="109"/>
    </row>
    <row r="32" spans="1:12" x14ac:dyDescent="0.2">
      <c r="A32" s="60">
        <f>'FERC Interest Rates'!A39</f>
        <v>42185</v>
      </c>
      <c r="D32" s="1">
        <v>26234.13</v>
      </c>
      <c r="F32" s="81">
        <f t="shared" si="7"/>
        <v>-24388.93</v>
      </c>
      <c r="G32" s="61"/>
      <c r="H32" s="62">
        <f t="shared" si="6"/>
        <v>-9128370.7300000004</v>
      </c>
      <c r="J32" s="61"/>
      <c r="K32" s="108"/>
      <c r="L32" s="109"/>
    </row>
    <row r="33" spans="1:12" x14ac:dyDescent="0.2">
      <c r="A33" s="60">
        <f>'FERC Interest Rates'!A40</f>
        <v>42216</v>
      </c>
      <c r="D33" s="1">
        <v>-864942.07999999996</v>
      </c>
      <c r="F33" s="81">
        <f t="shared" si="7"/>
        <v>-25196.799999999999</v>
      </c>
      <c r="G33" s="61"/>
      <c r="H33" s="62">
        <f t="shared" si="6"/>
        <v>-10018509.610000001</v>
      </c>
      <c r="J33" s="61"/>
      <c r="K33" s="108"/>
      <c r="L33" s="109"/>
    </row>
    <row r="34" spans="1:12" x14ac:dyDescent="0.2">
      <c r="A34" s="60">
        <f>'FERC Interest Rates'!A41</f>
        <v>42247</v>
      </c>
      <c r="D34" s="1">
        <v>-127139.21</v>
      </c>
      <c r="F34" s="81">
        <f t="shared" si="7"/>
        <v>-27653.83</v>
      </c>
      <c r="G34" s="61"/>
      <c r="H34" s="62">
        <f t="shared" si="6"/>
        <v>-10173302.65</v>
      </c>
      <c r="J34" s="61"/>
      <c r="K34" s="108"/>
      <c r="L34" s="109"/>
    </row>
    <row r="35" spans="1:12" s="101" customFormat="1" x14ac:dyDescent="0.2">
      <c r="A35" s="202" t="s">
        <v>93</v>
      </c>
      <c r="B35" s="202"/>
      <c r="C35" s="202"/>
      <c r="D35" s="202"/>
      <c r="E35" s="202"/>
      <c r="F35" s="202"/>
      <c r="G35" s="101">
        <v>9178833.8800000008</v>
      </c>
      <c r="H35" s="107">
        <f t="shared" si="6"/>
        <v>-994468.76999999955</v>
      </c>
      <c r="K35" s="108"/>
      <c r="L35" s="109"/>
    </row>
    <row r="36" spans="1:12" x14ac:dyDescent="0.2">
      <c r="A36" s="60">
        <f>'FERC Interest Rates'!A42</f>
        <v>42277</v>
      </c>
      <c r="D36" s="1">
        <v>-585536.48</v>
      </c>
      <c r="F36" s="81">
        <f>ROUND(H35*VLOOKUP(A36,FERCINT15,2)/365*VLOOKUP(A36,FERCINT15,3),2)</f>
        <v>-2656.46</v>
      </c>
      <c r="G36" s="61"/>
      <c r="H36" s="107">
        <f t="shared" si="6"/>
        <v>-1582661.7099999995</v>
      </c>
      <c r="J36" s="61"/>
      <c r="K36" s="108"/>
      <c r="L36" s="109"/>
    </row>
    <row r="37" spans="1:12" x14ac:dyDescent="0.2">
      <c r="A37" s="60">
        <f>'FERC Interest Rates'!A43</f>
        <v>42308</v>
      </c>
      <c r="D37" s="1">
        <v>-465803</v>
      </c>
      <c r="F37" s="81">
        <f t="shared" si="7"/>
        <v>-4368.58</v>
      </c>
      <c r="G37" s="61"/>
      <c r="H37" s="107">
        <f>H36+SUM(D37:G37)</f>
        <v>-2052833.2899999996</v>
      </c>
      <c r="J37" s="61"/>
      <c r="K37" s="108"/>
      <c r="L37" s="109"/>
    </row>
    <row r="38" spans="1:12" x14ac:dyDescent="0.2">
      <c r="A38" s="60">
        <f>'FERC Interest Rates'!A44</f>
        <v>42338</v>
      </c>
      <c r="D38" s="1">
        <v>-1544843.34</v>
      </c>
      <c r="F38" s="123">
        <f t="shared" si="7"/>
        <v>-5483.6</v>
      </c>
      <c r="H38" s="107">
        <f>H37+SUM(D38:G38)</f>
        <v>-3603160.2299999995</v>
      </c>
      <c r="J38" s="101"/>
      <c r="K38" s="108"/>
      <c r="L38" s="109"/>
    </row>
    <row r="39" spans="1:12" x14ac:dyDescent="0.2">
      <c r="A39" s="60">
        <f>'FERC Interest Rates'!A45</f>
        <v>42369</v>
      </c>
      <c r="D39" s="1">
        <v>-1645881.86</v>
      </c>
      <c r="F39" s="123">
        <f t="shared" si="7"/>
        <v>-9945.7099999999991</v>
      </c>
      <c r="H39" s="107">
        <f>H38+SUM(D39:G39)</f>
        <v>-5258987.8</v>
      </c>
      <c r="J39" s="101"/>
      <c r="K39" s="108"/>
      <c r="L39" s="109"/>
    </row>
    <row r="40" spans="1:12" x14ac:dyDescent="0.2">
      <c r="A40" s="60">
        <f>'FERC Interest Rates'!A46</f>
        <v>42400</v>
      </c>
      <c r="D40" s="1">
        <v>-2154994.2799999998</v>
      </c>
      <c r="F40" s="123">
        <f t="shared" ref="F40:F43" si="8">ROUND(H39*VLOOKUP(A40,FERCINT16,2)/365*VLOOKUP(A40,FERCINT16,3),2)</f>
        <v>-14516.25</v>
      </c>
      <c r="H40" s="107">
        <f t="shared" si="6"/>
        <v>-7428498.3300000001</v>
      </c>
      <c r="J40" s="101"/>
      <c r="K40" s="108"/>
      <c r="L40" s="109"/>
    </row>
    <row r="41" spans="1:12" x14ac:dyDescent="0.2">
      <c r="A41" s="60">
        <f>'FERC Interest Rates'!A47</f>
        <v>42429</v>
      </c>
      <c r="D41" s="1">
        <v>-1476931.21</v>
      </c>
      <c r="F41" s="123">
        <f t="shared" si="8"/>
        <v>-19181.810000000001</v>
      </c>
      <c r="G41" s="1">
        <v>-99.96</v>
      </c>
      <c r="H41" s="107">
        <f t="shared" si="6"/>
        <v>-8924711.3100000005</v>
      </c>
      <c r="J41" s="101"/>
      <c r="K41" s="108"/>
      <c r="L41" s="109"/>
    </row>
    <row r="42" spans="1:12" x14ac:dyDescent="0.2">
      <c r="A42" s="60">
        <f>'FERC Interest Rates'!A48</f>
        <v>42460</v>
      </c>
      <c r="D42" s="1">
        <v>-1690305.69</v>
      </c>
      <c r="F42" s="123">
        <f t="shared" si="8"/>
        <v>-24634.65</v>
      </c>
      <c r="G42" s="101">
        <v>-6148.88</v>
      </c>
      <c r="H42" s="107">
        <f t="shared" si="6"/>
        <v>-10645800.530000001</v>
      </c>
      <c r="J42" s="101"/>
      <c r="K42" s="108"/>
      <c r="L42" s="109"/>
    </row>
    <row r="43" spans="1:12" x14ac:dyDescent="0.2">
      <c r="A43" s="60">
        <f>'FERC Interest Rates'!A49</f>
        <v>42490</v>
      </c>
      <c r="D43" s="1">
        <v>-1904970.39</v>
      </c>
      <c r="F43" s="123">
        <f t="shared" si="8"/>
        <v>-30274.91</v>
      </c>
      <c r="G43" s="1">
        <v>-710.41</v>
      </c>
      <c r="H43" s="107">
        <f t="shared" si="6"/>
        <v>-12581756.24</v>
      </c>
      <c r="J43" s="101"/>
      <c r="K43" s="108"/>
      <c r="L43" s="109"/>
    </row>
    <row r="44" spans="1:12" x14ac:dyDescent="0.2">
      <c r="A44" s="60"/>
      <c r="F44" s="123"/>
      <c r="H44" s="107"/>
      <c r="J44" s="101"/>
      <c r="K44" s="108"/>
      <c r="L44" s="109"/>
    </row>
    <row r="45" spans="1:12" x14ac:dyDescent="0.2">
      <c r="A45" s="60"/>
      <c r="F45" s="123"/>
      <c r="H45" s="107"/>
      <c r="J45" s="101"/>
      <c r="K45" s="108"/>
      <c r="L45" s="109"/>
    </row>
    <row r="46" spans="1:12" x14ac:dyDescent="0.2">
      <c r="A46" s="60"/>
      <c r="F46" s="123"/>
      <c r="H46" s="107"/>
      <c r="J46" s="101"/>
      <c r="K46" s="108"/>
      <c r="L46" s="109"/>
    </row>
    <row r="47" spans="1:12" x14ac:dyDescent="0.2">
      <c r="A47" s="60"/>
      <c r="F47" s="123"/>
      <c r="H47" s="107"/>
      <c r="J47" s="101"/>
      <c r="K47" s="108"/>
      <c r="L47" s="109"/>
    </row>
    <row r="48" spans="1:12" x14ac:dyDescent="0.2">
      <c r="A48" s="60"/>
      <c r="F48" s="123"/>
      <c r="H48" s="107"/>
      <c r="J48" s="101"/>
      <c r="K48" s="108"/>
      <c r="L48" s="109"/>
    </row>
    <row r="49" spans="1:12" x14ac:dyDescent="0.2">
      <c r="A49" s="60"/>
      <c r="F49" s="123"/>
      <c r="H49" s="107"/>
      <c r="J49" s="101"/>
      <c r="K49" s="108"/>
      <c r="L49" s="109"/>
    </row>
    <row r="50" spans="1:12" x14ac:dyDescent="0.2">
      <c r="A50" s="60"/>
      <c r="F50" s="123"/>
      <c r="H50" s="107"/>
    </row>
    <row r="51" spans="1:12" x14ac:dyDescent="0.2">
      <c r="A51" s="60"/>
      <c r="F51" s="123"/>
      <c r="H51" s="107">
        <f t="shared" si="6"/>
        <v>0</v>
      </c>
    </row>
    <row r="52" spans="1:12" x14ac:dyDescent="0.2">
      <c r="A52" s="60"/>
    </row>
    <row r="53" spans="1:12" x14ac:dyDescent="0.2">
      <c r="A53" s="60"/>
    </row>
  </sheetData>
  <mergeCells count="18">
    <mergeCell ref="A6:B6"/>
    <mergeCell ref="C1:H1"/>
    <mergeCell ref="C2:H2"/>
    <mergeCell ref="C3:H3"/>
    <mergeCell ref="C4:H4"/>
    <mergeCell ref="C5:H5"/>
    <mergeCell ref="C6:H6"/>
    <mergeCell ref="A1:B1"/>
    <mergeCell ref="A2:B2"/>
    <mergeCell ref="A3:B3"/>
    <mergeCell ref="A4:B4"/>
    <mergeCell ref="A5:B5"/>
    <mergeCell ref="A35:F35"/>
    <mergeCell ref="D9:F9"/>
    <mergeCell ref="A7:B7"/>
    <mergeCell ref="C7:H7"/>
    <mergeCell ref="A11:G11"/>
    <mergeCell ref="A24:F24"/>
  </mergeCells>
  <phoneticPr fontId="0" type="noConversion"/>
  <printOptions horizontalCentered="1"/>
  <pageMargins left="0.5" right="0.25" top="0.5" bottom="0.2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9"/>
  <sheetViews>
    <sheetView view="pageLayout" topLeftCell="A31" zoomScaleNormal="100" zoomScaleSheetLayoutView="100" workbookViewId="0">
      <selection activeCell="E66" sqref="E66"/>
    </sheetView>
  </sheetViews>
  <sheetFormatPr defaultRowHeight="12.75" x14ac:dyDescent="0.2"/>
  <cols>
    <col min="1" max="2" width="8.88671875" style="38"/>
    <col min="3" max="3" width="10.44140625" style="38" bestFit="1" customWidth="1"/>
    <col min="4" max="4" width="8.88671875" style="38"/>
    <col min="5" max="5" width="10" style="38" customWidth="1"/>
    <col min="6" max="6" width="8.88671875" style="38"/>
    <col min="7" max="8" width="11.44140625" style="38" customWidth="1"/>
    <col min="9" max="9" width="15.109375" style="38" bestFit="1" customWidth="1"/>
    <col min="10" max="10" width="16.33203125" style="38" bestFit="1" customWidth="1"/>
    <col min="11" max="11" width="9" style="38" bestFit="1" customWidth="1"/>
    <col min="12" max="12" width="10.44140625" style="38" bestFit="1" customWidth="1"/>
    <col min="13" max="16384" width="8.88671875" style="38"/>
  </cols>
  <sheetData>
    <row r="1" spans="1:12" x14ac:dyDescent="0.2">
      <c r="A1" s="230" t="s">
        <v>13</v>
      </c>
      <c r="B1" s="231"/>
      <c r="C1" s="259" t="s">
        <v>14</v>
      </c>
      <c r="D1" s="259"/>
      <c r="E1" s="259"/>
      <c r="F1" s="259"/>
      <c r="G1" s="259"/>
      <c r="H1" s="260"/>
      <c r="I1" s="7"/>
    </row>
    <row r="2" spans="1:12" x14ac:dyDescent="0.2">
      <c r="A2" s="219" t="s">
        <v>16</v>
      </c>
      <c r="B2" s="210"/>
      <c r="C2" s="257" t="s">
        <v>80</v>
      </c>
      <c r="D2" s="257"/>
      <c r="E2" s="257"/>
      <c r="F2" s="257"/>
      <c r="G2" s="257"/>
      <c r="H2" s="258"/>
      <c r="I2" s="7"/>
    </row>
    <row r="3" spans="1:12" x14ac:dyDescent="0.2">
      <c r="A3" s="219" t="s">
        <v>17</v>
      </c>
      <c r="B3" s="210"/>
      <c r="C3" s="255" t="s">
        <v>72</v>
      </c>
      <c r="D3" s="255"/>
      <c r="E3" s="255"/>
      <c r="F3" s="255"/>
      <c r="G3" s="255"/>
      <c r="H3" s="256"/>
      <c r="I3" s="7"/>
    </row>
    <row r="4" spans="1:12" x14ac:dyDescent="0.2">
      <c r="A4" s="219" t="s">
        <v>18</v>
      </c>
      <c r="B4" s="210"/>
      <c r="C4" s="255" t="s">
        <v>45</v>
      </c>
      <c r="D4" s="255"/>
      <c r="E4" s="255"/>
      <c r="F4" s="255"/>
      <c r="G4" s="255"/>
      <c r="H4" s="256"/>
      <c r="I4" s="7"/>
    </row>
    <row r="5" spans="1:12" x14ac:dyDescent="0.2">
      <c r="A5" s="219" t="s">
        <v>20</v>
      </c>
      <c r="B5" s="210"/>
      <c r="C5" s="255" t="s">
        <v>33</v>
      </c>
      <c r="D5" s="255"/>
      <c r="E5" s="255"/>
      <c r="F5" s="255"/>
      <c r="G5" s="255"/>
      <c r="H5" s="256"/>
      <c r="I5" s="7"/>
    </row>
    <row r="6" spans="1:12" x14ac:dyDescent="0.2">
      <c r="A6" s="219" t="s">
        <v>21</v>
      </c>
      <c r="B6" s="210"/>
      <c r="C6" s="257" t="s">
        <v>87</v>
      </c>
      <c r="D6" s="257"/>
      <c r="E6" s="257"/>
      <c r="F6" s="257"/>
      <c r="G6" s="257"/>
      <c r="H6" s="258"/>
      <c r="I6" s="7"/>
    </row>
    <row r="7" spans="1:12" ht="13.5" thickBot="1" x14ac:dyDescent="0.25">
      <c r="A7" s="247" t="s">
        <v>22</v>
      </c>
      <c r="B7" s="248"/>
      <c r="C7" s="253" t="s">
        <v>69</v>
      </c>
      <c r="D7" s="253"/>
      <c r="E7" s="253"/>
      <c r="F7" s="253"/>
      <c r="G7" s="253"/>
      <c r="H7" s="254"/>
      <c r="I7" s="7"/>
    </row>
    <row r="8" spans="1:12" x14ac:dyDescent="0.2">
      <c r="A8" s="28"/>
      <c r="B8" s="28"/>
      <c r="C8" s="29"/>
      <c r="D8" s="29"/>
      <c r="E8" s="29"/>
      <c r="F8" s="29"/>
      <c r="G8" s="29"/>
      <c r="H8" s="29"/>
      <c r="J8" s="33"/>
    </row>
    <row r="9" spans="1:12" x14ac:dyDescent="0.2">
      <c r="A9" s="30"/>
      <c r="D9" s="203" t="s">
        <v>39</v>
      </c>
      <c r="E9" s="203"/>
      <c r="F9" s="203"/>
    </row>
    <row r="10" spans="1:12" s="31" customFormat="1" x14ac:dyDescent="0.2">
      <c r="A10" s="32" t="s">
        <v>40</v>
      </c>
      <c r="B10" s="32" t="s">
        <v>4</v>
      </c>
      <c r="C10" s="32" t="s">
        <v>12</v>
      </c>
      <c r="D10" s="32" t="s">
        <v>23</v>
      </c>
      <c r="E10" s="32" t="s">
        <v>24</v>
      </c>
      <c r="F10" s="32" t="s">
        <v>2</v>
      </c>
      <c r="G10" s="32" t="s">
        <v>0</v>
      </c>
      <c r="H10" s="32" t="s">
        <v>1</v>
      </c>
      <c r="I10" s="39"/>
      <c r="J10" s="39"/>
      <c r="K10" s="39"/>
      <c r="L10" s="39"/>
    </row>
    <row r="11" spans="1:12" x14ac:dyDescent="0.2">
      <c r="A11" s="208" t="s">
        <v>85</v>
      </c>
      <c r="B11" s="208"/>
      <c r="C11" s="208"/>
      <c r="D11" s="208"/>
      <c r="E11" s="208"/>
      <c r="F11" s="208"/>
      <c r="G11" s="208"/>
      <c r="H11" s="76">
        <v>2557.65</v>
      </c>
      <c r="J11" s="87"/>
      <c r="K11" s="81"/>
      <c r="L11" s="88"/>
    </row>
    <row r="12" spans="1:12" x14ac:dyDescent="0.2">
      <c r="A12" s="83">
        <f>'FERC Interest Rates'!A20</f>
        <v>41608</v>
      </c>
      <c r="B12" s="82" t="s">
        <v>34</v>
      </c>
      <c r="C12" s="75">
        <f>'Therm Sales'!O5</f>
        <v>66572240</v>
      </c>
      <c r="E12" s="84">
        <f>(10858994*-0.0001)+(55713246*-0.00003)</f>
        <v>-2757.2967800000001</v>
      </c>
      <c r="F12" s="70">
        <f>ROUND(H11*VLOOKUP(A12,FERCINT13,2)/365*VLOOKUP(A12,FERCINT13,3),2)</f>
        <v>6.83</v>
      </c>
      <c r="H12" s="76">
        <f t="shared" ref="H12:H23" si="0">H11+SUM(D12:G12)</f>
        <v>-192.81678000000011</v>
      </c>
      <c r="J12" s="87"/>
      <c r="K12" s="81"/>
      <c r="L12" s="88"/>
    </row>
    <row r="13" spans="1:12" x14ac:dyDescent="0.2">
      <c r="A13" s="83">
        <f>'FERC Interest Rates'!A21</f>
        <v>41639</v>
      </c>
      <c r="B13" s="80">
        <v>-3.0000000000000001E-5</v>
      </c>
      <c r="C13" s="75">
        <f>'Therm Sales'!O6</f>
        <v>93810799</v>
      </c>
      <c r="E13" s="77">
        <f t="shared" ref="E13:E23" si="1">ROUND(C13*B13,2)</f>
        <v>-2814.32</v>
      </c>
      <c r="F13" s="70">
        <f>ROUND(H12*VLOOKUP(A13,FERCINT13,2)/365*VLOOKUP(A13,FERCINT13,3),2)</f>
        <v>-0.53</v>
      </c>
      <c r="H13" s="76">
        <f t="shared" si="0"/>
        <v>-3007.6667800000005</v>
      </c>
      <c r="J13" s="87"/>
      <c r="K13" s="81"/>
      <c r="L13" s="88"/>
    </row>
    <row r="14" spans="1:12" x14ac:dyDescent="0.2">
      <c r="A14" s="83">
        <f>'FERC Interest Rates'!A22</f>
        <v>41670</v>
      </c>
      <c r="B14" s="80">
        <v>-3.0000000000000001E-5</v>
      </c>
      <c r="C14" s="75">
        <f>'Therm Sales'!O7</f>
        <v>95982364</v>
      </c>
      <c r="E14" s="77">
        <f t="shared" si="1"/>
        <v>-2879.47</v>
      </c>
      <c r="F14" s="70">
        <f t="shared" ref="F14:F23" si="2">ROUND(H13*VLOOKUP(A14,FERCINT14,2)/365*VLOOKUP(A14,FERCINT14,3),2)</f>
        <v>-8.3000000000000007</v>
      </c>
      <c r="H14" s="76">
        <f t="shared" si="0"/>
        <v>-5895.43678</v>
      </c>
      <c r="J14" s="87"/>
      <c r="K14" s="81"/>
      <c r="L14" s="88"/>
    </row>
    <row r="15" spans="1:12" x14ac:dyDescent="0.2">
      <c r="A15" s="83">
        <f>'FERC Interest Rates'!A23</f>
        <v>41698</v>
      </c>
      <c r="B15" s="80">
        <v>-3.0000000000000001E-5</v>
      </c>
      <c r="C15" s="75">
        <f>'Therm Sales'!O8</f>
        <v>81703536</v>
      </c>
      <c r="E15" s="77">
        <f t="shared" si="1"/>
        <v>-2451.11</v>
      </c>
      <c r="F15" s="70">
        <f t="shared" si="2"/>
        <v>-14.7</v>
      </c>
      <c r="H15" s="76">
        <f t="shared" si="0"/>
        <v>-8361.2467799999995</v>
      </c>
      <c r="J15" s="87"/>
      <c r="K15" s="81"/>
      <c r="L15" s="88"/>
    </row>
    <row r="16" spans="1:12" x14ac:dyDescent="0.2">
      <c r="A16" s="83">
        <f>'FERC Interest Rates'!A24</f>
        <v>41729</v>
      </c>
      <c r="B16" s="80">
        <v>-3.0000000000000001E-5</v>
      </c>
      <c r="C16" s="75">
        <f>'Therm Sales'!O9</f>
        <v>61653494</v>
      </c>
      <c r="E16" s="77">
        <f t="shared" si="1"/>
        <v>-1849.6</v>
      </c>
      <c r="F16" s="70">
        <f t="shared" si="2"/>
        <v>-23.08</v>
      </c>
      <c r="H16" s="76">
        <f t="shared" si="0"/>
        <v>-10233.92678</v>
      </c>
      <c r="J16" s="87"/>
      <c r="K16" s="81"/>
      <c r="L16" s="88"/>
    </row>
    <row r="17" spans="1:12" x14ac:dyDescent="0.2">
      <c r="A17" s="83">
        <f>'FERC Interest Rates'!A25</f>
        <v>41759</v>
      </c>
      <c r="B17" s="80">
        <v>-3.0000000000000001E-5</v>
      </c>
      <c r="C17" s="75">
        <f>'Therm Sales'!O10</f>
        <v>48544888</v>
      </c>
      <c r="E17" s="77">
        <f t="shared" si="1"/>
        <v>-1456.35</v>
      </c>
      <c r="F17" s="70">
        <f t="shared" si="2"/>
        <v>-27.34</v>
      </c>
      <c r="H17" s="76">
        <f t="shared" si="0"/>
        <v>-11717.61678</v>
      </c>
      <c r="J17" s="87"/>
      <c r="K17" s="81"/>
      <c r="L17" s="88"/>
    </row>
    <row r="18" spans="1:12" x14ac:dyDescent="0.2">
      <c r="A18" s="83">
        <f>'FERC Interest Rates'!A26</f>
        <v>41790</v>
      </c>
      <c r="B18" s="80">
        <v>-3.0000000000000001E-5</v>
      </c>
      <c r="C18" s="75">
        <f>'Therm Sales'!O11</f>
        <v>43767115</v>
      </c>
      <c r="E18" s="77">
        <f t="shared" si="1"/>
        <v>-1313.01</v>
      </c>
      <c r="F18" s="70">
        <f t="shared" si="2"/>
        <v>-32.340000000000003</v>
      </c>
      <c r="H18" s="76">
        <f t="shared" si="0"/>
        <v>-13062.966780000001</v>
      </c>
      <c r="J18" s="87"/>
      <c r="K18" s="81"/>
      <c r="L18" s="88"/>
    </row>
    <row r="19" spans="1:12" x14ac:dyDescent="0.2">
      <c r="A19" s="83">
        <f>'FERC Interest Rates'!A27</f>
        <v>41820</v>
      </c>
      <c r="B19" s="80">
        <v>-3.0000000000000001E-5</v>
      </c>
      <c r="C19" s="75">
        <f>'Therm Sales'!O12</f>
        <v>37887997</v>
      </c>
      <c r="E19" s="77">
        <f t="shared" si="1"/>
        <v>-1136.6400000000001</v>
      </c>
      <c r="F19" s="70">
        <f t="shared" si="2"/>
        <v>-34.89</v>
      </c>
      <c r="H19" s="76">
        <f t="shared" si="0"/>
        <v>-14234.496780000001</v>
      </c>
      <c r="J19" s="87"/>
      <c r="K19" s="81"/>
      <c r="L19" s="88"/>
    </row>
    <row r="20" spans="1:12" x14ac:dyDescent="0.2">
      <c r="A20" s="83">
        <f>'FERC Interest Rates'!A28</f>
        <v>41851</v>
      </c>
      <c r="B20" s="80">
        <v>-3.0000000000000001E-5</v>
      </c>
      <c r="C20" s="75">
        <f>'Therm Sales'!O13</f>
        <v>52230833</v>
      </c>
      <c r="E20" s="77">
        <f t="shared" si="1"/>
        <v>-1566.92</v>
      </c>
      <c r="F20" s="70">
        <f t="shared" si="2"/>
        <v>-39.29</v>
      </c>
      <c r="H20" s="76">
        <f t="shared" si="0"/>
        <v>-15840.70678</v>
      </c>
      <c r="J20" s="87"/>
      <c r="K20" s="81"/>
      <c r="L20" s="88"/>
    </row>
    <row r="21" spans="1:12" x14ac:dyDescent="0.2">
      <c r="A21" s="83">
        <f>'FERC Interest Rates'!A29</f>
        <v>41882</v>
      </c>
      <c r="B21" s="80">
        <v>-3.0000000000000001E-5</v>
      </c>
      <c r="C21" s="75">
        <f>'Therm Sales'!O14</f>
        <v>63958956</v>
      </c>
      <c r="E21" s="77">
        <f t="shared" si="1"/>
        <v>-1918.77</v>
      </c>
      <c r="F21" s="70">
        <f t="shared" si="2"/>
        <v>-43.72</v>
      </c>
      <c r="H21" s="76">
        <f t="shared" si="0"/>
        <v>-17803.196780000002</v>
      </c>
      <c r="J21" s="87"/>
      <c r="K21" s="81"/>
      <c r="L21" s="88"/>
    </row>
    <row r="22" spans="1:12" x14ac:dyDescent="0.2">
      <c r="A22" s="83">
        <f>'FERC Interest Rates'!A30</f>
        <v>41912</v>
      </c>
      <c r="B22" s="80">
        <v>-3.0000000000000001E-5</v>
      </c>
      <c r="C22" s="75">
        <f>'Therm Sales'!O15</f>
        <v>63420222</v>
      </c>
      <c r="E22" s="77">
        <f t="shared" si="1"/>
        <v>-1902.61</v>
      </c>
      <c r="F22" s="70">
        <f t="shared" si="2"/>
        <v>-47.56</v>
      </c>
      <c r="H22" s="76">
        <f t="shared" si="0"/>
        <v>-19753.36678</v>
      </c>
      <c r="J22" s="87"/>
      <c r="K22" s="81"/>
      <c r="L22" s="88"/>
    </row>
    <row r="23" spans="1:12" x14ac:dyDescent="0.2">
      <c r="A23" s="83">
        <f>'FERC Interest Rates'!A31</f>
        <v>41943</v>
      </c>
      <c r="B23" s="80">
        <v>-3.0000000000000001E-5</v>
      </c>
      <c r="C23" s="75">
        <f>'Therm Sales'!O16</f>
        <v>62247096</v>
      </c>
      <c r="E23" s="77">
        <f t="shared" si="1"/>
        <v>-1867.41</v>
      </c>
      <c r="F23" s="70">
        <f t="shared" si="2"/>
        <v>-54.52</v>
      </c>
      <c r="H23" s="76">
        <f t="shared" si="0"/>
        <v>-21675.296780000001</v>
      </c>
      <c r="J23" s="87"/>
      <c r="K23" s="81"/>
      <c r="L23" s="88"/>
    </row>
    <row r="25" spans="1:12" x14ac:dyDescent="0.2">
      <c r="A25" s="124">
        <f>'FERC Interest Rates'!A32</f>
        <v>41973</v>
      </c>
      <c r="B25" s="82" t="s">
        <v>34</v>
      </c>
      <c r="C25" s="125">
        <f>'Therm Sales'!O17</f>
        <v>58406357</v>
      </c>
      <c r="D25" s="101"/>
      <c r="E25" s="84">
        <f>(7797012*-0.00003)+(50609345*0.00003)</f>
        <v>1284.3699899999999</v>
      </c>
      <c r="F25" s="112">
        <f>ROUND(H23*VLOOKUP(A25,FERCINT14,2)/365*VLOOKUP(A25,FERCINT14,3),2)</f>
        <v>-57.9</v>
      </c>
      <c r="G25" s="101"/>
      <c r="H25" s="76">
        <f>H23+SUM(D25:G25)</f>
        <v>-20448.826789999999</v>
      </c>
      <c r="J25" s="127"/>
      <c r="K25" s="123"/>
      <c r="L25" s="128"/>
    </row>
    <row r="26" spans="1:12" x14ac:dyDescent="0.2">
      <c r="A26" s="124">
        <f>'FERC Interest Rates'!A33</f>
        <v>42004</v>
      </c>
      <c r="B26" s="120">
        <v>3.0000000000000001E-5</v>
      </c>
      <c r="C26" s="125">
        <f>'Therm Sales'!O18</f>
        <v>75515164</v>
      </c>
      <c r="E26" s="117">
        <f>ROUND(C26*B26,2)</f>
        <v>2265.4499999999998</v>
      </c>
      <c r="F26" s="112">
        <f>ROUND(H25*VLOOKUP(A26,FERCINT14,2)/365*VLOOKUP(A26,FERCINT14,3),2)</f>
        <v>-56.44</v>
      </c>
      <c r="G26" s="101"/>
      <c r="H26" s="76">
        <f>H25+SUM(D26:G26)</f>
        <v>-18239.816790000001</v>
      </c>
      <c r="J26" s="127"/>
      <c r="K26" s="123"/>
      <c r="L26" s="128"/>
    </row>
    <row r="27" spans="1:12" x14ac:dyDescent="0.2">
      <c r="A27" s="124">
        <f>'FERC Interest Rates'!A34</f>
        <v>42035</v>
      </c>
      <c r="B27" s="120">
        <v>3.0000000000000001E-5</v>
      </c>
      <c r="C27" s="125">
        <f>'Therm Sales'!O19</f>
        <v>75502777</v>
      </c>
      <c r="E27" s="117">
        <f>ROUND(C27*B27,2)</f>
        <v>2265.08</v>
      </c>
      <c r="F27" s="112">
        <f t="shared" ref="F27:F36" si="3">ROUND(H26*VLOOKUP(A27,FERCINT15,2)/365*VLOOKUP(A27,FERCINT15,3),2)</f>
        <v>-50.35</v>
      </c>
      <c r="G27" s="101"/>
      <c r="H27" s="76">
        <f t="shared" ref="H27:H36" si="4">H26+SUM(D27:G27)</f>
        <v>-16025.086790000001</v>
      </c>
      <c r="J27" s="127"/>
      <c r="K27" s="123"/>
      <c r="L27" s="128"/>
    </row>
    <row r="28" spans="1:12" x14ac:dyDescent="0.2">
      <c r="A28" s="124">
        <f>'FERC Interest Rates'!A35</f>
        <v>42063</v>
      </c>
      <c r="B28" s="120">
        <v>3.0000000000000001E-5</v>
      </c>
      <c r="C28" s="125">
        <f>'Therm Sales'!O20</f>
        <v>61676628</v>
      </c>
      <c r="E28" s="117">
        <f>ROUND(C28*B28,2)</f>
        <v>1850.3</v>
      </c>
      <c r="F28" s="112">
        <f t="shared" si="3"/>
        <v>-39.950000000000003</v>
      </c>
      <c r="G28" s="101"/>
      <c r="H28" s="76">
        <f t="shared" si="4"/>
        <v>-14214.736790000001</v>
      </c>
      <c r="J28" s="127"/>
      <c r="K28" s="123"/>
      <c r="L28" s="128"/>
    </row>
    <row r="29" spans="1:12" x14ac:dyDescent="0.2">
      <c r="A29" s="124">
        <f>'FERC Interest Rates'!A36</f>
        <v>42094</v>
      </c>
      <c r="B29" s="120">
        <v>3.0000000000000001E-5</v>
      </c>
      <c r="C29" s="125">
        <f>'Therm Sales'!O21</f>
        <v>66701912</v>
      </c>
      <c r="E29" s="117">
        <f>ROUND(C29*B29,2)</f>
        <v>2001.06</v>
      </c>
      <c r="F29" s="112">
        <f t="shared" si="3"/>
        <v>-39.24</v>
      </c>
      <c r="G29" s="101"/>
      <c r="H29" s="76">
        <f t="shared" si="4"/>
        <v>-12252.916790000001</v>
      </c>
      <c r="J29" s="127"/>
      <c r="K29" s="123"/>
      <c r="L29" s="128"/>
    </row>
    <row r="30" spans="1:12" x14ac:dyDescent="0.2">
      <c r="A30" s="124">
        <f>'FERC Interest Rates'!A37</f>
        <v>42124</v>
      </c>
      <c r="B30" s="120">
        <v>3.0000000000000001E-5</v>
      </c>
      <c r="C30" s="125">
        <f>'Therm Sales'!O22</f>
        <v>56458088</v>
      </c>
      <c r="E30" s="117">
        <f>ROUND(C30*B30,2)</f>
        <v>1693.74</v>
      </c>
      <c r="F30" s="112">
        <f t="shared" si="3"/>
        <v>-32.729999999999997</v>
      </c>
      <c r="G30" s="101"/>
      <c r="H30" s="76">
        <f t="shared" si="4"/>
        <v>-10591.906790000001</v>
      </c>
      <c r="J30" s="127"/>
      <c r="K30" s="123"/>
      <c r="L30" s="128"/>
    </row>
    <row r="31" spans="1:12" x14ac:dyDescent="0.2">
      <c r="A31" s="124">
        <f>'FERC Interest Rates'!A38</f>
        <v>42155</v>
      </c>
      <c r="B31" s="120">
        <v>3.0000000000000001E-5</v>
      </c>
      <c r="C31" s="125">
        <f>'Therm Sales'!O23</f>
        <v>57170777</v>
      </c>
      <c r="E31" s="117">
        <f t="shared" ref="E31:E36" si="5">ROUND(C31*B31,2)</f>
        <v>1715.12</v>
      </c>
      <c r="F31" s="112">
        <f t="shared" si="3"/>
        <v>-29.24</v>
      </c>
      <c r="G31" s="101"/>
      <c r="H31" s="76">
        <f t="shared" si="4"/>
        <v>-8906.0267900000017</v>
      </c>
      <c r="J31" s="127"/>
      <c r="K31" s="123"/>
      <c r="L31" s="128"/>
    </row>
    <row r="32" spans="1:12" x14ac:dyDescent="0.2">
      <c r="A32" s="124">
        <f>'FERC Interest Rates'!A39</f>
        <v>42185</v>
      </c>
      <c r="B32" s="120">
        <v>3.0000000000000001E-5</v>
      </c>
      <c r="C32" s="125">
        <f>'Therm Sales'!O24</f>
        <v>49803685</v>
      </c>
      <c r="E32" s="117">
        <f t="shared" si="5"/>
        <v>1494.11</v>
      </c>
      <c r="F32" s="112">
        <f t="shared" si="3"/>
        <v>-23.79</v>
      </c>
      <c r="G32" s="101"/>
      <c r="H32" s="76">
        <f t="shared" si="4"/>
        <v>-7435.706790000002</v>
      </c>
      <c r="J32" s="127"/>
      <c r="K32" s="123"/>
      <c r="L32" s="128"/>
    </row>
    <row r="33" spans="1:12" x14ac:dyDescent="0.2">
      <c r="A33" s="124">
        <f>'FERC Interest Rates'!A40</f>
        <v>42216</v>
      </c>
      <c r="B33" s="120">
        <v>3.0000000000000001E-5</v>
      </c>
      <c r="C33" s="125">
        <f>'Therm Sales'!O25</f>
        <v>55982821</v>
      </c>
      <c r="E33" s="117">
        <f t="shared" si="5"/>
        <v>1679.48</v>
      </c>
      <c r="F33" s="112">
        <f t="shared" si="3"/>
        <v>-20.52</v>
      </c>
      <c r="G33" s="101"/>
      <c r="H33" s="76">
        <f t="shared" si="4"/>
        <v>-5776.746790000002</v>
      </c>
      <c r="J33" s="127"/>
      <c r="K33" s="123"/>
      <c r="L33" s="128"/>
    </row>
    <row r="34" spans="1:12" x14ac:dyDescent="0.2">
      <c r="A34" s="124">
        <f>'FERC Interest Rates'!A41</f>
        <v>42247</v>
      </c>
      <c r="B34" s="120">
        <v>3.0000000000000001E-5</v>
      </c>
      <c r="C34" s="125">
        <f>'Therm Sales'!O26</f>
        <v>56970592</v>
      </c>
      <c r="E34" s="117">
        <f t="shared" si="5"/>
        <v>1709.12</v>
      </c>
      <c r="F34" s="112">
        <f t="shared" si="3"/>
        <v>-15.95</v>
      </c>
      <c r="G34" s="101"/>
      <c r="H34" s="76">
        <f t="shared" si="4"/>
        <v>-4083.5767900000019</v>
      </c>
      <c r="J34" s="127"/>
      <c r="K34" s="123"/>
      <c r="L34" s="128"/>
    </row>
    <row r="35" spans="1:12" x14ac:dyDescent="0.2">
      <c r="A35" s="124">
        <f>'FERC Interest Rates'!A42</f>
        <v>42277</v>
      </c>
      <c r="B35" s="120">
        <v>0</v>
      </c>
      <c r="C35" s="125">
        <f>'Therm Sales'!O27</f>
        <v>57724527</v>
      </c>
      <c r="D35" s="101"/>
      <c r="E35" s="84">
        <f>ROUND(4427253*0.00003,2)</f>
        <v>132.82</v>
      </c>
      <c r="F35" s="112">
        <f t="shared" si="3"/>
        <v>-10.91</v>
      </c>
      <c r="G35" s="101"/>
      <c r="H35" s="76">
        <f t="shared" si="4"/>
        <v>-3961.666790000002</v>
      </c>
      <c r="J35" s="127"/>
      <c r="K35" s="123"/>
      <c r="L35" s="128"/>
    </row>
    <row r="36" spans="1:12" x14ac:dyDescent="0.2">
      <c r="A36" s="124">
        <f>'FERC Interest Rates'!A43</f>
        <v>42308</v>
      </c>
      <c r="B36" s="120">
        <v>0</v>
      </c>
      <c r="C36" s="125">
        <f>'Therm Sales'!O28</f>
        <v>64440203</v>
      </c>
      <c r="E36" s="117">
        <f t="shared" si="5"/>
        <v>0</v>
      </c>
      <c r="F36" s="112">
        <f t="shared" si="3"/>
        <v>-10.94</v>
      </c>
      <c r="G36" s="101"/>
      <c r="H36" s="76">
        <f t="shared" si="4"/>
        <v>-3972.6067900000021</v>
      </c>
      <c r="J36" s="127"/>
      <c r="K36" s="123"/>
      <c r="L36" s="128"/>
    </row>
    <row r="37" spans="1:12" x14ac:dyDescent="0.2">
      <c r="A37" s="124">
        <f>'FERC Interest Rates'!A44</f>
        <v>42338</v>
      </c>
      <c r="B37" s="120">
        <v>0</v>
      </c>
      <c r="C37" s="125">
        <f>'Therm Sales'!O29</f>
        <v>68269835</v>
      </c>
      <c r="D37" s="101"/>
      <c r="E37" s="117">
        <f>ROUND(C37*B37,2)</f>
        <v>0</v>
      </c>
      <c r="F37" s="112">
        <f t="shared" ref="F37:F38" si="6">ROUND(H36*VLOOKUP(A37,FERCINT15,2)/365*VLOOKUP(A37,FERCINT15,3),2)</f>
        <v>-10.61</v>
      </c>
      <c r="G37" s="101"/>
      <c r="H37" s="76">
        <f t="shared" ref="H37:H42" si="7">H36+SUM(D37:G37)</f>
        <v>-3983.2167900000022</v>
      </c>
      <c r="I37" s="101"/>
      <c r="J37" s="127"/>
      <c r="K37" s="123"/>
      <c r="L37" s="128"/>
    </row>
    <row r="38" spans="1:12" x14ac:dyDescent="0.2">
      <c r="A38" s="124">
        <f>'FERC Interest Rates'!A45</f>
        <v>42369</v>
      </c>
      <c r="B38" s="120">
        <v>0</v>
      </c>
      <c r="C38" s="125">
        <f>'Therm Sales'!O30</f>
        <v>82122835</v>
      </c>
      <c r="D38" s="101"/>
      <c r="E38" s="117">
        <f t="shared" ref="E38:E42" si="8">ROUND(C38*B38,2)</f>
        <v>0</v>
      </c>
      <c r="F38" s="112">
        <f t="shared" si="6"/>
        <v>-10.99</v>
      </c>
      <c r="G38" s="101"/>
      <c r="H38" s="76">
        <f t="shared" si="7"/>
        <v>-3994.206790000002</v>
      </c>
      <c r="I38" s="101"/>
      <c r="J38" s="127"/>
      <c r="K38" s="123"/>
      <c r="L38" s="128"/>
    </row>
    <row r="39" spans="1:12" x14ac:dyDescent="0.2">
      <c r="A39" s="124">
        <f>'FERC Interest Rates'!A46</f>
        <v>42400</v>
      </c>
      <c r="B39" s="120">
        <v>0</v>
      </c>
      <c r="C39" s="125">
        <f>'Therm Sales'!O31</f>
        <v>94245829</v>
      </c>
      <c r="D39" s="101"/>
      <c r="E39" s="117">
        <f t="shared" si="8"/>
        <v>0</v>
      </c>
      <c r="F39" s="112">
        <f t="shared" ref="F39:F42" si="9">ROUND(H38*VLOOKUP(A39,FERCINT16,2)/365*VLOOKUP(A39,FERCINT16,3),2)</f>
        <v>-11.03</v>
      </c>
      <c r="G39" s="101"/>
      <c r="H39" s="76">
        <f t="shared" si="7"/>
        <v>-4005.2367900000022</v>
      </c>
      <c r="I39" s="101"/>
      <c r="J39" s="127"/>
      <c r="K39" s="123"/>
      <c r="L39" s="128"/>
    </row>
    <row r="40" spans="1:12" x14ac:dyDescent="0.2">
      <c r="A40" s="124">
        <f>'FERC Interest Rates'!A47</f>
        <v>42429</v>
      </c>
      <c r="B40" s="120">
        <v>0</v>
      </c>
      <c r="C40" s="125">
        <f>'Therm Sales'!O32</f>
        <v>75986828</v>
      </c>
      <c r="D40" s="101"/>
      <c r="E40" s="117">
        <f t="shared" si="8"/>
        <v>0</v>
      </c>
      <c r="F40" s="112">
        <f t="shared" si="9"/>
        <v>-10.34</v>
      </c>
      <c r="G40" s="101"/>
      <c r="H40" s="76">
        <f t="shared" si="7"/>
        <v>-4015.5767900000023</v>
      </c>
      <c r="I40" s="101"/>
      <c r="J40" s="127"/>
      <c r="K40" s="123"/>
      <c r="L40" s="128"/>
    </row>
    <row r="41" spans="1:12" x14ac:dyDescent="0.2">
      <c r="A41" s="124">
        <f>'FERC Interest Rates'!A48</f>
        <v>42460</v>
      </c>
      <c r="B41" s="120">
        <v>0</v>
      </c>
      <c r="C41" s="125">
        <f>'Therm Sales'!O33</f>
        <v>57672174</v>
      </c>
      <c r="D41" s="101"/>
      <c r="E41" s="117">
        <f t="shared" si="8"/>
        <v>0</v>
      </c>
      <c r="F41" s="112">
        <f t="shared" si="9"/>
        <v>-11.08</v>
      </c>
      <c r="G41" s="101"/>
      <c r="H41" s="76">
        <f t="shared" si="7"/>
        <v>-4026.6567900000023</v>
      </c>
      <c r="I41" s="101"/>
      <c r="J41" s="127"/>
      <c r="K41" s="123"/>
      <c r="L41" s="128"/>
    </row>
    <row r="42" spans="1:12" x14ac:dyDescent="0.2">
      <c r="A42" s="124">
        <f>'FERC Interest Rates'!A49</f>
        <v>42490</v>
      </c>
      <c r="B42" s="120">
        <v>0</v>
      </c>
      <c r="C42" s="125">
        <f>'Therm Sales'!O34</f>
        <v>46067230</v>
      </c>
      <c r="D42" s="101"/>
      <c r="E42" s="117">
        <f t="shared" si="8"/>
        <v>0</v>
      </c>
      <c r="F42" s="112">
        <f t="shared" si="9"/>
        <v>-11.45</v>
      </c>
      <c r="G42" s="101"/>
      <c r="H42" s="76">
        <f t="shared" si="7"/>
        <v>-4038.1067900000021</v>
      </c>
      <c r="I42" s="101"/>
      <c r="J42" s="127"/>
      <c r="K42" s="123"/>
      <c r="L42" s="128"/>
    </row>
    <row r="43" spans="1:12" x14ac:dyDescent="0.2">
      <c r="A43" s="124"/>
      <c r="B43" s="120"/>
      <c r="C43" s="125"/>
      <c r="D43" s="101"/>
      <c r="E43" s="117"/>
      <c r="F43" s="112"/>
      <c r="G43" s="101"/>
      <c r="H43" s="76"/>
      <c r="I43" s="101"/>
      <c r="J43" s="127"/>
      <c r="K43" s="123"/>
      <c r="L43" s="128"/>
    </row>
    <row r="44" spans="1:12" x14ac:dyDescent="0.2">
      <c r="A44" s="124"/>
      <c r="B44" s="120"/>
      <c r="C44" s="125"/>
      <c r="D44" s="101"/>
      <c r="E44" s="117"/>
      <c r="F44" s="112"/>
      <c r="G44" s="101"/>
      <c r="H44" s="76"/>
      <c r="I44" s="101"/>
      <c r="J44" s="127"/>
      <c r="K44" s="123"/>
      <c r="L44" s="128"/>
    </row>
    <row r="45" spans="1:12" x14ac:dyDescent="0.2">
      <c r="A45" s="124"/>
      <c r="B45" s="120"/>
      <c r="C45" s="125"/>
      <c r="D45" s="101"/>
      <c r="E45" s="117"/>
      <c r="F45" s="112"/>
      <c r="G45" s="101"/>
      <c r="H45" s="76"/>
      <c r="I45" s="101"/>
      <c r="J45" s="127"/>
      <c r="K45" s="123"/>
      <c r="L45" s="128"/>
    </row>
    <row r="46" spans="1:12" x14ac:dyDescent="0.2">
      <c r="A46" s="124"/>
      <c r="B46" s="120"/>
      <c r="C46" s="125"/>
      <c r="D46" s="101"/>
      <c r="E46" s="117"/>
      <c r="F46" s="112"/>
      <c r="G46" s="101"/>
      <c r="H46" s="76"/>
      <c r="I46" s="101"/>
      <c r="J46" s="127"/>
      <c r="K46" s="123"/>
      <c r="L46" s="128"/>
    </row>
    <row r="47" spans="1:12" x14ac:dyDescent="0.2">
      <c r="A47" s="124"/>
      <c r="B47" s="120"/>
      <c r="C47" s="125"/>
      <c r="D47" s="101"/>
      <c r="E47" s="117"/>
      <c r="F47" s="112"/>
      <c r="G47" s="101"/>
      <c r="H47" s="76"/>
      <c r="I47" s="101"/>
      <c r="J47" s="127"/>
      <c r="K47" s="123"/>
      <c r="L47" s="128"/>
    </row>
    <row r="48" spans="1:12" x14ac:dyDescent="0.2">
      <c r="A48" s="124"/>
      <c r="B48" s="120"/>
      <c r="C48" s="125"/>
      <c r="D48" s="101"/>
      <c r="E48" s="117"/>
      <c r="F48" s="112"/>
      <c r="G48" s="101"/>
      <c r="H48" s="76"/>
      <c r="I48" s="101"/>
      <c r="J48" s="127"/>
      <c r="K48" s="123"/>
      <c r="L48" s="128"/>
    </row>
    <row r="59" spans="1:7" x14ac:dyDescent="0.2">
      <c r="A59" s="38" t="s">
        <v>125</v>
      </c>
      <c r="E59" s="38" t="s">
        <v>128</v>
      </c>
      <c r="G59" s="38" t="s">
        <v>124</v>
      </c>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rintOptions horizontalCentered="1"/>
  <pageMargins left="0.5" right="0.25" top="0.5" bottom="0.25" header="0.3" footer="0.3"/>
  <pageSetup scale="6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9"/>
  <sheetViews>
    <sheetView view="pageLayout" topLeftCell="A17" zoomScaleNormal="100" zoomScaleSheetLayoutView="100" workbookViewId="0">
      <selection activeCell="E59" sqref="E59"/>
    </sheetView>
  </sheetViews>
  <sheetFormatPr defaultRowHeight="12.75" x14ac:dyDescent="0.2"/>
  <cols>
    <col min="1" max="2" width="8.88671875" style="101"/>
    <col min="3" max="3" width="10.109375" style="101" customWidth="1"/>
    <col min="4" max="4" width="8.88671875" style="101"/>
    <col min="5" max="5" width="10.21875" style="101" customWidth="1"/>
    <col min="6" max="6" width="8.88671875" style="101"/>
    <col min="7" max="7" width="13.109375" style="101" customWidth="1"/>
    <col min="8" max="8" width="11.5546875" style="101" customWidth="1"/>
    <col min="9" max="9" width="15.109375" style="101" bestFit="1" customWidth="1"/>
    <col min="10" max="10" width="16.33203125" style="101" bestFit="1" customWidth="1"/>
    <col min="11" max="11" width="9" style="101" bestFit="1" customWidth="1"/>
    <col min="12" max="12" width="10.44140625" style="101" bestFit="1" customWidth="1"/>
    <col min="13" max="16384" width="8.88671875" style="101"/>
  </cols>
  <sheetData>
    <row r="1" spans="1:12" x14ac:dyDescent="0.2">
      <c r="A1" s="230" t="s">
        <v>13</v>
      </c>
      <c r="B1" s="231"/>
      <c r="C1" s="237" t="s">
        <v>14</v>
      </c>
      <c r="D1" s="237"/>
      <c r="E1" s="237"/>
      <c r="F1" s="237"/>
      <c r="G1" s="237"/>
      <c r="H1" s="238"/>
      <c r="I1" s="65"/>
    </row>
    <row r="2" spans="1:12" x14ac:dyDescent="0.2">
      <c r="A2" s="219" t="s">
        <v>16</v>
      </c>
      <c r="B2" s="210"/>
      <c r="C2" s="239" t="s">
        <v>102</v>
      </c>
      <c r="D2" s="239"/>
      <c r="E2" s="239"/>
      <c r="F2" s="239"/>
      <c r="G2" s="239"/>
      <c r="H2" s="240"/>
      <c r="I2" s="65"/>
    </row>
    <row r="3" spans="1:12" x14ac:dyDescent="0.2">
      <c r="A3" s="219" t="s">
        <v>17</v>
      </c>
      <c r="B3" s="210"/>
      <c r="C3" s="239" t="s">
        <v>103</v>
      </c>
      <c r="D3" s="239"/>
      <c r="E3" s="239"/>
      <c r="F3" s="239"/>
      <c r="G3" s="239"/>
      <c r="H3" s="240"/>
      <c r="I3" s="65"/>
    </row>
    <row r="4" spans="1:12" x14ac:dyDescent="0.2">
      <c r="A4" s="219" t="s">
        <v>18</v>
      </c>
      <c r="B4" s="210"/>
      <c r="C4" s="235" t="s">
        <v>19</v>
      </c>
      <c r="D4" s="235"/>
      <c r="E4" s="235"/>
      <c r="F4" s="235"/>
      <c r="G4" s="235"/>
      <c r="H4" s="236"/>
      <c r="I4" s="65"/>
    </row>
    <row r="5" spans="1:12" x14ac:dyDescent="0.2">
      <c r="A5" s="219" t="s">
        <v>20</v>
      </c>
      <c r="B5" s="210"/>
      <c r="C5" s="235" t="s">
        <v>33</v>
      </c>
      <c r="D5" s="235"/>
      <c r="E5" s="235"/>
      <c r="F5" s="235"/>
      <c r="G5" s="235"/>
      <c r="H5" s="236"/>
      <c r="I5" s="65"/>
    </row>
    <row r="6" spans="1:12" x14ac:dyDescent="0.2">
      <c r="A6" s="219" t="s">
        <v>21</v>
      </c>
      <c r="B6" s="210"/>
      <c r="C6" s="235" t="s">
        <v>104</v>
      </c>
      <c r="D6" s="235"/>
      <c r="E6" s="235"/>
      <c r="F6" s="235"/>
      <c r="G6" s="235"/>
      <c r="H6" s="236"/>
      <c r="I6" s="65"/>
    </row>
    <row r="7" spans="1:12" ht="13.5" thickBot="1" x14ac:dyDescent="0.25">
      <c r="A7" s="223" t="s">
        <v>22</v>
      </c>
      <c r="B7" s="224"/>
      <c r="C7" s="233" t="s">
        <v>105</v>
      </c>
      <c r="D7" s="233"/>
      <c r="E7" s="233"/>
      <c r="F7" s="233"/>
      <c r="G7" s="233"/>
      <c r="H7" s="234"/>
      <c r="I7" s="72"/>
    </row>
    <row r="8" spans="1:12" x14ac:dyDescent="0.2">
      <c r="A8" s="103"/>
      <c r="B8" s="103"/>
      <c r="C8" s="104"/>
      <c r="D8" s="104"/>
      <c r="E8" s="104"/>
      <c r="F8" s="104"/>
      <c r="G8" s="104"/>
      <c r="H8" s="104"/>
      <c r="J8" s="111"/>
    </row>
    <row r="9" spans="1:12" x14ac:dyDescent="0.2">
      <c r="A9" s="105"/>
      <c r="D9" s="203" t="s">
        <v>39</v>
      </c>
      <c r="E9" s="203"/>
      <c r="F9" s="203"/>
    </row>
    <row r="10" spans="1:12" s="106" customFormat="1" x14ac:dyDescent="0.2">
      <c r="A10" s="110" t="s">
        <v>40</v>
      </c>
      <c r="B10" s="110" t="s">
        <v>4</v>
      </c>
      <c r="C10" s="110" t="s">
        <v>12</v>
      </c>
      <c r="D10" s="110" t="s">
        <v>23</v>
      </c>
      <c r="E10" s="110" t="s">
        <v>24</v>
      </c>
      <c r="F10" s="110" t="s">
        <v>2</v>
      </c>
      <c r="G10" s="110" t="s">
        <v>0</v>
      </c>
      <c r="H10" s="110" t="s">
        <v>1</v>
      </c>
      <c r="I10" s="102"/>
      <c r="J10" s="102"/>
      <c r="K10" s="102"/>
      <c r="L10" s="102"/>
    </row>
    <row r="11" spans="1:12" x14ac:dyDescent="0.2">
      <c r="A11" s="74"/>
      <c r="B11" s="74"/>
      <c r="C11" s="74"/>
      <c r="D11" s="74"/>
      <c r="E11" s="74"/>
      <c r="F11" s="74"/>
      <c r="G11" s="74"/>
      <c r="H11" s="69"/>
      <c r="I11" s="72"/>
    </row>
    <row r="12" spans="1:12" x14ac:dyDescent="0.2">
      <c r="A12" s="232" t="s">
        <v>75</v>
      </c>
      <c r="B12" s="232"/>
      <c r="C12" s="232"/>
      <c r="D12" s="232"/>
      <c r="E12" s="232"/>
      <c r="F12" s="232"/>
      <c r="G12" s="67">
        <v>535321.06999999995</v>
      </c>
      <c r="H12" s="69"/>
      <c r="I12" s="112"/>
      <c r="J12" s="107"/>
    </row>
    <row r="13" spans="1:12" x14ac:dyDescent="0.2">
      <c r="A13" s="232" t="s">
        <v>76</v>
      </c>
      <c r="B13" s="232"/>
      <c r="C13" s="232"/>
      <c r="D13" s="232"/>
      <c r="E13" s="232"/>
      <c r="F13" s="232"/>
      <c r="G13" s="67">
        <v>87792.92</v>
      </c>
      <c r="H13" s="69"/>
      <c r="I13" s="112"/>
      <c r="J13" s="107"/>
    </row>
    <row r="14" spans="1:12" x14ac:dyDescent="0.2">
      <c r="A14" s="232" t="s">
        <v>77</v>
      </c>
      <c r="B14" s="232"/>
      <c r="C14" s="232"/>
      <c r="D14" s="232"/>
      <c r="E14" s="232"/>
      <c r="F14" s="232"/>
      <c r="G14" s="67">
        <v>1106878.69</v>
      </c>
      <c r="H14" s="69"/>
      <c r="I14" s="112"/>
      <c r="J14" s="107"/>
    </row>
    <row r="15" spans="1:12" x14ac:dyDescent="0.2">
      <c r="A15" s="232" t="s">
        <v>78</v>
      </c>
      <c r="B15" s="232"/>
      <c r="C15" s="232"/>
      <c r="D15" s="232"/>
      <c r="E15" s="232"/>
      <c r="F15" s="232"/>
      <c r="G15" s="67">
        <v>511862.34</v>
      </c>
      <c r="H15" s="69"/>
      <c r="I15" s="72"/>
    </row>
    <row r="16" spans="1:12" x14ac:dyDescent="0.2">
      <c r="A16" s="232" t="s">
        <v>106</v>
      </c>
      <c r="B16" s="232"/>
      <c r="C16" s="232"/>
      <c r="D16" s="232"/>
      <c r="E16" s="232"/>
      <c r="F16" s="232"/>
      <c r="G16" s="132">
        <v>305571.34000000003</v>
      </c>
      <c r="H16" s="69"/>
      <c r="I16" s="72"/>
    </row>
    <row r="17" spans="1:12" x14ac:dyDescent="0.2">
      <c r="A17" s="66"/>
      <c r="B17" s="67"/>
      <c r="C17" s="67"/>
      <c r="D17" s="67"/>
      <c r="E17" s="68"/>
      <c r="F17" s="67"/>
      <c r="G17" s="67"/>
      <c r="H17" s="69">
        <f>SUM(G12:G16)</f>
        <v>2547426.36</v>
      </c>
      <c r="I17" s="72"/>
    </row>
    <row r="18" spans="1:12" s="123" customFormat="1" x14ac:dyDescent="0.2">
      <c r="A18" s="124">
        <f>'FERC Interest Rates'!A45</f>
        <v>42369</v>
      </c>
      <c r="B18" s="82" t="s">
        <v>34</v>
      </c>
      <c r="C18" s="122">
        <f>'Therm Sales'!I30</f>
        <v>29666317</v>
      </c>
      <c r="D18" s="90"/>
      <c r="E18" s="84">
        <f>(19960734*-0.01134)+(9705583*-0.01027)+0.01</f>
        <v>-326031.05096999998</v>
      </c>
      <c r="F18" s="112">
        <f t="shared" ref="F18" si="0">ROUND(H17*VLOOKUP(A18,FERCINT15,2)/365*VLOOKUP(A18,FERCINT15,3),2)</f>
        <v>7031.59</v>
      </c>
      <c r="G18" s="85"/>
      <c r="H18" s="86">
        <f>H17+SUM(E18:G18)</f>
        <v>2228426.89903</v>
      </c>
      <c r="I18" s="126"/>
      <c r="J18" s="127"/>
      <c r="L18" s="128"/>
    </row>
    <row r="19" spans="1:12" x14ac:dyDescent="0.2">
      <c r="A19" s="124">
        <f>'FERC Interest Rates'!A46</f>
        <v>42400</v>
      </c>
      <c r="B19" s="113">
        <v>-1.027E-2</v>
      </c>
      <c r="C19" s="122">
        <f>'Therm Sales'!I31</f>
        <v>39919235</v>
      </c>
      <c r="D19" s="89"/>
      <c r="E19" s="116">
        <f>ROUND(C19*B19,2)</f>
        <v>-409970.54</v>
      </c>
      <c r="F19" s="112">
        <f t="shared" ref="F19:F22" si="1">ROUND(H18*VLOOKUP(A19,FERCINT16,2)/365*VLOOKUP(A19,FERCINT16,3),2)</f>
        <v>6151.07</v>
      </c>
      <c r="G19" s="72"/>
      <c r="H19" s="76">
        <f>H18+SUM(D19:G19)</f>
        <v>1824607.42903</v>
      </c>
      <c r="I19" s="112"/>
      <c r="J19" s="107"/>
      <c r="K19" s="123"/>
      <c r="L19" s="128"/>
    </row>
    <row r="20" spans="1:12" x14ac:dyDescent="0.2">
      <c r="A20" s="124">
        <f>'FERC Interest Rates'!A47</f>
        <v>42429</v>
      </c>
      <c r="B20" s="113">
        <v>-1.027E-2</v>
      </c>
      <c r="C20" s="122">
        <f>'Therm Sales'!I32</f>
        <v>29453033</v>
      </c>
      <c r="D20" s="89"/>
      <c r="E20" s="116">
        <f>ROUND(C20*B20,2)+0.01</f>
        <v>-302482.64</v>
      </c>
      <c r="F20" s="112">
        <f t="shared" si="1"/>
        <v>4711.49</v>
      </c>
      <c r="G20" s="72"/>
      <c r="H20" s="76">
        <f t="shared" ref="H20:H22" si="2">H19+SUM(D20:G20)</f>
        <v>1526836.2790299999</v>
      </c>
      <c r="J20" s="107"/>
      <c r="K20" s="123"/>
      <c r="L20" s="115"/>
    </row>
    <row r="21" spans="1:12" x14ac:dyDescent="0.2">
      <c r="A21" s="124">
        <f>'FERC Interest Rates'!A48</f>
        <v>42460</v>
      </c>
      <c r="B21" s="113">
        <v>-1.027E-2</v>
      </c>
      <c r="C21" s="122">
        <f>'Therm Sales'!I33</f>
        <v>26806337</v>
      </c>
      <c r="D21" s="89"/>
      <c r="E21" s="116">
        <f>ROUND(C21*B21,2)+0.01</f>
        <v>-275301.07</v>
      </c>
      <c r="F21" s="112">
        <f t="shared" si="1"/>
        <v>4214.49</v>
      </c>
      <c r="G21" s="72"/>
      <c r="H21" s="76">
        <f t="shared" si="2"/>
        <v>1255749.6990299998</v>
      </c>
      <c r="J21" s="107"/>
      <c r="K21" s="123"/>
      <c r="L21" s="115"/>
    </row>
    <row r="22" spans="1:12" x14ac:dyDescent="0.2">
      <c r="A22" s="124">
        <f>'FERC Interest Rates'!A49</f>
        <v>42490</v>
      </c>
      <c r="B22" s="113">
        <v>-1.027E-2</v>
      </c>
      <c r="C22" s="122">
        <f>'Therm Sales'!I34</f>
        <v>17669937</v>
      </c>
      <c r="D22" s="89"/>
      <c r="E22" s="116">
        <f t="shared" ref="E22" si="3">ROUND(C22*B22,2)</f>
        <v>-181470.25</v>
      </c>
      <c r="F22" s="112">
        <f t="shared" si="1"/>
        <v>3571.15</v>
      </c>
      <c r="G22" s="72"/>
      <c r="H22" s="76">
        <f t="shared" si="2"/>
        <v>1077850.5990299997</v>
      </c>
      <c r="J22" s="107"/>
      <c r="K22" s="123"/>
      <c r="L22" s="115"/>
    </row>
    <row r="23" spans="1:12" x14ac:dyDescent="0.2">
      <c r="A23" s="153"/>
      <c r="B23" s="154"/>
      <c r="C23" s="95"/>
      <c r="D23" s="96"/>
      <c r="E23" s="141"/>
      <c r="F23" s="141"/>
      <c r="G23" s="72"/>
      <c r="H23" s="76"/>
      <c r="J23" s="107"/>
      <c r="K23" s="123"/>
      <c r="L23" s="115"/>
    </row>
    <row r="24" spans="1:12" x14ac:dyDescent="0.2">
      <c r="A24" s="153"/>
      <c r="B24" s="154"/>
      <c r="C24" s="95"/>
      <c r="D24" s="96"/>
      <c r="E24" s="141"/>
      <c r="F24" s="141"/>
      <c r="G24" s="72"/>
      <c r="H24" s="76"/>
      <c r="J24" s="107"/>
      <c r="K24" s="123"/>
      <c r="L24" s="115"/>
    </row>
    <row r="25" spans="1:12" x14ac:dyDescent="0.2">
      <c r="A25" s="153"/>
      <c r="B25" s="154"/>
      <c r="C25" s="95"/>
      <c r="D25" s="140"/>
      <c r="E25" s="141"/>
      <c r="F25" s="141"/>
      <c r="H25" s="76"/>
      <c r="J25" s="107"/>
      <c r="K25" s="123"/>
      <c r="L25" s="115"/>
    </row>
    <row r="26" spans="1:12" x14ac:dyDescent="0.2">
      <c r="A26" s="153"/>
      <c r="B26" s="154"/>
      <c r="C26" s="95"/>
      <c r="D26" s="140"/>
      <c r="E26" s="141"/>
      <c r="F26" s="141"/>
      <c r="H26" s="76"/>
      <c r="J26" s="107"/>
      <c r="K26" s="123"/>
      <c r="L26" s="115"/>
    </row>
    <row r="27" spans="1:12" x14ac:dyDescent="0.2">
      <c r="A27" s="153"/>
      <c r="B27" s="154"/>
      <c r="C27" s="95"/>
      <c r="D27" s="140"/>
      <c r="E27" s="141"/>
      <c r="F27" s="141"/>
      <c r="H27" s="76"/>
      <c r="J27" s="107"/>
      <c r="K27" s="123"/>
      <c r="L27" s="115"/>
    </row>
    <row r="28" spans="1:12" x14ac:dyDescent="0.2">
      <c r="A28" s="153"/>
      <c r="B28" s="154"/>
      <c r="C28" s="95"/>
      <c r="D28" s="140"/>
      <c r="E28" s="141"/>
      <c r="F28" s="141"/>
      <c r="H28" s="76"/>
      <c r="J28" s="107"/>
      <c r="K28" s="123"/>
      <c r="L28" s="115"/>
    </row>
    <row r="29" spans="1:12" x14ac:dyDescent="0.2">
      <c r="A29" s="153"/>
      <c r="B29" s="154"/>
      <c r="C29" s="95"/>
      <c r="D29" s="140"/>
      <c r="E29" s="141"/>
      <c r="F29" s="141"/>
      <c r="H29" s="76"/>
      <c r="J29" s="107"/>
      <c r="K29" s="123"/>
      <c r="L29" s="115"/>
    </row>
    <row r="30" spans="1:12" x14ac:dyDescent="0.2">
      <c r="A30" s="153"/>
      <c r="B30" s="154"/>
      <c r="C30" s="95"/>
      <c r="D30" s="140"/>
      <c r="E30" s="141"/>
      <c r="F30" s="141"/>
      <c r="H30" s="76"/>
      <c r="J30" s="107"/>
      <c r="K30" s="123"/>
      <c r="L30" s="115"/>
    </row>
    <row r="31" spans="1:12" x14ac:dyDescent="0.2">
      <c r="A31" s="261"/>
      <c r="B31" s="261"/>
      <c r="C31" s="261"/>
      <c r="D31" s="261"/>
      <c r="E31" s="261"/>
      <c r="F31" s="261"/>
      <c r="H31" s="76"/>
      <c r="J31" s="107"/>
    </row>
    <row r="59" spans="1:7" x14ac:dyDescent="0.2">
      <c r="A59" s="101" t="s">
        <v>125</v>
      </c>
      <c r="E59" s="101" t="s">
        <v>129</v>
      </c>
      <c r="G59" s="101" t="s">
        <v>124</v>
      </c>
    </row>
  </sheetData>
  <mergeCells count="21">
    <mergeCell ref="A15:F15"/>
    <mergeCell ref="A16:F16"/>
    <mergeCell ref="A31:F31"/>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codeName="Sheet210"/>
  <dimension ref="A1:E65"/>
  <sheetViews>
    <sheetView showGridLines="0" view="pageBreakPreview" topLeftCell="A25" zoomScaleNormal="60" zoomScaleSheetLayoutView="100" workbookViewId="0">
      <selection activeCell="B42" sqref="B42"/>
    </sheetView>
  </sheetViews>
  <sheetFormatPr defaultColWidth="12.77734375" defaultRowHeight="12.75" x14ac:dyDescent="0.2"/>
  <cols>
    <col min="1" max="3" width="13.77734375" style="1" customWidth="1"/>
    <col min="4" max="4" width="2.5546875" style="22" bestFit="1" customWidth="1"/>
    <col min="5" max="22" width="12.77734375" style="1"/>
    <col min="23" max="23" width="12.77734375" style="1" customWidth="1"/>
    <col min="24" max="85" width="12.77734375" style="1"/>
    <col min="86" max="86" width="13.6640625" style="1" customWidth="1"/>
    <col min="87" max="16384" width="12.77734375" style="1"/>
  </cols>
  <sheetData>
    <row r="1" spans="1:5" s="12" customFormat="1" ht="15.75" x14ac:dyDescent="0.25">
      <c r="A1" s="17" t="s">
        <v>51</v>
      </c>
      <c r="B1" s="17"/>
      <c r="C1" s="17"/>
      <c r="D1" s="17"/>
    </row>
    <row r="2" spans="1:5" s="12" customFormat="1" ht="15.75" x14ac:dyDescent="0.25">
      <c r="A2" s="17" t="s">
        <v>52</v>
      </c>
      <c r="B2" s="17"/>
      <c r="C2" s="17"/>
      <c r="D2" s="17"/>
    </row>
    <row r="3" spans="1:5" s="12" customFormat="1" ht="15.75" x14ac:dyDescent="0.25">
      <c r="A3" s="17" t="s">
        <v>53</v>
      </c>
      <c r="B3" s="17"/>
      <c r="C3" s="17"/>
      <c r="D3" s="17"/>
    </row>
    <row r="4" spans="1:5" x14ac:dyDescent="0.2">
      <c r="A4" s="10"/>
      <c r="B4" s="10"/>
      <c r="C4" s="10"/>
      <c r="D4" s="24"/>
    </row>
    <row r="5" spans="1:5" ht="15.75" customHeight="1" x14ac:dyDescent="0.2">
      <c r="A5" s="10" t="s">
        <v>54</v>
      </c>
      <c r="B5" s="10"/>
      <c r="C5" s="10"/>
      <c r="D5" s="24"/>
    </row>
    <row r="6" spans="1:5" ht="15.75" customHeight="1" x14ac:dyDescent="0.2">
      <c r="A6" s="10" t="s">
        <v>57</v>
      </c>
      <c r="B6" s="10"/>
      <c r="C6" s="10"/>
      <c r="D6" s="24"/>
    </row>
    <row r="7" spans="1:5" ht="15.75" customHeight="1" x14ac:dyDescent="0.2">
      <c r="A7" s="99" t="s">
        <v>84</v>
      </c>
      <c r="B7" s="18"/>
      <c r="C7" s="18"/>
      <c r="D7" s="18"/>
    </row>
    <row r="8" spans="1:5" x14ac:dyDescent="0.2">
      <c r="A8" s="10"/>
      <c r="B8" s="10"/>
      <c r="C8" s="10"/>
      <c r="D8" s="24"/>
    </row>
    <row r="9" spans="1:5" x14ac:dyDescent="0.2">
      <c r="A9" s="6" t="s">
        <v>40</v>
      </c>
      <c r="B9" s="6" t="s">
        <v>55</v>
      </c>
      <c r="C9" s="6" t="s">
        <v>56</v>
      </c>
      <c r="D9" s="23"/>
      <c r="E9" s="13"/>
    </row>
    <row r="10" spans="1:5" x14ac:dyDescent="0.2">
      <c r="A10" s="129">
        <v>41305</v>
      </c>
      <c r="B10" s="14">
        <v>3.2500000000000001E-2</v>
      </c>
      <c r="C10" s="21">
        <v>31</v>
      </c>
      <c r="D10" s="262" t="s">
        <v>74</v>
      </c>
    </row>
    <row r="11" spans="1:5" x14ac:dyDescent="0.2">
      <c r="A11" s="130">
        <v>41333</v>
      </c>
      <c r="B11" s="15">
        <f>B10</f>
        <v>3.2500000000000001E-2</v>
      </c>
      <c r="C11" s="20">
        <v>28</v>
      </c>
      <c r="D11" s="263"/>
    </row>
    <row r="12" spans="1:5" x14ac:dyDescent="0.2">
      <c r="A12" s="130">
        <v>41364</v>
      </c>
      <c r="B12" s="15">
        <f>B11</f>
        <v>3.2500000000000001E-2</v>
      </c>
      <c r="C12" s="20">
        <v>31</v>
      </c>
      <c r="D12" s="263"/>
    </row>
    <row r="13" spans="1:5" x14ac:dyDescent="0.2">
      <c r="A13" s="130">
        <v>41394</v>
      </c>
      <c r="B13" s="15">
        <f t="shared" ref="B13:B33" si="0">B12</f>
        <v>3.2500000000000001E-2</v>
      </c>
      <c r="C13" s="20">
        <v>30</v>
      </c>
      <c r="D13" s="263"/>
    </row>
    <row r="14" spans="1:5" x14ac:dyDescent="0.2">
      <c r="A14" s="130">
        <v>41425</v>
      </c>
      <c r="B14" s="15">
        <f t="shared" si="0"/>
        <v>3.2500000000000001E-2</v>
      </c>
      <c r="C14" s="20">
        <v>31</v>
      </c>
      <c r="D14" s="263"/>
    </row>
    <row r="15" spans="1:5" x14ac:dyDescent="0.2">
      <c r="A15" s="130">
        <v>41455</v>
      </c>
      <c r="B15" s="15">
        <f t="shared" si="0"/>
        <v>3.2500000000000001E-2</v>
      </c>
      <c r="C15" s="20">
        <v>30</v>
      </c>
      <c r="D15" s="263"/>
    </row>
    <row r="16" spans="1:5" x14ac:dyDescent="0.2">
      <c r="A16" s="130">
        <v>41486</v>
      </c>
      <c r="B16" s="15">
        <f t="shared" si="0"/>
        <v>3.2500000000000001E-2</v>
      </c>
      <c r="C16" s="20">
        <v>31</v>
      </c>
      <c r="D16" s="263"/>
    </row>
    <row r="17" spans="1:4" x14ac:dyDescent="0.2">
      <c r="A17" s="130">
        <v>41517</v>
      </c>
      <c r="B17" s="15">
        <f t="shared" si="0"/>
        <v>3.2500000000000001E-2</v>
      </c>
      <c r="C17" s="20">
        <v>31</v>
      </c>
      <c r="D17" s="263"/>
    </row>
    <row r="18" spans="1:4" x14ac:dyDescent="0.2">
      <c r="A18" s="130">
        <v>41547</v>
      </c>
      <c r="B18" s="15">
        <f t="shared" si="0"/>
        <v>3.2500000000000001E-2</v>
      </c>
      <c r="C18" s="20">
        <v>30</v>
      </c>
      <c r="D18" s="263"/>
    </row>
    <row r="19" spans="1:4" x14ac:dyDescent="0.2">
      <c r="A19" s="130">
        <v>41578</v>
      </c>
      <c r="B19" s="15">
        <f t="shared" si="0"/>
        <v>3.2500000000000001E-2</v>
      </c>
      <c r="C19" s="20">
        <v>31</v>
      </c>
      <c r="D19" s="263"/>
    </row>
    <row r="20" spans="1:4" x14ac:dyDescent="0.2">
      <c r="A20" s="130">
        <v>41608</v>
      </c>
      <c r="B20" s="15">
        <f t="shared" si="0"/>
        <v>3.2500000000000001E-2</v>
      </c>
      <c r="C20" s="20">
        <v>30</v>
      </c>
      <c r="D20" s="263"/>
    </row>
    <row r="21" spans="1:4" x14ac:dyDescent="0.2">
      <c r="A21" s="131">
        <v>41639</v>
      </c>
      <c r="B21" s="16">
        <f t="shared" si="0"/>
        <v>3.2500000000000001E-2</v>
      </c>
      <c r="C21" s="19">
        <v>31</v>
      </c>
      <c r="D21" s="264"/>
    </row>
    <row r="22" spans="1:4" ht="12.75" customHeight="1" x14ac:dyDescent="0.2">
      <c r="A22" s="129">
        <v>41670</v>
      </c>
      <c r="B22" s="15">
        <f t="shared" si="0"/>
        <v>3.2500000000000001E-2</v>
      </c>
      <c r="C22" s="21">
        <v>31</v>
      </c>
      <c r="D22" s="262" t="s">
        <v>79</v>
      </c>
    </row>
    <row r="23" spans="1:4" x14ac:dyDescent="0.2">
      <c r="A23" s="130">
        <v>41698</v>
      </c>
      <c r="B23" s="15">
        <f t="shared" si="0"/>
        <v>3.2500000000000001E-2</v>
      </c>
      <c r="C23" s="20">
        <v>28</v>
      </c>
      <c r="D23" s="263"/>
    </row>
    <row r="24" spans="1:4" x14ac:dyDescent="0.2">
      <c r="A24" s="130">
        <v>41729</v>
      </c>
      <c r="B24" s="15">
        <f t="shared" si="0"/>
        <v>3.2500000000000001E-2</v>
      </c>
      <c r="C24" s="20">
        <v>31</v>
      </c>
      <c r="D24" s="263"/>
    </row>
    <row r="25" spans="1:4" x14ac:dyDescent="0.2">
      <c r="A25" s="130">
        <v>41759</v>
      </c>
      <c r="B25" s="15">
        <f t="shared" si="0"/>
        <v>3.2500000000000001E-2</v>
      </c>
      <c r="C25" s="20">
        <v>30</v>
      </c>
      <c r="D25" s="263"/>
    </row>
    <row r="26" spans="1:4" x14ac:dyDescent="0.2">
      <c r="A26" s="130">
        <v>41790</v>
      </c>
      <c r="B26" s="15">
        <f t="shared" si="0"/>
        <v>3.2500000000000001E-2</v>
      </c>
      <c r="C26" s="20">
        <v>31</v>
      </c>
      <c r="D26" s="263"/>
    </row>
    <row r="27" spans="1:4" x14ac:dyDescent="0.2">
      <c r="A27" s="130">
        <v>41820</v>
      </c>
      <c r="B27" s="15">
        <f t="shared" si="0"/>
        <v>3.2500000000000001E-2</v>
      </c>
      <c r="C27" s="20">
        <v>30</v>
      </c>
      <c r="D27" s="263"/>
    </row>
    <row r="28" spans="1:4" x14ac:dyDescent="0.2">
      <c r="A28" s="130">
        <v>41851</v>
      </c>
      <c r="B28" s="15">
        <f t="shared" si="0"/>
        <v>3.2500000000000001E-2</v>
      </c>
      <c r="C28" s="20">
        <v>31</v>
      </c>
      <c r="D28" s="263"/>
    </row>
    <row r="29" spans="1:4" x14ac:dyDescent="0.2">
      <c r="A29" s="130">
        <v>41882</v>
      </c>
      <c r="B29" s="15">
        <f t="shared" si="0"/>
        <v>3.2500000000000001E-2</v>
      </c>
      <c r="C29" s="20">
        <v>31</v>
      </c>
      <c r="D29" s="263"/>
    </row>
    <row r="30" spans="1:4" x14ac:dyDescent="0.2">
      <c r="A30" s="130">
        <v>41912</v>
      </c>
      <c r="B30" s="15">
        <f t="shared" si="0"/>
        <v>3.2500000000000001E-2</v>
      </c>
      <c r="C30" s="20">
        <v>30</v>
      </c>
      <c r="D30" s="263"/>
    </row>
    <row r="31" spans="1:4" x14ac:dyDescent="0.2">
      <c r="A31" s="130">
        <v>41943</v>
      </c>
      <c r="B31" s="15">
        <f t="shared" si="0"/>
        <v>3.2500000000000001E-2</v>
      </c>
      <c r="C31" s="20">
        <v>31</v>
      </c>
      <c r="D31" s="263"/>
    </row>
    <row r="32" spans="1:4" x14ac:dyDescent="0.2">
      <c r="A32" s="130">
        <v>41973</v>
      </c>
      <c r="B32" s="15">
        <f t="shared" si="0"/>
        <v>3.2500000000000001E-2</v>
      </c>
      <c r="C32" s="20">
        <v>30</v>
      </c>
      <c r="D32" s="263"/>
    </row>
    <row r="33" spans="1:4" x14ac:dyDescent="0.2">
      <c r="A33" s="131">
        <v>42004</v>
      </c>
      <c r="B33" s="16">
        <f t="shared" si="0"/>
        <v>3.2500000000000001E-2</v>
      </c>
      <c r="C33" s="19">
        <v>31</v>
      </c>
      <c r="D33" s="264"/>
    </row>
    <row r="34" spans="1:4" s="61" customFormat="1" ht="12.75" customHeight="1" x14ac:dyDescent="0.2">
      <c r="A34" s="129">
        <v>42035</v>
      </c>
      <c r="B34" s="15">
        <f>B33</f>
        <v>3.2500000000000001E-2</v>
      </c>
      <c r="C34" s="21">
        <v>31</v>
      </c>
      <c r="D34" s="262" t="s">
        <v>90</v>
      </c>
    </row>
    <row r="35" spans="1:4" s="61" customFormat="1" x14ac:dyDescent="0.2">
      <c r="A35" s="130">
        <v>42063</v>
      </c>
      <c r="B35" s="15">
        <f t="shared" ref="B35:B57" si="1">B34</f>
        <v>3.2500000000000001E-2</v>
      </c>
      <c r="C35" s="20">
        <v>28</v>
      </c>
      <c r="D35" s="263"/>
    </row>
    <row r="36" spans="1:4" s="61" customFormat="1" x14ac:dyDescent="0.2">
      <c r="A36" s="130">
        <v>42094</v>
      </c>
      <c r="B36" s="15">
        <f t="shared" si="1"/>
        <v>3.2500000000000001E-2</v>
      </c>
      <c r="C36" s="20">
        <v>31</v>
      </c>
      <c r="D36" s="263"/>
    </row>
    <row r="37" spans="1:4" s="61" customFormat="1" x14ac:dyDescent="0.2">
      <c r="A37" s="130">
        <v>42124</v>
      </c>
      <c r="B37" s="15">
        <f t="shared" si="1"/>
        <v>3.2500000000000001E-2</v>
      </c>
      <c r="C37" s="20">
        <v>30</v>
      </c>
      <c r="D37" s="263"/>
    </row>
    <row r="38" spans="1:4" s="61" customFormat="1" x14ac:dyDescent="0.2">
      <c r="A38" s="130">
        <v>42155</v>
      </c>
      <c r="B38" s="15">
        <f t="shared" si="1"/>
        <v>3.2500000000000001E-2</v>
      </c>
      <c r="C38" s="20">
        <v>31</v>
      </c>
      <c r="D38" s="263"/>
    </row>
    <row r="39" spans="1:4" s="61" customFormat="1" x14ac:dyDescent="0.2">
      <c r="A39" s="130">
        <v>42185</v>
      </c>
      <c r="B39" s="15">
        <f t="shared" si="1"/>
        <v>3.2500000000000001E-2</v>
      </c>
      <c r="C39" s="20">
        <v>30</v>
      </c>
      <c r="D39" s="263"/>
    </row>
    <row r="40" spans="1:4" s="61" customFormat="1" x14ac:dyDescent="0.2">
      <c r="A40" s="130">
        <v>42216</v>
      </c>
      <c r="B40" s="15">
        <f t="shared" si="1"/>
        <v>3.2500000000000001E-2</v>
      </c>
      <c r="C40" s="20">
        <v>31</v>
      </c>
      <c r="D40" s="263"/>
    </row>
    <row r="41" spans="1:4" s="61" customFormat="1" x14ac:dyDescent="0.2">
      <c r="A41" s="130">
        <v>42247</v>
      </c>
      <c r="B41" s="15">
        <f t="shared" si="1"/>
        <v>3.2500000000000001E-2</v>
      </c>
      <c r="C41" s="20">
        <v>31</v>
      </c>
      <c r="D41" s="263"/>
    </row>
    <row r="42" spans="1:4" s="61" customFormat="1" x14ac:dyDescent="0.2">
      <c r="A42" s="130">
        <v>42277</v>
      </c>
      <c r="B42" s="15">
        <f t="shared" si="1"/>
        <v>3.2500000000000001E-2</v>
      </c>
      <c r="C42" s="20">
        <v>30</v>
      </c>
      <c r="D42" s="263"/>
    </row>
    <row r="43" spans="1:4" s="61" customFormat="1" x14ac:dyDescent="0.2">
      <c r="A43" s="130">
        <v>42308</v>
      </c>
      <c r="B43" s="15">
        <f t="shared" si="1"/>
        <v>3.2500000000000001E-2</v>
      </c>
      <c r="C43" s="20">
        <v>31</v>
      </c>
      <c r="D43" s="263"/>
    </row>
    <row r="44" spans="1:4" s="61" customFormat="1" x14ac:dyDescent="0.2">
      <c r="A44" s="130">
        <v>42338</v>
      </c>
      <c r="B44" s="15">
        <f t="shared" si="1"/>
        <v>3.2500000000000001E-2</v>
      </c>
      <c r="C44" s="20">
        <v>30</v>
      </c>
      <c r="D44" s="263"/>
    </row>
    <row r="45" spans="1:4" s="61" customFormat="1" x14ac:dyDescent="0.2">
      <c r="A45" s="131">
        <v>42369</v>
      </c>
      <c r="B45" s="16">
        <f t="shared" si="1"/>
        <v>3.2500000000000001E-2</v>
      </c>
      <c r="C45" s="19">
        <v>31</v>
      </c>
      <c r="D45" s="264"/>
    </row>
    <row r="46" spans="1:4" s="101" customFormat="1" ht="12.75" customHeight="1" x14ac:dyDescent="0.2">
      <c r="A46" s="130">
        <v>42400</v>
      </c>
      <c r="B46" s="15">
        <f t="shared" si="1"/>
        <v>3.2500000000000001E-2</v>
      </c>
      <c r="C46" s="21">
        <v>31</v>
      </c>
      <c r="D46" s="262" t="s">
        <v>92</v>
      </c>
    </row>
    <row r="47" spans="1:4" s="101" customFormat="1" x14ac:dyDescent="0.2">
      <c r="A47" s="130">
        <v>42429</v>
      </c>
      <c r="B47" s="15">
        <f t="shared" si="1"/>
        <v>3.2500000000000001E-2</v>
      </c>
      <c r="C47" s="20">
        <v>29</v>
      </c>
      <c r="D47" s="263"/>
    </row>
    <row r="48" spans="1:4" s="101" customFormat="1" x14ac:dyDescent="0.2">
      <c r="A48" s="130">
        <v>42460</v>
      </c>
      <c r="B48" s="15">
        <f t="shared" si="1"/>
        <v>3.2500000000000001E-2</v>
      </c>
      <c r="C48" s="20">
        <v>31</v>
      </c>
      <c r="D48" s="263"/>
    </row>
    <row r="49" spans="1:4" s="101" customFormat="1" x14ac:dyDescent="0.2">
      <c r="A49" s="130">
        <v>42490</v>
      </c>
      <c r="B49" s="15">
        <v>3.4599999999999999E-2</v>
      </c>
      <c r="C49" s="20">
        <v>30</v>
      </c>
      <c r="D49" s="263"/>
    </row>
    <row r="50" spans="1:4" s="101" customFormat="1" x14ac:dyDescent="0.2">
      <c r="A50" s="130">
        <v>42521</v>
      </c>
      <c r="B50" s="15">
        <f t="shared" si="1"/>
        <v>3.4599999999999999E-2</v>
      </c>
      <c r="C50" s="20">
        <v>31</v>
      </c>
      <c r="D50" s="263"/>
    </row>
    <row r="51" spans="1:4" s="101" customFormat="1" x14ac:dyDescent="0.2">
      <c r="A51" s="130">
        <v>42551</v>
      </c>
      <c r="B51" s="15">
        <f t="shared" si="1"/>
        <v>3.4599999999999999E-2</v>
      </c>
      <c r="C51" s="20">
        <v>30</v>
      </c>
      <c r="D51" s="263"/>
    </row>
    <row r="52" spans="1:4" s="101" customFormat="1" x14ac:dyDescent="0.2">
      <c r="A52" s="130">
        <v>42582</v>
      </c>
      <c r="B52" s="15">
        <f t="shared" si="1"/>
        <v>3.4599999999999999E-2</v>
      </c>
      <c r="C52" s="20">
        <v>31</v>
      </c>
      <c r="D52" s="263"/>
    </row>
    <row r="53" spans="1:4" s="101" customFormat="1" x14ac:dyDescent="0.2">
      <c r="A53" s="130">
        <v>42613</v>
      </c>
      <c r="B53" s="15">
        <f t="shared" si="1"/>
        <v>3.4599999999999999E-2</v>
      </c>
      <c r="C53" s="20">
        <v>31</v>
      </c>
      <c r="D53" s="263"/>
    </row>
    <row r="54" spans="1:4" s="101" customFormat="1" x14ac:dyDescent="0.2">
      <c r="A54" s="130">
        <v>42643</v>
      </c>
      <c r="B54" s="15">
        <f t="shared" si="1"/>
        <v>3.4599999999999999E-2</v>
      </c>
      <c r="C54" s="20">
        <v>30</v>
      </c>
      <c r="D54" s="263"/>
    </row>
    <row r="55" spans="1:4" s="101" customFormat="1" x14ac:dyDescent="0.2">
      <c r="A55" s="130">
        <v>42674</v>
      </c>
      <c r="B55" s="15">
        <f t="shared" si="1"/>
        <v>3.4599999999999999E-2</v>
      </c>
      <c r="C55" s="20">
        <v>31</v>
      </c>
      <c r="D55" s="263"/>
    </row>
    <row r="56" spans="1:4" s="101" customFormat="1" x14ac:dyDescent="0.2">
      <c r="A56" s="130">
        <v>42704</v>
      </c>
      <c r="B56" s="15">
        <f t="shared" si="1"/>
        <v>3.4599999999999999E-2</v>
      </c>
      <c r="C56" s="20">
        <v>30</v>
      </c>
      <c r="D56" s="263"/>
    </row>
    <row r="57" spans="1:4" s="101" customFormat="1" x14ac:dyDescent="0.2">
      <c r="A57" s="131">
        <v>42735</v>
      </c>
      <c r="B57" s="16">
        <f t="shared" si="1"/>
        <v>3.4599999999999999E-2</v>
      </c>
      <c r="C57" s="19">
        <v>31</v>
      </c>
      <c r="D57" s="264"/>
    </row>
    <row r="65" spans="1:1" x14ac:dyDescent="0.2">
      <c r="A65" s="98"/>
    </row>
  </sheetData>
  <mergeCells count="4">
    <mergeCell ref="D46:D57"/>
    <mergeCell ref="D22:D33"/>
    <mergeCell ref="D34:D45"/>
    <mergeCell ref="D10:D21"/>
  </mergeCells>
  <phoneticPr fontId="0" type="noConversion"/>
  <hyperlinks>
    <hyperlink ref="A7" r:id="rId1"/>
  </hyperlinks>
  <printOptions horizontalCentered="1" gridLinesSet="0"/>
  <pageMargins left="0.5" right="0.25" top="0.5" bottom="0.25" header="0.5" footer="0.5"/>
  <pageSetup scale="85" orientation="portrait" horizontalDpi="4294967292" verticalDpi="4294967292" r:id="rId2"/>
  <headerFooter alignWithMargins="0">
    <oddFooter>&amp;L&amp;"-,Bold"&amp;10Cascade Natural Gas Corporation&amp;C&amp;"-,Bold"&amp;10Page &amp;P of &amp;N&amp;R&amp;"-,Bold"&amp;10Washington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P44"/>
  <sheetViews>
    <sheetView showGridLines="0" view="pageBreakPreview" zoomScaleNormal="60" zoomScaleSheetLayoutView="100" workbookViewId="0">
      <pane xSplit="1" ySplit="4" topLeftCell="D5" activePane="bottomRight" state="frozen"/>
      <selection activeCell="B42" sqref="B42"/>
      <selection pane="topRight" activeCell="B42" sqref="B42"/>
      <selection pane="bottomLeft" activeCell="B42" sqref="B42"/>
      <selection pane="bottomRight" activeCell="G4" sqref="G4"/>
    </sheetView>
  </sheetViews>
  <sheetFormatPr defaultRowHeight="12.75" x14ac:dyDescent="0.2"/>
  <cols>
    <col min="1" max="1" width="8.33203125" style="1" bestFit="1" customWidth="1"/>
    <col min="2" max="2" width="11.77734375" style="48" bestFit="1" customWidth="1"/>
    <col min="3" max="3" width="12.33203125" style="48" bestFit="1" customWidth="1"/>
    <col min="4" max="4" width="10.77734375" style="48" bestFit="1" customWidth="1"/>
    <col min="5" max="5" width="8.5546875" style="40" bestFit="1" customWidth="1"/>
    <col min="6" max="6" width="8" style="50" bestFit="1" customWidth="1"/>
    <col min="7" max="7" width="6.88671875" style="48" customWidth="1"/>
    <col min="8" max="8" width="8.6640625" style="40" bestFit="1" customWidth="1"/>
    <col min="9" max="9" width="8.5546875" style="40" bestFit="1" customWidth="1"/>
    <col min="10" max="10" width="11.77734375" style="51" customWidth="1"/>
    <col min="11" max="11" width="10.5546875" style="40" customWidth="1"/>
    <col min="12" max="12" width="7.88671875" style="44" customWidth="1"/>
    <col min="13" max="13" width="8.5546875" style="53" bestFit="1" customWidth="1"/>
    <col min="14" max="14" width="9.6640625" style="40" bestFit="1" customWidth="1"/>
    <col min="15" max="15" width="8.88671875" style="45" customWidth="1"/>
    <col min="16" max="16" width="6.5546875" style="54" customWidth="1"/>
    <col min="17" max="17" width="18.88671875" style="1" bestFit="1" customWidth="1"/>
    <col min="18" max="21" width="12.77734375" style="1" customWidth="1"/>
    <col min="22" max="16384" width="8.88671875" style="1"/>
  </cols>
  <sheetData>
    <row r="1" spans="1:16" ht="15.75" x14ac:dyDescent="0.25">
      <c r="A1" s="267" t="s">
        <v>61</v>
      </c>
      <c r="B1" s="268"/>
      <c r="C1" s="268"/>
      <c r="D1" s="268"/>
      <c r="E1" s="268"/>
      <c r="F1" s="268"/>
      <c r="G1" s="268"/>
      <c r="H1" s="268"/>
      <c r="I1" s="268"/>
      <c r="J1" s="268"/>
      <c r="K1" s="268"/>
      <c r="L1" s="268"/>
      <c r="M1" s="268"/>
      <c r="N1" s="268"/>
      <c r="O1" s="268"/>
      <c r="P1" s="269"/>
    </row>
    <row r="2" spans="1:16" ht="16.5" thickBot="1" x14ac:dyDescent="0.3">
      <c r="A2" s="270" t="s">
        <v>89</v>
      </c>
      <c r="B2" s="271"/>
      <c r="C2" s="271"/>
      <c r="D2" s="271"/>
      <c r="E2" s="271"/>
      <c r="F2" s="271"/>
      <c r="G2" s="271"/>
      <c r="H2" s="271"/>
      <c r="I2" s="271"/>
      <c r="J2" s="271"/>
      <c r="K2" s="271"/>
      <c r="L2" s="271"/>
      <c r="M2" s="271"/>
      <c r="N2" s="271"/>
      <c r="O2" s="271"/>
      <c r="P2" s="272"/>
    </row>
    <row r="3" spans="1:16" s="36" customFormat="1" ht="15.75" customHeight="1" x14ac:dyDescent="0.2">
      <c r="A3" s="273" t="s">
        <v>8</v>
      </c>
      <c r="B3" s="275" t="s">
        <v>5</v>
      </c>
      <c r="C3" s="276"/>
      <c r="D3" s="276"/>
      <c r="E3" s="277"/>
      <c r="F3" s="275" t="s">
        <v>6</v>
      </c>
      <c r="G3" s="276"/>
      <c r="H3" s="277"/>
      <c r="I3" s="278" t="s">
        <v>10</v>
      </c>
      <c r="J3" s="280" t="s">
        <v>62</v>
      </c>
      <c r="K3" s="282" t="s">
        <v>63</v>
      </c>
      <c r="L3" s="284" t="s">
        <v>7</v>
      </c>
      <c r="M3" s="285"/>
      <c r="N3" s="285"/>
      <c r="O3" s="286" t="s">
        <v>66</v>
      </c>
      <c r="P3" s="265" t="s">
        <v>73</v>
      </c>
    </row>
    <row r="4" spans="1:16" s="35" customFormat="1" ht="60" customHeight="1" x14ac:dyDescent="0.2">
      <c r="A4" s="274"/>
      <c r="B4" s="46" t="s">
        <v>37</v>
      </c>
      <c r="C4" s="46" t="s">
        <v>36</v>
      </c>
      <c r="D4" s="46" t="s">
        <v>38</v>
      </c>
      <c r="E4" s="41" t="s">
        <v>9</v>
      </c>
      <c r="F4" s="49" t="s">
        <v>58</v>
      </c>
      <c r="G4" s="46" t="s">
        <v>59</v>
      </c>
      <c r="H4" s="41" t="s">
        <v>60</v>
      </c>
      <c r="I4" s="279"/>
      <c r="J4" s="281"/>
      <c r="K4" s="283"/>
      <c r="L4" s="41" t="s">
        <v>11</v>
      </c>
      <c r="M4" s="52" t="s">
        <v>12</v>
      </c>
      <c r="N4" s="41" t="s">
        <v>65</v>
      </c>
      <c r="O4" s="287"/>
      <c r="P4" s="266"/>
    </row>
    <row r="5" spans="1:16" x14ac:dyDescent="0.2">
      <c r="A5" s="59">
        <f>'FERC Interest Rates'!A20</f>
        <v>41608</v>
      </c>
      <c r="B5" s="55">
        <v>8981544</v>
      </c>
      <c r="C5" s="55">
        <v>6245512</v>
      </c>
      <c r="D5" s="55">
        <v>1246219</v>
      </c>
      <c r="E5" s="91">
        <f t="shared" ref="E5:E28" si="0">SUM(B5:D5)</f>
        <v>16473275</v>
      </c>
      <c r="F5" s="50">
        <f>-3562+4052+1032</f>
        <v>1522</v>
      </c>
      <c r="G5" s="55">
        <f>-391811+391811+473546</f>
        <v>473546</v>
      </c>
      <c r="H5" s="91">
        <f t="shared" ref="H5:H18" si="1">SUM(F5:G5)</f>
        <v>475068</v>
      </c>
      <c r="I5" s="93">
        <f t="shared" ref="I5:I18" si="2">E5+H5</f>
        <v>16948343</v>
      </c>
      <c r="J5" s="55">
        <f>-42876225-32657013+42877182+32657503+39204659+27378417</f>
        <v>66584523</v>
      </c>
      <c r="K5" s="93">
        <f t="shared" ref="K5" si="3">I5+J5</f>
        <v>83532866</v>
      </c>
      <c r="L5" s="42" t="s">
        <v>64</v>
      </c>
      <c r="M5" s="47">
        <f>6694156+496393+160011+2427804+415916+1440127+893391+560544+1022722+273455-(6694156+496393+160011+2427804+415916+1440127+893391+560544+1022722+273455)+6877899+554962+2079912+3071618+306266+1422327+784739+529710+1054644+278549</f>
        <v>16960626</v>
      </c>
      <c r="N5" s="91">
        <f t="shared" ref="N5:N18" si="4">J5-M5</f>
        <v>49623897</v>
      </c>
      <c r="O5" s="93">
        <f t="shared" ref="O5:O18" si="5">K5-M5</f>
        <v>66572240</v>
      </c>
      <c r="P5" s="56">
        <f>-496393+496393+554962</f>
        <v>554962</v>
      </c>
    </row>
    <row r="6" spans="1:16" s="61" customFormat="1" x14ac:dyDescent="0.2">
      <c r="A6" s="59">
        <f>'FERC Interest Rates'!A21</f>
        <v>41639</v>
      </c>
      <c r="B6" s="55">
        <v>18320588</v>
      </c>
      <c r="C6" s="55">
        <v>11226493</v>
      </c>
      <c r="D6" s="55">
        <v>3079194</v>
      </c>
      <c r="E6" s="91">
        <f t="shared" si="0"/>
        <v>32626275</v>
      </c>
      <c r="F6" s="50">
        <f>-1032+1032+9420</f>
        <v>9420</v>
      </c>
      <c r="G6" s="55">
        <f>-473546+473546+594027</f>
        <v>594027</v>
      </c>
      <c r="H6" s="91">
        <f t="shared" si="1"/>
        <v>603447</v>
      </c>
      <c r="I6" s="93">
        <f t="shared" si="2"/>
        <v>33229722</v>
      </c>
      <c r="J6" s="55">
        <f>-39204659-27378417+39042548+27378417+42249626+40077801</f>
        <v>82165316</v>
      </c>
      <c r="K6" s="93">
        <f>I6+J6</f>
        <v>115395038</v>
      </c>
      <c r="L6" s="42" t="s">
        <v>64</v>
      </c>
      <c r="M6" s="47">
        <f>6877899+554962+2079912+2904516+306266+1422327+784739+529710+1054644+278549-(6877899+554962+2079912+3071618+306266+1422327+784739+529710+1054644+278549)+7483576+646377+5363751+3070454+401145+2035761+871026+432080+1151260+295911</f>
        <v>21584239</v>
      </c>
      <c r="N6" s="91">
        <f t="shared" si="4"/>
        <v>60581077</v>
      </c>
      <c r="O6" s="93">
        <f t="shared" si="5"/>
        <v>93810799</v>
      </c>
      <c r="P6" s="56">
        <f>-554962+554962+646377</f>
        <v>646377</v>
      </c>
    </row>
    <row r="7" spans="1:16" s="61" customFormat="1" x14ac:dyDescent="0.2">
      <c r="A7" s="59">
        <f>'FERC Interest Rates'!A22</f>
        <v>41670</v>
      </c>
      <c r="B7" s="55">
        <v>20899551</v>
      </c>
      <c r="C7" s="55">
        <v>15807954</v>
      </c>
      <c r="D7" s="55">
        <v>1390372</v>
      </c>
      <c r="E7" s="91">
        <f t="shared" si="0"/>
        <v>38097877</v>
      </c>
      <c r="F7" s="50">
        <f>-9420+9420+8828</f>
        <v>8828</v>
      </c>
      <c r="G7" s="55">
        <f>-594027+594027+549498</f>
        <v>549498</v>
      </c>
      <c r="H7" s="91">
        <f t="shared" si="1"/>
        <v>558326</v>
      </c>
      <c r="I7" s="93">
        <f t="shared" si="2"/>
        <v>38656203</v>
      </c>
      <c r="J7" s="55">
        <f>-42249626-40077801+42261388+40077801+43482656+31005941</f>
        <v>74500359</v>
      </c>
      <c r="K7" s="93">
        <f t="shared" ref="K7:K18" si="6">I7+J7</f>
        <v>113156562</v>
      </c>
      <c r="L7" s="42" t="s">
        <v>64</v>
      </c>
      <c r="M7" s="47">
        <f>7483576+650345+5363751+3070454+401145+2035761+871026+432080+1151260+295911-(7483576+646377+5363751+3070454+401145+2035761+871026+432080+1151260+295911)+7924631+591555+530261+2952608+274556+1903119+968198+560606+1168015+296681</f>
        <v>17174198</v>
      </c>
      <c r="N7" s="91">
        <f t="shared" si="4"/>
        <v>57326161</v>
      </c>
      <c r="O7" s="93">
        <f t="shared" si="5"/>
        <v>95982364</v>
      </c>
      <c r="P7" s="56">
        <f>-646377+650345+591555</f>
        <v>595523</v>
      </c>
    </row>
    <row r="8" spans="1:16" x14ac:dyDescent="0.2">
      <c r="A8" s="59">
        <f>'FERC Interest Rates'!A23</f>
        <v>41698</v>
      </c>
      <c r="B8" s="55">
        <v>18728366</v>
      </c>
      <c r="C8" s="55">
        <v>13972473</v>
      </c>
      <c r="D8" s="55">
        <v>1430555</v>
      </c>
      <c r="E8" s="91">
        <f t="shared" si="0"/>
        <v>34131394</v>
      </c>
      <c r="F8" s="50">
        <f>-8828+8828+14228</f>
        <v>14228</v>
      </c>
      <c r="G8" s="55">
        <f>-549498+549498+509515</f>
        <v>509515</v>
      </c>
      <c r="H8" s="91">
        <f t="shared" si="1"/>
        <v>523743</v>
      </c>
      <c r="I8" s="93">
        <f t="shared" si="2"/>
        <v>34655137</v>
      </c>
      <c r="J8" s="55">
        <f>-43482656-31005941+43519263+31240262+37914010+26420186</f>
        <v>64605124</v>
      </c>
      <c r="K8" s="93">
        <f t="shared" si="6"/>
        <v>99260261</v>
      </c>
      <c r="L8" s="42" t="s">
        <v>64</v>
      </c>
      <c r="M8" s="47">
        <f>7924631+591555+764582+2952608+274556+1903119+968198+560606+1168015+296681-(7924631+591555+530261+2952608+274556+1903119+968198+560606+1168015+296681)+7052079+530616+2340924+3093441+320341+1568449+697252+430841+1002529+285932</f>
        <v>17556725</v>
      </c>
      <c r="N8" s="91">
        <f t="shared" si="4"/>
        <v>47048399</v>
      </c>
      <c r="O8" s="93">
        <f t="shared" si="5"/>
        <v>81703536</v>
      </c>
      <c r="P8" s="56">
        <f>-591555+591555+530616</f>
        <v>530616</v>
      </c>
    </row>
    <row r="9" spans="1:16" x14ac:dyDescent="0.2">
      <c r="A9" s="59">
        <f>'FERC Interest Rates'!A24</f>
        <v>41729</v>
      </c>
      <c r="B9" s="55">
        <v>16273150</v>
      </c>
      <c r="C9" s="55">
        <v>12143699</v>
      </c>
      <c r="D9" s="55">
        <v>1316970</v>
      </c>
      <c r="E9" s="91">
        <f t="shared" si="0"/>
        <v>29733819</v>
      </c>
      <c r="F9" s="50">
        <f>-14228+14228+13441</f>
        <v>13441</v>
      </c>
      <c r="G9" s="55">
        <f>-509515+509515+447136</f>
        <v>447136</v>
      </c>
      <c r="H9" s="91">
        <f t="shared" si="1"/>
        <v>460577</v>
      </c>
      <c r="I9" s="93">
        <f t="shared" si="2"/>
        <v>30194396</v>
      </c>
      <c r="J9" s="55">
        <f>-37914010-26420186+37923911+26420186+38417588+12622035</f>
        <v>51049524</v>
      </c>
      <c r="K9" s="93">
        <f t="shared" si="6"/>
        <v>81243920</v>
      </c>
      <c r="L9" s="42" t="s">
        <v>64</v>
      </c>
      <c r="M9" s="47">
        <f>7052079+530616+2340924+3093441+320341+1568449+697252+430841+1002529+285932-(7052079+530616+2340924+3093441+320341+1568449+697252+430841+1002529+285932)+10350347+506888+358742+3325061+664366+1689724+886841+442692+1067268+298497</f>
        <v>19590426</v>
      </c>
      <c r="N9" s="91">
        <f t="shared" si="4"/>
        <v>31459098</v>
      </c>
      <c r="O9" s="93">
        <f t="shared" si="5"/>
        <v>61653494</v>
      </c>
      <c r="P9" s="56">
        <f>-530616+530616+506888</f>
        <v>506888</v>
      </c>
    </row>
    <row r="10" spans="1:16" x14ac:dyDescent="0.2">
      <c r="A10" s="59">
        <f>'FERC Interest Rates'!A25</f>
        <v>41759</v>
      </c>
      <c r="B10" s="55">
        <v>10535035</v>
      </c>
      <c r="C10" s="55">
        <v>6890795</v>
      </c>
      <c r="D10" s="55">
        <v>1792618</v>
      </c>
      <c r="E10" s="91">
        <f t="shared" si="0"/>
        <v>19218448</v>
      </c>
      <c r="F10" s="50">
        <f>-13441+13441+13712</f>
        <v>13712</v>
      </c>
      <c r="G10" s="55">
        <f>-447136+447136+369197</f>
        <v>369197</v>
      </c>
      <c r="H10" s="91">
        <f t="shared" si="1"/>
        <v>382909</v>
      </c>
      <c r="I10" s="93">
        <f t="shared" si="2"/>
        <v>19601357</v>
      </c>
      <c r="J10" s="55">
        <f>-38417588-12622035+38424653+12622035+35791910-1689724+12474229</f>
        <v>46583480</v>
      </c>
      <c r="K10" s="93">
        <f t="shared" si="6"/>
        <v>66184837</v>
      </c>
      <c r="L10" s="42" t="s">
        <v>64</v>
      </c>
      <c r="M10" s="47">
        <f>10350347+499489+358742+3325061+664366+1698951+886841+442692+1067268+298497-(10350347+506888+358742+3325061+664366+1689724+886841+442692+1067268+298497)+9796313+429432+80912+2379064+880319+1657442+751000+321536+1050993+291110</f>
        <v>17639949</v>
      </c>
      <c r="N10" s="91">
        <f t="shared" si="4"/>
        <v>28943531</v>
      </c>
      <c r="O10" s="93">
        <f t="shared" si="5"/>
        <v>48544888</v>
      </c>
      <c r="P10" s="56">
        <f>-506888+499489+429432</f>
        <v>422033</v>
      </c>
    </row>
    <row r="11" spans="1:16" x14ac:dyDescent="0.2">
      <c r="A11" s="59">
        <f>'FERC Interest Rates'!A26</f>
        <v>41790</v>
      </c>
      <c r="B11" s="55">
        <v>6529687</v>
      </c>
      <c r="C11" s="55">
        <v>5039544</v>
      </c>
      <c r="D11" s="55">
        <v>730395</v>
      </c>
      <c r="E11" s="91">
        <f t="shared" si="0"/>
        <v>12299626</v>
      </c>
      <c r="F11" s="50">
        <f>-13712+13712+7236</f>
        <v>7236</v>
      </c>
      <c r="G11" s="55">
        <f>-369197+369197+280289</f>
        <v>280289</v>
      </c>
      <c r="H11" s="91">
        <f t="shared" si="1"/>
        <v>287525</v>
      </c>
      <c r="I11" s="93">
        <f t="shared" si="2"/>
        <v>12587151</v>
      </c>
      <c r="J11" s="55">
        <f>-35791910+1689724-12474229+34110077+12473803+33859025+11641045</f>
        <v>45507535</v>
      </c>
      <c r="K11" s="93">
        <f t="shared" si="6"/>
        <v>58094686</v>
      </c>
      <c r="L11" s="42" t="s">
        <v>64</v>
      </c>
      <c r="M11" s="47">
        <f>9796313+429432+80912+2379064+880319+1657442+751000+321536+1050993+291110-(9796313+429432+80912+2379064+880319+1657442+751000+321536+1050993+291110)+6382262+410029+544843+2415879+816156+1521158+508591+363130+1076119+289404</f>
        <v>14327571</v>
      </c>
      <c r="N11" s="91">
        <f t="shared" si="4"/>
        <v>31179964</v>
      </c>
      <c r="O11" s="93">
        <f t="shared" si="5"/>
        <v>43767115</v>
      </c>
      <c r="P11" s="56">
        <f>-429432+429432+410029</f>
        <v>410029</v>
      </c>
    </row>
    <row r="12" spans="1:16" x14ac:dyDescent="0.2">
      <c r="A12" s="59">
        <f>'FERC Interest Rates'!A27</f>
        <v>41820</v>
      </c>
      <c r="B12" s="55">
        <v>3836089</v>
      </c>
      <c r="C12" s="55">
        <v>3473639</v>
      </c>
      <c r="D12" s="55">
        <v>585889</v>
      </c>
      <c r="E12" s="91">
        <f t="shared" si="0"/>
        <v>7895617</v>
      </c>
      <c r="F12" s="50">
        <f>-7236+7236+12495</f>
        <v>12495</v>
      </c>
      <c r="G12" s="55">
        <f>-280289+280289+236982</f>
        <v>236982</v>
      </c>
      <c r="H12" s="91">
        <f t="shared" si="1"/>
        <v>249477</v>
      </c>
      <c r="I12" s="93">
        <f t="shared" si="2"/>
        <v>8145094</v>
      </c>
      <c r="J12" s="55">
        <f>-33859025-11641045+33861261+11641045+33441588+9166991</f>
        <v>42610815</v>
      </c>
      <c r="K12" s="93">
        <f t="shared" si="6"/>
        <v>50755909</v>
      </c>
      <c r="L12" s="42" t="s">
        <v>64</v>
      </c>
      <c r="M12" s="47">
        <f>6382262+410029+544843+2415879+816156+1521158+508591+363130+1076119+289404-(6382262+410029+544843+2415879+816156+1521158+508591+363130+1076119+289404)+5496890+368800+100442+2601535+574764+1429307+631237+325924+1072958+266055</f>
        <v>12867912</v>
      </c>
      <c r="N12" s="91">
        <f t="shared" si="4"/>
        <v>29742903</v>
      </c>
      <c r="O12" s="93">
        <f t="shared" si="5"/>
        <v>37887997</v>
      </c>
      <c r="P12" s="56">
        <f>-410029+410029+368800</f>
        <v>368800</v>
      </c>
    </row>
    <row r="13" spans="1:16" x14ac:dyDescent="0.2">
      <c r="A13" s="59">
        <f>'FERC Interest Rates'!A28</f>
        <v>41851</v>
      </c>
      <c r="B13" s="55">
        <v>3200841</v>
      </c>
      <c r="C13" s="55">
        <v>3132555</v>
      </c>
      <c r="D13" s="55">
        <v>589225</v>
      </c>
      <c r="E13" s="91">
        <f t="shared" si="0"/>
        <v>6922621</v>
      </c>
      <c r="F13" s="50">
        <f>-12495+12495+9729</f>
        <v>9729</v>
      </c>
      <c r="G13" s="55">
        <f>-236982+236982+230095</f>
        <v>230095</v>
      </c>
      <c r="H13" s="91">
        <f t="shared" si="1"/>
        <v>239824</v>
      </c>
      <c r="I13" s="93">
        <f t="shared" si="2"/>
        <v>7162445</v>
      </c>
      <c r="J13" s="55">
        <f>-33441588-9166991+33447225+9166991+34241270+26302235</f>
        <v>60549142</v>
      </c>
      <c r="K13" s="93">
        <f t="shared" si="6"/>
        <v>67711587</v>
      </c>
      <c r="L13" s="42" t="s">
        <v>64</v>
      </c>
      <c r="M13" s="47">
        <f>5496890+371579+100442+2601535+574764+1429307+631237+325924+1072958+266055-(5496890+368800+100442+2601535+574764+1429307+631237+325924+1072958+266055)+6437743+362338+2115355+2428151+719594+1420571+430483+210238+1083197+270305</f>
        <v>15480754</v>
      </c>
      <c r="N13" s="91">
        <f t="shared" si="4"/>
        <v>45068388</v>
      </c>
      <c r="O13" s="93">
        <f t="shared" si="5"/>
        <v>52230833</v>
      </c>
      <c r="P13" s="56">
        <f>-368800+371579+362338</f>
        <v>365117</v>
      </c>
    </row>
    <row r="14" spans="1:16" x14ac:dyDescent="0.2">
      <c r="A14" s="59">
        <f>'FERC Interest Rates'!A29</f>
        <v>41882</v>
      </c>
      <c r="B14" s="55">
        <v>2405032</v>
      </c>
      <c r="C14" s="55">
        <v>2624238</v>
      </c>
      <c r="D14" s="55">
        <v>469407</v>
      </c>
      <c r="E14" s="91">
        <f t="shared" si="0"/>
        <v>5498677</v>
      </c>
      <c r="F14" s="50">
        <f>-9729+9729+11012</f>
        <v>11012</v>
      </c>
      <c r="G14" s="55">
        <f>-230095+230095+209217</f>
        <v>209217</v>
      </c>
      <c r="H14" s="91">
        <f t="shared" si="1"/>
        <v>220229</v>
      </c>
      <c r="I14" s="93">
        <f t="shared" si="2"/>
        <v>5718906</v>
      </c>
      <c r="J14" s="55">
        <f>-34241270-26302235+34190840+26302235+35905732+41041046</f>
        <v>76896348</v>
      </c>
      <c r="K14" s="93">
        <f t="shared" si="6"/>
        <v>82615254</v>
      </c>
      <c r="L14" s="42" t="s">
        <v>64</v>
      </c>
      <c r="M14" s="47">
        <f>6437743+362338+2115355+2428151+719594+1420571+430483+210238+1083197+270305-(6437743+362338+2115355+2428151+719594+1420571+430483+210238+1083197+270305)+6468590+386762+5042350+2333053+500625+1378732+767133+428981+1079807+270265</f>
        <v>18656298</v>
      </c>
      <c r="N14" s="91">
        <f t="shared" si="4"/>
        <v>58240050</v>
      </c>
      <c r="O14" s="93">
        <f t="shared" si="5"/>
        <v>63958956</v>
      </c>
      <c r="P14" s="56">
        <f>-362338+362338+386762</f>
        <v>386762</v>
      </c>
    </row>
    <row r="15" spans="1:16" x14ac:dyDescent="0.2">
      <c r="A15" s="59">
        <f>'FERC Interest Rates'!A30</f>
        <v>41912</v>
      </c>
      <c r="B15" s="55">
        <v>2661734</v>
      </c>
      <c r="C15" s="55">
        <v>2810250</v>
      </c>
      <c r="D15" s="55">
        <v>633602</v>
      </c>
      <c r="E15" s="91">
        <f t="shared" si="0"/>
        <v>6105586</v>
      </c>
      <c r="F15" s="50">
        <f>-11012+11012+12365</f>
        <v>12365</v>
      </c>
      <c r="G15" s="55">
        <f>-209217+209217+251364</f>
        <v>251364</v>
      </c>
      <c r="H15" s="91">
        <f t="shared" si="1"/>
        <v>263729</v>
      </c>
      <c r="I15" s="93">
        <f t="shared" si="2"/>
        <v>6369315</v>
      </c>
      <c r="J15" s="55">
        <f>-35905732-41041046+35905963+41041046+37015948+38913065</f>
        <v>75929244</v>
      </c>
      <c r="K15" s="93">
        <f t="shared" si="6"/>
        <v>82298559</v>
      </c>
      <c r="L15" s="42" t="s">
        <v>64</v>
      </c>
      <c r="M15" s="47">
        <f>6468590+386762+5042350+2333053+500625+1378732+767133+428981+1079807+270265-(6468590+386762+5042350+2333053+500625+1378732+767133+428981+1079807+270265)+6768259+397090+4746980+2796281+172941+1499626+782947+412733+1044404+257076</f>
        <v>18878337</v>
      </c>
      <c r="N15" s="91">
        <f t="shared" si="4"/>
        <v>57050907</v>
      </c>
      <c r="O15" s="93">
        <f t="shared" si="5"/>
        <v>63420222</v>
      </c>
      <c r="P15" s="56">
        <f>-386762+386762+397090</f>
        <v>397090</v>
      </c>
    </row>
    <row r="16" spans="1:16" s="61" customFormat="1" x14ac:dyDescent="0.2">
      <c r="A16" s="37">
        <f>'FERC Interest Rates'!A31</f>
        <v>41943</v>
      </c>
      <c r="B16" s="57">
        <v>3641361</v>
      </c>
      <c r="C16" s="57">
        <v>3597412</v>
      </c>
      <c r="D16" s="57">
        <v>1455055</v>
      </c>
      <c r="E16" s="92">
        <f t="shared" si="0"/>
        <v>8693828</v>
      </c>
      <c r="F16" s="58">
        <f>-12365+12365+12119</f>
        <v>12119</v>
      </c>
      <c r="G16" s="57">
        <f>-251364+251364+300915</f>
        <v>300915</v>
      </c>
      <c r="H16" s="92">
        <f t="shared" si="1"/>
        <v>313034</v>
      </c>
      <c r="I16" s="94">
        <f t="shared" si="2"/>
        <v>9006862</v>
      </c>
      <c r="J16" s="57">
        <f>-37015948-38913065+37019829+38913065+41711206+26835958</f>
        <v>68551045</v>
      </c>
      <c r="K16" s="94">
        <f t="shared" si="6"/>
        <v>77557907</v>
      </c>
      <c r="L16" s="43" t="s">
        <v>64</v>
      </c>
      <c r="M16" s="57">
        <f>6768259+400820+4746980+2796281+172941+1499626+782947+412733+1044404+257076-(6768259+397090+4746980+2796281+172941+1499626+782947+412733+1044404+257076)+7053573+428038+602341+2997600+38078+1574772+801305+400565+1128241+282568</f>
        <v>15310811</v>
      </c>
      <c r="N16" s="92">
        <f t="shared" si="4"/>
        <v>53240234</v>
      </c>
      <c r="O16" s="94">
        <f t="shared" si="5"/>
        <v>62247096</v>
      </c>
      <c r="P16" s="57">
        <f>-397090+400820+428038</f>
        <v>431768</v>
      </c>
    </row>
    <row r="17" spans="1:16" s="61" customFormat="1" x14ac:dyDescent="0.2">
      <c r="A17" s="59">
        <f>'FERC Interest Rates'!A32</f>
        <v>41973</v>
      </c>
      <c r="B17" s="55">
        <v>6851471</v>
      </c>
      <c r="C17" s="55">
        <v>4831845</v>
      </c>
      <c r="D17" s="55">
        <v>977303</v>
      </c>
      <c r="E17" s="91">
        <f t="shared" si="0"/>
        <v>12660619</v>
      </c>
      <c r="F17" s="50">
        <f>-12119+12119+11804</f>
        <v>11804</v>
      </c>
      <c r="G17" s="55">
        <f>-300915+300915+461069</f>
        <v>461069</v>
      </c>
      <c r="H17" s="91">
        <f t="shared" si="1"/>
        <v>472873</v>
      </c>
      <c r="I17" s="93">
        <f t="shared" si="2"/>
        <v>13133492</v>
      </c>
      <c r="J17" s="55">
        <f>-41711206-26835958+41710039+26835958+42244606+21309993</f>
        <v>63553432</v>
      </c>
      <c r="K17" s="93">
        <f t="shared" si="6"/>
        <v>76686924</v>
      </c>
      <c r="L17" s="42" t="s">
        <v>64</v>
      </c>
      <c r="M17" s="47">
        <f>7053573+428038+602341+2997600+38078+1574772+801305+400565+1128241+282568-(7053573+428038+602341+2997600+38078+1574772+801305+400565+1128241+282568)+7251568+535558+2317939+3141571+362918+1926299+824310+457802+1171801+290801</f>
        <v>18280567</v>
      </c>
      <c r="N17" s="91">
        <f t="shared" si="4"/>
        <v>45272865</v>
      </c>
      <c r="O17" s="93">
        <f t="shared" si="5"/>
        <v>58406357</v>
      </c>
      <c r="P17" s="56">
        <f>-428038+428038+535558</f>
        <v>535558</v>
      </c>
    </row>
    <row r="18" spans="1:16" s="61" customFormat="1" x14ac:dyDescent="0.2">
      <c r="A18" s="59">
        <f>'FERC Interest Rates'!A33</f>
        <v>42004</v>
      </c>
      <c r="B18" s="55">
        <v>16768304</v>
      </c>
      <c r="C18" s="55">
        <v>12223769</v>
      </c>
      <c r="D18" s="55">
        <v>1506794</v>
      </c>
      <c r="E18" s="91">
        <f t="shared" si="0"/>
        <v>30498867</v>
      </c>
      <c r="F18" s="50">
        <f>-11804+11804+11017</f>
        <v>11017</v>
      </c>
      <c r="G18" s="55">
        <f>-461069+461069+527921</f>
        <v>527921</v>
      </c>
      <c r="H18" s="91">
        <f t="shared" si="1"/>
        <v>538938</v>
      </c>
      <c r="I18" s="93">
        <f t="shared" si="2"/>
        <v>31037805</v>
      </c>
      <c r="J18" s="55">
        <f>-42244606-21309993+42268246+21245123+42259375+20530964</f>
        <v>62749109</v>
      </c>
      <c r="K18" s="93">
        <f t="shared" si="6"/>
        <v>93786914</v>
      </c>
      <c r="L18" s="42" t="s">
        <v>64</v>
      </c>
      <c r="M18" s="47">
        <f>7251568+535558+2317939+3141571+298048+1926299+824310+457802+1171801+290801-(7251568+535558+2317939+3141571+362918+1926299+824310+457802+1171801+290801)+7671976+596910+1235157+3610898+362819+2082095+831536+448199+1199625+297405</f>
        <v>18271750</v>
      </c>
      <c r="N18" s="91">
        <f t="shared" si="4"/>
        <v>44477359</v>
      </c>
      <c r="O18" s="93">
        <f t="shared" si="5"/>
        <v>75515164</v>
      </c>
      <c r="P18" s="56">
        <f>-535558+535558+596910</f>
        <v>596910</v>
      </c>
    </row>
    <row r="19" spans="1:16" s="61" customFormat="1" x14ac:dyDescent="0.2">
      <c r="A19" s="59">
        <f>'FERC Interest Rates'!A34</f>
        <v>42035</v>
      </c>
      <c r="B19" s="55">
        <v>17578866</v>
      </c>
      <c r="C19" s="55">
        <v>12961800</v>
      </c>
      <c r="D19" s="55">
        <v>1412476</v>
      </c>
      <c r="E19" s="91">
        <f t="shared" si="0"/>
        <v>31953142</v>
      </c>
      <c r="F19" s="50">
        <f>-11017+11017+12204</f>
        <v>12204</v>
      </c>
      <c r="G19" s="55">
        <f>-527921+527921+529386</f>
        <v>529386</v>
      </c>
      <c r="H19" s="91">
        <f t="shared" ref="H19:H28" si="7">SUM(F19:G19)</f>
        <v>541590</v>
      </c>
      <c r="I19" s="93">
        <f t="shared" ref="I19:I30" si="8">E19+H19</f>
        <v>32494732</v>
      </c>
      <c r="J19" s="55">
        <f>-42259375-20530964+42269854+20530964+41276535+19117684</f>
        <v>60404698</v>
      </c>
      <c r="K19" s="93">
        <f t="shared" ref="K19:K30" si="9">I19+J19</f>
        <v>92899430</v>
      </c>
      <c r="L19" s="42" t="s">
        <v>64</v>
      </c>
      <c r="M19" s="47">
        <f>7671976+601614+1235157+3610898+362819+2082095+831536+448199+1199625+297405-(7671976+596910+1235157+3610898+362819+2082095+831536+448199+1199625+297405)+7775240+628657+261306+2998359+565275+2128262+1002064+552389+1164723+315674</f>
        <v>17396653</v>
      </c>
      <c r="N19" s="91">
        <f t="shared" ref="N19:N30" si="10">J19-M19</f>
        <v>43008045</v>
      </c>
      <c r="O19" s="93">
        <f t="shared" ref="O19:O30" si="11">K19-M19</f>
        <v>75502777</v>
      </c>
      <c r="P19" s="56">
        <f>-596910+601614+628657</f>
        <v>633361</v>
      </c>
    </row>
    <row r="20" spans="1:16" s="61" customFormat="1" x14ac:dyDescent="0.2">
      <c r="A20" s="59">
        <f>'FERC Interest Rates'!A35</f>
        <v>42063</v>
      </c>
      <c r="B20" s="55">
        <v>14997100</v>
      </c>
      <c r="C20" s="55">
        <v>11518730</v>
      </c>
      <c r="D20" s="55">
        <v>1613976</v>
      </c>
      <c r="E20" s="91">
        <f t="shared" si="0"/>
        <v>28129806</v>
      </c>
      <c r="F20" s="50">
        <v>14542</v>
      </c>
      <c r="G20" s="55">
        <f>-529386+529366+405270</f>
        <v>405250</v>
      </c>
      <c r="H20" s="91">
        <f t="shared" si="7"/>
        <v>419792</v>
      </c>
      <c r="I20" s="93">
        <f t="shared" si="8"/>
        <v>28549598</v>
      </c>
      <c r="J20" s="55">
        <f>-41276535-19117684+41280723+19117539+34347690+12512992</f>
        <v>46864725</v>
      </c>
      <c r="K20" s="93">
        <f t="shared" si="9"/>
        <v>75414323</v>
      </c>
      <c r="L20" s="42" t="s">
        <v>64</v>
      </c>
      <c r="M20" s="47">
        <f>7775240+628657+261306+2998359+565275+2128262+1002064+552389+1164723+315674-(7775240+628657+261306+2998359+565275+2128262+1002064+552389+1164723+315674)+5552771+509140+113871+2075909+864722+1967544+801800+470618+1096799+284521</f>
        <v>13737695</v>
      </c>
      <c r="N20" s="91">
        <f t="shared" si="10"/>
        <v>33127030</v>
      </c>
      <c r="O20" s="93">
        <f t="shared" si="11"/>
        <v>61676628</v>
      </c>
      <c r="P20" s="56">
        <f>-628657+628657+509140</f>
        <v>509140</v>
      </c>
    </row>
    <row r="21" spans="1:16" s="61" customFormat="1" x14ac:dyDescent="0.2">
      <c r="A21" s="59">
        <f>'FERC Interest Rates'!A36</f>
        <v>42094</v>
      </c>
      <c r="B21" s="55">
        <v>12686420</v>
      </c>
      <c r="C21" s="55">
        <v>9397664</v>
      </c>
      <c r="D21" s="55">
        <v>1284186</v>
      </c>
      <c r="E21" s="91">
        <f t="shared" si="0"/>
        <v>23368270</v>
      </c>
      <c r="F21" s="50">
        <f>-14542+14415+9557</f>
        <v>9430</v>
      </c>
      <c r="G21" s="55">
        <f>-405270+405270+394245</f>
        <v>394245</v>
      </c>
      <c r="H21" s="91">
        <f t="shared" si="7"/>
        <v>403675</v>
      </c>
      <c r="I21" s="93">
        <f t="shared" si="8"/>
        <v>23771945</v>
      </c>
      <c r="J21" s="55">
        <f>-34347690-12512992+34352010+12512992+38005282+20640594</f>
        <v>58650196</v>
      </c>
      <c r="K21" s="93">
        <f t="shared" si="9"/>
        <v>82422141</v>
      </c>
      <c r="L21" s="42" t="s">
        <v>64</v>
      </c>
      <c r="M21" s="47">
        <f>5552771+509140+113871+2075909+864722+1967544+801800+470618+1096799+284521-(5552771+509140+113871+2075909+864722+1967544+801800+470618+1096799+284521)+7235152+531599+201239+2265435+683468+2369837+650095+383330+1085376+314698</f>
        <v>15720229</v>
      </c>
      <c r="N21" s="91">
        <f t="shared" si="10"/>
        <v>42929967</v>
      </c>
      <c r="O21" s="93">
        <f t="shared" si="11"/>
        <v>66701912</v>
      </c>
      <c r="P21" s="56">
        <f>-509140+509140+531599</f>
        <v>531599</v>
      </c>
    </row>
    <row r="22" spans="1:16" s="61" customFormat="1" x14ac:dyDescent="0.2">
      <c r="A22" s="59">
        <f>'FERC Interest Rates'!A37</f>
        <v>42124</v>
      </c>
      <c r="B22" s="55">
        <v>9059678</v>
      </c>
      <c r="C22" s="55">
        <v>6918371</v>
      </c>
      <c r="D22" s="55">
        <v>935256</v>
      </c>
      <c r="E22" s="91">
        <f t="shared" si="0"/>
        <v>16913305</v>
      </c>
      <c r="F22" s="50">
        <f>-9557+9254+12199</f>
        <v>11896</v>
      </c>
      <c r="G22" s="55">
        <f>-394245+394245+361119</f>
        <v>361119</v>
      </c>
      <c r="H22" s="91">
        <f t="shared" si="7"/>
        <v>373015</v>
      </c>
      <c r="I22" s="93">
        <f t="shared" si="8"/>
        <v>17286320</v>
      </c>
      <c r="J22" s="55">
        <f>-38005282-20640594+38009615+20640594+33858981+20115722</f>
        <v>53979036</v>
      </c>
      <c r="K22" s="93">
        <f t="shared" si="9"/>
        <v>71265356</v>
      </c>
      <c r="L22" s="42" t="s">
        <v>64</v>
      </c>
      <c r="M22" s="47">
        <f>7235152+533473+201239+2265435+683468+2369837+650095+383330+1085376+314698-(7235152+531599+201239+2265435+683468+2369837+650095+383330+1085376+314698)+6684964+463039+552050+2607855+93873+1702162+890245+361162+1107762+342282</f>
        <v>14807268</v>
      </c>
      <c r="N22" s="91">
        <f t="shared" si="10"/>
        <v>39171768</v>
      </c>
      <c r="O22" s="93">
        <f t="shared" si="11"/>
        <v>56458088</v>
      </c>
      <c r="P22" s="56">
        <f>-531599+533473+463039</f>
        <v>464913</v>
      </c>
    </row>
    <row r="23" spans="1:16" s="61" customFormat="1" x14ac:dyDescent="0.2">
      <c r="A23" s="59">
        <f>'FERC Interest Rates'!A38</f>
        <v>42155</v>
      </c>
      <c r="B23" s="55">
        <v>6136917</v>
      </c>
      <c r="C23" s="55">
        <v>4971568</v>
      </c>
      <c r="D23" s="55">
        <v>856194</v>
      </c>
      <c r="E23" s="91">
        <f t="shared" si="0"/>
        <v>11964679</v>
      </c>
      <c r="F23" s="50">
        <f>-12199+12199+14905</f>
        <v>14905</v>
      </c>
      <c r="G23" s="55">
        <f>-361119+361119+268036</f>
        <v>268036</v>
      </c>
      <c r="H23" s="91">
        <f t="shared" si="7"/>
        <v>282941</v>
      </c>
      <c r="I23" s="93">
        <f t="shared" si="8"/>
        <v>12247620</v>
      </c>
      <c r="J23" s="55">
        <f>-33858981-20115722+33860743+20115722+33470121+27542200</f>
        <v>61014083</v>
      </c>
      <c r="K23" s="93">
        <f t="shared" si="9"/>
        <v>73261703</v>
      </c>
      <c r="L23" s="42" t="s">
        <v>64</v>
      </c>
      <c r="M23" s="47">
        <f>6684964+463039+552050+2609617+93873+1702162+890245+361162+1107762+342282-(6684964+463039+552050+2607855+93873+1702162+890245+361162+1107762+342282)+7000246+456023+1621381+2652137+524882+1621847+374191+391728+1106384+340345</f>
        <v>16090926</v>
      </c>
      <c r="N23" s="91">
        <f t="shared" si="10"/>
        <v>44923157</v>
      </c>
      <c r="O23" s="93">
        <f t="shared" si="11"/>
        <v>57170777</v>
      </c>
      <c r="P23" s="56">
        <f>-463039+463039+456023</f>
        <v>456023</v>
      </c>
    </row>
    <row r="24" spans="1:16" s="61" customFormat="1" x14ac:dyDescent="0.2">
      <c r="A24" s="59">
        <f>'FERC Interest Rates'!A39</f>
        <v>42185</v>
      </c>
      <c r="B24" s="55">
        <v>3875649</v>
      </c>
      <c r="C24" s="55">
        <v>3719322</v>
      </c>
      <c r="D24" s="55">
        <v>678441</v>
      </c>
      <c r="E24" s="91">
        <f t="shared" si="0"/>
        <v>8273412</v>
      </c>
      <c r="F24" s="50">
        <f>-14905+14905+16538</f>
        <v>16538</v>
      </c>
      <c r="G24" s="55">
        <f>-268036+268036+223986</f>
        <v>223986</v>
      </c>
      <c r="H24" s="91">
        <f t="shared" si="7"/>
        <v>240524</v>
      </c>
      <c r="I24" s="93">
        <f t="shared" si="8"/>
        <v>8513936</v>
      </c>
      <c r="J24" s="55">
        <f>-33470121-27542200+33471024+27542200+32081827+26900425</f>
        <v>58983155</v>
      </c>
      <c r="K24" s="93">
        <f t="shared" si="9"/>
        <v>67497091</v>
      </c>
      <c r="L24" s="42" t="s">
        <v>64</v>
      </c>
      <c r="M24" s="47">
        <f>7000246+456023+1621381+2652137+524882+1621847+374191+391728+1106384+340345-(7000246+456023+1621381+2652137+524882+1621847+374191+391728+1106384+340345)+3937653+391055+5658892+2168854+1382635+1646732+737859+425098+1015536+329092</f>
        <v>17693406</v>
      </c>
      <c r="N24" s="91">
        <f t="shared" si="10"/>
        <v>41289749</v>
      </c>
      <c r="O24" s="93">
        <f t="shared" si="11"/>
        <v>49803685</v>
      </c>
      <c r="P24" s="56">
        <f>-456023+456023+391055</f>
        <v>391055</v>
      </c>
    </row>
    <row r="25" spans="1:16" s="61" customFormat="1" x14ac:dyDescent="0.2">
      <c r="A25" s="59">
        <f>'FERC Interest Rates'!A40</f>
        <v>42216</v>
      </c>
      <c r="B25" s="55">
        <v>2480569</v>
      </c>
      <c r="C25" s="55">
        <v>2695667</v>
      </c>
      <c r="D25" s="55">
        <v>589631</v>
      </c>
      <c r="E25" s="91">
        <f t="shared" si="0"/>
        <v>5765867</v>
      </c>
      <c r="F25" s="50">
        <f>-16538+16538+8369</f>
        <v>8369</v>
      </c>
      <c r="G25" s="55">
        <f>-223986+223986+197044</f>
        <v>197044</v>
      </c>
      <c r="H25" s="91">
        <f t="shared" si="7"/>
        <v>205413</v>
      </c>
      <c r="I25" s="93">
        <f t="shared" si="8"/>
        <v>5971280</v>
      </c>
      <c r="J25" s="55">
        <f>-32081827-26900425+32083570+26898912+29865378+40621369</f>
        <v>70486977</v>
      </c>
      <c r="K25" s="93">
        <f>I25+J25</f>
        <v>76458257</v>
      </c>
      <c r="L25" s="42" t="s">
        <v>64</v>
      </c>
      <c r="M25" s="47">
        <f>3937653+392798+5658892+2168854+1382635+1646732+737859+425098+1015536+329092-(3937653+391055+5658892+2168854+1382635+1646732+737859+425098+1015536+329092)+7284221+382367+5999621+2253453+469138+1673592+658284+325589+1103993+323435</f>
        <v>20475436</v>
      </c>
      <c r="N25" s="91">
        <f>J25-M25</f>
        <v>50011541</v>
      </c>
      <c r="O25" s="93">
        <f t="shared" si="11"/>
        <v>55982821</v>
      </c>
      <c r="P25" s="56">
        <f>-391055+392798+382367</f>
        <v>384110</v>
      </c>
    </row>
    <row r="26" spans="1:16" s="61" customFormat="1" x14ac:dyDescent="0.2">
      <c r="A26" s="59">
        <f>'FERC Interest Rates'!A41</f>
        <v>42247</v>
      </c>
      <c r="B26" s="55">
        <v>2474134</v>
      </c>
      <c r="C26" s="55">
        <v>2789182</v>
      </c>
      <c r="D26" s="55">
        <v>586174</v>
      </c>
      <c r="E26" s="91">
        <f t="shared" si="0"/>
        <v>5849490</v>
      </c>
      <c r="F26" s="50">
        <f>-8369+8369+11302</f>
        <v>11302</v>
      </c>
      <c r="G26" s="55">
        <f>-197044+197044+188629</f>
        <v>188629</v>
      </c>
      <c r="H26" s="91">
        <f t="shared" si="7"/>
        <v>199931</v>
      </c>
      <c r="I26" s="93">
        <f t="shared" si="8"/>
        <v>6049421</v>
      </c>
      <c r="J26" s="55">
        <f>-29865378-40621369+29865378+40621369+31792227+36774894</f>
        <v>68567121</v>
      </c>
      <c r="K26" s="93">
        <f t="shared" si="9"/>
        <v>74616542</v>
      </c>
      <c r="L26" s="42" t="s">
        <v>64</v>
      </c>
      <c r="M26" s="47">
        <f>7284221+382367+5999621+2253453+469138+1673592+658284+325589+1103993+323435-(7284221+382367+5999621+2253453+469138+1673592+658284+325589+1103993+323435)+5979173+397888+4103554+1975935+1000277+1584845+784690+404637+1090094+324857</f>
        <v>17645950</v>
      </c>
      <c r="N26" s="91">
        <f t="shared" si="10"/>
        <v>50921171</v>
      </c>
      <c r="O26" s="93">
        <f t="shared" si="11"/>
        <v>56970592</v>
      </c>
      <c r="P26" s="56">
        <f>-382367+382367+397888</f>
        <v>397888</v>
      </c>
    </row>
    <row r="27" spans="1:16" s="61" customFormat="1" x14ac:dyDescent="0.2">
      <c r="A27" s="59">
        <f>'FERC Interest Rates'!A42</f>
        <v>42277</v>
      </c>
      <c r="B27" s="55">
        <v>2883443</v>
      </c>
      <c r="C27" s="55">
        <f>2956283+10810</f>
        <v>2967093</v>
      </c>
      <c r="D27" s="55">
        <f>1097150+10275</f>
        <v>1107425</v>
      </c>
      <c r="E27" s="91">
        <f t="shared" si="0"/>
        <v>6957961</v>
      </c>
      <c r="F27" s="50">
        <f>-11302+11302+10868</f>
        <v>10868</v>
      </c>
      <c r="G27" s="55">
        <f>-188629+188629+238237</f>
        <v>238237</v>
      </c>
      <c r="H27" s="91">
        <f t="shared" si="7"/>
        <v>249105</v>
      </c>
      <c r="I27" s="93">
        <f t="shared" si="8"/>
        <v>7207066</v>
      </c>
      <c r="J27" s="55">
        <f>-31792227-36774894+31792227+36774894+33527440+33218245</f>
        <v>66745685</v>
      </c>
      <c r="K27" s="93">
        <f t="shared" si="9"/>
        <v>73952751</v>
      </c>
      <c r="L27" s="42" t="s">
        <v>64</v>
      </c>
      <c r="M27" s="47">
        <f>5979173+397888+4103554+1975935+1000277+1584845+784690+404637+1090094+324857-(5979173+397888+4103554+1975935+1000277+1584845+784690+404637+1090094+324857)+6663969+400700+2529166+1980304+859837+1282479+714718+417143+1052339+327569</f>
        <v>16228224</v>
      </c>
      <c r="N27" s="91">
        <f t="shared" si="10"/>
        <v>50517461</v>
      </c>
      <c r="O27" s="93">
        <f t="shared" si="11"/>
        <v>57724527</v>
      </c>
      <c r="P27" s="56">
        <f>-397888+397888+400700</f>
        <v>400700</v>
      </c>
    </row>
    <row r="28" spans="1:16" s="61" customFormat="1" x14ac:dyDescent="0.2">
      <c r="A28" s="37">
        <f>'FERC Interest Rates'!A43</f>
        <v>42308</v>
      </c>
      <c r="B28" s="57">
        <v>4297977</v>
      </c>
      <c r="C28" s="57">
        <f>-10810+3997908</f>
        <v>3987098</v>
      </c>
      <c r="D28" s="57">
        <f>-10275+1402526</f>
        <v>1392251</v>
      </c>
      <c r="E28" s="92">
        <f t="shared" si="0"/>
        <v>9677326</v>
      </c>
      <c r="F28" s="58">
        <f>-10868+10868+11066</f>
        <v>11066</v>
      </c>
      <c r="G28" s="57">
        <f>-238237+238237+286826</f>
        <v>286826</v>
      </c>
      <c r="H28" s="92">
        <f t="shared" si="7"/>
        <v>297892</v>
      </c>
      <c r="I28" s="94">
        <f t="shared" si="8"/>
        <v>9975218</v>
      </c>
      <c r="J28" s="133">
        <f>-33527440-33218245+33530455+33218245+38814601+32479005</f>
        <v>71296621</v>
      </c>
      <c r="K28" s="94">
        <f t="shared" si="9"/>
        <v>81271839</v>
      </c>
      <c r="L28" s="43" t="s">
        <v>64</v>
      </c>
      <c r="M28" s="134">
        <f>6663969+403715+2529166+1980304+859837+1282479+714718+417143+1052339+327569-(6663969+400700+2529166+1980304+859837+1282479+714718+417143+1052339+327569)+7576528+445697+1221919+2731712+275052+1875869+854414+417872+1105719+323839</f>
        <v>16831636</v>
      </c>
      <c r="N28" s="92">
        <f t="shared" si="10"/>
        <v>54464985</v>
      </c>
      <c r="O28" s="94">
        <f t="shared" si="11"/>
        <v>64440203</v>
      </c>
      <c r="P28" s="135">
        <f>-400700+403715+445697</f>
        <v>448712</v>
      </c>
    </row>
    <row r="29" spans="1:16" s="101" customFormat="1" x14ac:dyDescent="0.2">
      <c r="A29" s="59">
        <f>'FERC Interest Rates'!A44</f>
        <v>42338</v>
      </c>
      <c r="B29" s="55">
        <v>7123102</v>
      </c>
      <c r="C29" s="55">
        <v>5044532</v>
      </c>
      <c r="D29" s="55">
        <v>935529</v>
      </c>
      <c r="E29" s="91">
        <f t="shared" ref="E29:E34" si="12">SUM(B29:D29)</f>
        <v>13103163</v>
      </c>
      <c r="F29" s="50">
        <f>-11066+11066+15659</f>
        <v>15659</v>
      </c>
      <c r="G29" s="55">
        <f>-286826+286826+424322</f>
        <v>424322</v>
      </c>
      <c r="H29" s="91">
        <f t="shared" ref="H29:H30" si="13">SUM(F29:G29)</f>
        <v>439981</v>
      </c>
      <c r="I29" s="93">
        <f t="shared" si="8"/>
        <v>13543144</v>
      </c>
      <c r="J29" s="55">
        <f>-38814601-32479005+38810516+32637068+38536211+36698347</f>
        <v>75388536</v>
      </c>
      <c r="K29" s="93">
        <f t="shared" si="9"/>
        <v>88931680</v>
      </c>
      <c r="L29" s="42" t="s">
        <v>64</v>
      </c>
      <c r="M29" s="47">
        <f>7576528+445697+1379982+2731712+275052+1875869+854414+417872+1105719+323839-(7576528+445697+1221919+2731712+275052+1875869+854414+417872+1105719+323839)+7257509+535022+4079051+3147933+331951+2441091+854240+492348+1032222+332415</f>
        <v>20661845</v>
      </c>
      <c r="N29" s="91">
        <f t="shared" si="10"/>
        <v>54726691</v>
      </c>
      <c r="O29" s="93">
        <f t="shared" si="11"/>
        <v>68269835</v>
      </c>
      <c r="P29" s="56">
        <f>-445697+445697+535022</f>
        <v>535022</v>
      </c>
    </row>
    <row r="30" spans="1:16" s="101" customFormat="1" x14ac:dyDescent="0.2">
      <c r="A30" s="59">
        <f>'FERC Interest Rates'!A45</f>
        <v>42369</v>
      </c>
      <c r="B30" s="55">
        <v>16299312</v>
      </c>
      <c r="C30" s="55">
        <v>11530090</v>
      </c>
      <c r="D30" s="55">
        <v>1360411</v>
      </c>
      <c r="E30" s="91">
        <f t="shared" si="12"/>
        <v>29189813</v>
      </c>
      <c r="F30" s="50">
        <f>-15659+406+272</f>
        <v>-14981</v>
      </c>
      <c r="G30" s="55">
        <f>-424322+424322+491485</f>
        <v>491485</v>
      </c>
      <c r="H30" s="91">
        <f t="shared" si="13"/>
        <v>476504</v>
      </c>
      <c r="I30" s="93">
        <f t="shared" si="8"/>
        <v>29666317</v>
      </c>
      <c r="J30" s="55">
        <f>-38536211-36698347+38694815+36698347+41166774+28548549</f>
        <v>69873927</v>
      </c>
      <c r="K30" s="93">
        <f t="shared" si="9"/>
        <v>99540244</v>
      </c>
      <c r="L30" s="42" t="s">
        <v>64</v>
      </c>
      <c r="M30" s="47">
        <f>7257509+535022+4079051+3147933+331951+2441091+854240+492348+1032222+332415-(7257509+535022+4079051+3147933+331951+2441091+854240+492348+1032222+332415)+7799801+310029+617027+3019366+119111+2902368+743768+421378+1099518+385043</f>
        <v>17417409</v>
      </c>
      <c r="N30" s="91">
        <f t="shared" si="10"/>
        <v>52456518</v>
      </c>
      <c r="O30" s="93">
        <f t="shared" si="11"/>
        <v>82122835</v>
      </c>
      <c r="P30" s="56">
        <f>-535022+535022+310029</f>
        <v>310029</v>
      </c>
    </row>
    <row r="31" spans="1:16" s="101" customFormat="1" x14ac:dyDescent="0.2">
      <c r="A31" s="59">
        <f>'FERC Interest Rates'!A46</f>
        <v>42400</v>
      </c>
      <c r="B31" s="55">
        <v>21787927</v>
      </c>
      <c r="C31" s="55">
        <v>15916106</v>
      </c>
      <c r="D31" s="55">
        <v>1722828</v>
      </c>
      <c r="E31" s="91">
        <f t="shared" si="12"/>
        <v>39426861</v>
      </c>
      <c r="F31" s="50">
        <f>-272+272+430</f>
        <v>430</v>
      </c>
      <c r="G31" s="55">
        <f>-491485+493418+490011</f>
        <v>491944</v>
      </c>
      <c r="H31" s="91">
        <f t="shared" ref="H31:H34" si="14">SUM(F31:G31)</f>
        <v>492374</v>
      </c>
      <c r="I31" s="93">
        <f t="shared" ref="I31:I34" si="15">E31+H31</f>
        <v>39919235</v>
      </c>
      <c r="J31" s="55">
        <f>-41166774-28548549+41165336+28548549+43905259+29123439</f>
        <v>73027260</v>
      </c>
      <c r="K31" s="93">
        <f t="shared" ref="K31:K34" si="16">I31+J31</f>
        <v>112946495</v>
      </c>
      <c r="L31" s="42" t="s">
        <v>64</v>
      </c>
      <c r="M31" s="47">
        <f>7799801+308591+617027+3019366+119111+2902368+743768+421378+1099518+385043-(7799801+310029+617027+3019366+119111+2902368+743768+421378+1099518+385043)+7443944+50651+1174934+3482503+527289+2988622+931500+534420+1182912+385329</f>
        <v>18700666</v>
      </c>
      <c r="N31" s="91">
        <f t="shared" ref="N31:N34" si="17">J31-M31</f>
        <v>54326594</v>
      </c>
      <c r="O31" s="93">
        <f t="shared" ref="O31:O34" si="18">K31-M31</f>
        <v>94245829</v>
      </c>
      <c r="P31" s="56">
        <f>-310029+308591+50651</f>
        <v>49213</v>
      </c>
    </row>
    <row r="32" spans="1:16" s="101" customFormat="1" x14ac:dyDescent="0.2">
      <c r="A32" s="59">
        <f>'FERC Interest Rates'!A47</f>
        <v>42429</v>
      </c>
      <c r="B32" s="55">
        <v>15744661</v>
      </c>
      <c r="C32" s="55">
        <v>11885158</v>
      </c>
      <c r="D32" s="55">
        <v>1421652</v>
      </c>
      <c r="E32" s="91">
        <f t="shared" si="12"/>
        <v>29051471</v>
      </c>
      <c r="F32" s="50">
        <f>-430+430+342</f>
        <v>342</v>
      </c>
      <c r="G32" s="55">
        <f>-490011+490011+401220</f>
        <v>401220</v>
      </c>
      <c r="H32" s="91">
        <f t="shared" si="14"/>
        <v>401562</v>
      </c>
      <c r="I32" s="93">
        <f t="shared" si="15"/>
        <v>29453033</v>
      </c>
      <c r="J32" s="55">
        <f>-43905259-29123439+43905259+29123439+37699124+25310382</f>
        <v>63009506</v>
      </c>
      <c r="K32" s="93">
        <f t="shared" si="16"/>
        <v>92462539</v>
      </c>
      <c r="L32" s="42" t="s">
        <v>64</v>
      </c>
      <c r="M32" s="47">
        <f>7443944+50651+1174934+3482503+527289+2988622+931500+534420+1182912+385329-(7443944+50651+1174934+3482503+527289+2988622+931500+534420+1182912+385329)+7867966+120221+2999775+431729+2308672+804013+515788+1073794+353753</f>
        <v>16475711</v>
      </c>
      <c r="N32" s="91">
        <f t="shared" si="17"/>
        <v>46533795</v>
      </c>
      <c r="O32" s="93">
        <f t="shared" si="18"/>
        <v>75986828</v>
      </c>
      <c r="P32" s="56">
        <f>-50651+50651</f>
        <v>0</v>
      </c>
    </row>
    <row r="33" spans="1:16" s="101" customFormat="1" x14ac:dyDescent="0.2">
      <c r="A33" s="59">
        <f>'FERC Interest Rates'!A48</f>
        <v>42460</v>
      </c>
      <c r="B33" s="55">
        <v>14256698</v>
      </c>
      <c r="C33" s="55">
        <v>10571037</v>
      </c>
      <c r="D33" s="55">
        <v>1579035</v>
      </c>
      <c r="E33" s="91">
        <f t="shared" si="12"/>
        <v>26406770</v>
      </c>
      <c r="F33" s="50">
        <f>-342+342+256</f>
        <v>256</v>
      </c>
      <c r="G33" s="55">
        <f>-401220+401220+399311</f>
        <v>399311</v>
      </c>
      <c r="H33" s="91">
        <f t="shared" si="14"/>
        <v>399567</v>
      </c>
      <c r="I33" s="93">
        <f t="shared" si="15"/>
        <v>26806337</v>
      </c>
      <c r="J33" s="55">
        <f>-37699124-25310382+37699124+25310382+34622082+12205754</f>
        <v>46827836</v>
      </c>
      <c r="K33" s="93">
        <f t="shared" si="16"/>
        <v>73634173</v>
      </c>
      <c r="L33" s="42" t="s">
        <v>64</v>
      </c>
      <c r="M33" s="47">
        <f>7867966+120221+2999775+431729+2308672+804013+515788+1073794+353753-(7867966+120221+2999775+431729+2308672+804013+515788+1073794+353753)+7271606+2914865+491690+2651138+639600+343195+1169931+479974</f>
        <v>15961999</v>
      </c>
      <c r="N33" s="91">
        <f t="shared" si="17"/>
        <v>30865837</v>
      </c>
      <c r="O33" s="93">
        <f t="shared" si="18"/>
        <v>57672174</v>
      </c>
      <c r="P33" s="56">
        <v>0</v>
      </c>
    </row>
    <row r="34" spans="1:16" s="101" customFormat="1" x14ac:dyDescent="0.2">
      <c r="A34" s="59">
        <f>'FERC Interest Rates'!A49</f>
        <v>42490</v>
      </c>
      <c r="B34" s="55">
        <v>9205504</v>
      </c>
      <c r="C34" s="55">
        <v>7116368</v>
      </c>
      <c r="D34" s="55">
        <v>1060027</v>
      </c>
      <c r="E34" s="91">
        <f t="shared" si="12"/>
        <v>17381899</v>
      </c>
      <c r="F34" s="50">
        <f>-256+256+238</f>
        <v>238</v>
      </c>
      <c r="G34" s="55">
        <f>-399311+399311+287800</f>
        <v>287800</v>
      </c>
      <c r="H34" s="91">
        <f t="shared" si="14"/>
        <v>288038</v>
      </c>
      <c r="I34" s="93">
        <f t="shared" si="15"/>
        <v>17669937</v>
      </c>
      <c r="J34" s="55">
        <f>-34622082-12205754+34629307+12205567+31673334+11051053</f>
        <v>42731425</v>
      </c>
      <c r="K34" s="93">
        <f t="shared" si="16"/>
        <v>60401362</v>
      </c>
      <c r="L34" s="42" t="s">
        <v>64</v>
      </c>
      <c r="M34" s="47">
        <f>7271606+-771+2914865+491690+2651138+639600+343195+1169931+479974-(7271606+2914865+491690+2651138+639600+343195+1169931+479974)+6851907+1935645+819902+2547720+180699+421534+1090163+487333</f>
        <v>14334132</v>
      </c>
      <c r="N34" s="91">
        <f t="shared" si="17"/>
        <v>28397293</v>
      </c>
      <c r="O34" s="93">
        <f t="shared" si="18"/>
        <v>46067230</v>
      </c>
      <c r="P34" s="56">
        <f>-771</f>
        <v>-771</v>
      </c>
    </row>
    <row r="35" spans="1:16" s="101" customFormat="1" x14ac:dyDescent="0.2">
      <c r="A35" s="59"/>
      <c r="B35" s="55"/>
      <c r="C35" s="55"/>
      <c r="D35" s="55"/>
      <c r="E35" s="91"/>
      <c r="F35" s="50"/>
      <c r="G35" s="55"/>
      <c r="H35" s="91"/>
      <c r="I35" s="93"/>
      <c r="J35" s="55"/>
      <c r="K35" s="93"/>
      <c r="L35" s="42"/>
      <c r="M35" s="47"/>
      <c r="N35" s="91"/>
      <c r="O35" s="93"/>
      <c r="P35" s="56"/>
    </row>
    <row r="36" spans="1:16" s="101" customFormat="1" x14ac:dyDescent="0.2">
      <c r="A36" s="59"/>
      <c r="B36" s="55"/>
      <c r="C36" s="55"/>
      <c r="D36" s="55"/>
      <c r="E36" s="91"/>
      <c r="F36" s="50"/>
      <c r="G36" s="55"/>
      <c r="H36" s="91"/>
      <c r="I36" s="93"/>
      <c r="J36" s="55"/>
      <c r="K36" s="93"/>
      <c r="L36" s="42"/>
      <c r="M36" s="47"/>
      <c r="N36" s="91"/>
      <c r="O36" s="93"/>
      <c r="P36" s="56"/>
    </row>
    <row r="37" spans="1:16" s="101" customFormat="1" x14ac:dyDescent="0.2">
      <c r="A37" s="59"/>
      <c r="B37" s="55"/>
      <c r="C37" s="55"/>
      <c r="D37" s="55"/>
      <c r="E37" s="91"/>
      <c r="F37" s="50"/>
      <c r="G37" s="55"/>
      <c r="H37" s="91"/>
      <c r="I37" s="93"/>
      <c r="J37" s="55"/>
      <c r="K37" s="93"/>
      <c r="L37" s="42"/>
      <c r="M37" s="47"/>
      <c r="N37" s="91"/>
      <c r="O37" s="93"/>
      <c r="P37" s="56"/>
    </row>
    <row r="38" spans="1:16" s="101" customFormat="1" x14ac:dyDescent="0.2">
      <c r="A38" s="59"/>
      <c r="B38" s="55"/>
      <c r="C38" s="55"/>
      <c r="D38" s="55"/>
      <c r="E38" s="91"/>
      <c r="F38" s="50"/>
      <c r="G38" s="55"/>
      <c r="H38" s="91"/>
      <c r="I38" s="93"/>
      <c r="J38" s="55"/>
      <c r="K38" s="93"/>
      <c r="L38" s="42"/>
      <c r="M38" s="47"/>
      <c r="N38" s="91"/>
      <c r="O38" s="93"/>
      <c r="P38" s="56"/>
    </row>
    <row r="39" spans="1:16" s="101" customFormat="1" x14ac:dyDescent="0.2">
      <c r="A39" s="59"/>
      <c r="B39" s="55"/>
      <c r="C39" s="55"/>
      <c r="D39" s="55"/>
      <c r="E39" s="91"/>
      <c r="F39" s="50"/>
      <c r="G39" s="55"/>
      <c r="H39" s="91"/>
      <c r="I39" s="93"/>
      <c r="J39" s="55"/>
      <c r="K39" s="93"/>
      <c r="L39" s="42"/>
      <c r="M39" s="47"/>
      <c r="N39" s="91"/>
      <c r="O39" s="93"/>
      <c r="P39" s="56"/>
    </row>
    <row r="40" spans="1:16" s="101" customFormat="1" x14ac:dyDescent="0.2">
      <c r="A40" s="37"/>
      <c r="B40" s="57"/>
      <c r="C40" s="57"/>
      <c r="D40" s="57"/>
      <c r="E40" s="92"/>
      <c r="F40" s="58"/>
      <c r="G40" s="57"/>
      <c r="H40" s="92"/>
      <c r="I40" s="94"/>
      <c r="J40" s="57"/>
      <c r="K40" s="94"/>
      <c r="L40" s="43"/>
      <c r="M40" s="57"/>
      <c r="N40" s="92"/>
      <c r="O40" s="94"/>
      <c r="P40" s="133"/>
    </row>
    <row r="41" spans="1:16" s="61" customFormat="1" x14ac:dyDescent="0.2">
      <c r="A41" s="59"/>
      <c r="B41" s="55"/>
      <c r="C41" s="55"/>
      <c r="D41" s="55"/>
      <c r="E41" s="91"/>
      <c r="F41" s="50"/>
      <c r="G41" s="55"/>
      <c r="H41" s="91"/>
      <c r="I41" s="93"/>
      <c r="J41" s="55"/>
      <c r="K41" s="93"/>
      <c r="L41" s="42"/>
      <c r="M41" s="47"/>
      <c r="N41" s="91"/>
      <c r="O41" s="93"/>
      <c r="P41" s="56"/>
    </row>
    <row r="42" spans="1:16" x14ac:dyDescent="0.2">
      <c r="I42" s="93"/>
    </row>
    <row r="43" spans="1:16" x14ac:dyDescent="0.2">
      <c r="I43" s="93"/>
    </row>
    <row r="44" spans="1:16" x14ac:dyDescent="0.2">
      <c r="I44" s="93"/>
    </row>
  </sheetData>
  <mergeCells count="11">
    <mergeCell ref="P3:P4"/>
    <mergeCell ref="A1:P1"/>
    <mergeCell ref="A2:P2"/>
    <mergeCell ref="A3:A4"/>
    <mergeCell ref="B3:E3"/>
    <mergeCell ref="F3:H3"/>
    <mergeCell ref="I3:I4"/>
    <mergeCell ref="J3:J4"/>
    <mergeCell ref="K3:K4"/>
    <mergeCell ref="L3:N3"/>
    <mergeCell ref="O3:O4"/>
  </mergeCells>
  <phoneticPr fontId="0" type="noConversion"/>
  <printOptions horizontalCentered="1" gridLinesSet="0"/>
  <pageMargins left="0.5" right="0.25" top="0.5" bottom="0.75" header="0.5" footer="0.5"/>
  <pageSetup scale="74" orientation="landscape" horizontalDpi="4294967292" verticalDpi="300" r:id="rId1"/>
  <headerFooter alignWithMargins="0">
    <oddFooter>&amp;L&amp;"-,Bold"&amp;10Cascade Natural Gas Corporation&amp;C&amp;"-,Bold"&amp;10Page &amp;P of &amp;N&amp;R&amp;"-,Bold"&amp;10Washington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view="pageBreakPreview" zoomScale="115" zoomScaleNormal="75" zoomScaleSheetLayoutView="115" workbookViewId="0">
      <pane xSplit="1" ySplit="10" topLeftCell="B27" activePane="bottomRight" state="frozen"/>
      <selection activeCell="A92" sqref="A92:H93"/>
      <selection pane="topRight" activeCell="A92" sqref="A92:H93"/>
      <selection pane="bottomLeft" activeCell="A92" sqref="A92:H93"/>
      <selection pane="bottomRight" activeCell="K1" sqref="K1:L1048576"/>
    </sheetView>
  </sheetViews>
  <sheetFormatPr defaultRowHeight="12.75" x14ac:dyDescent="0.2"/>
  <cols>
    <col min="1" max="1" width="8.88671875" style="1" customWidth="1"/>
    <col min="2" max="2" width="10.5546875" style="1" customWidth="1"/>
    <col min="3" max="3" width="10.77734375" style="1" customWidth="1"/>
    <col min="4" max="4" width="11.33203125" style="1" customWidth="1"/>
    <col min="5" max="6" width="10.44140625" style="1" bestFit="1" customWidth="1"/>
    <col min="7" max="7" width="11.88671875" style="1" customWidth="1"/>
    <col min="8" max="8" width="12.88671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30" t="s">
        <v>13</v>
      </c>
      <c r="B1" s="231"/>
      <c r="C1" s="227" t="s">
        <v>14</v>
      </c>
      <c r="D1" s="227"/>
      <c r="E1" s="227"/>
      <c r="F1" s="227"/>
      <c r="G1" s="227"/>
      <c r="H1" s="228"/>
    </row>
    <row r="2" spans="1:12" x14ac:dyDescent="0.2">
      <c r="A2" s="219" t="s">
        <v>16</v>
      </c>
      <c r="B2" s="210"/>
      <c r="C2" s="220" t="s">
        <v>42</v>
      </c>
      <c r="D2" s="220"/>
      <c r="E2" s="220"/>
      <c r="F2" s="220"/>
      <c r="G2" s="220"/>
      <c r="H2" s="221"/>
    </row>
    <row r="3" spans="1:12" x14ac:dyDescent="0.2">
      <c r="A3" s="219" t="s">
        <v>17</v>
      </c>
      <c r="B3" s="210"/>
      <c r="C3" s="213" t="s">
        <v>29</v>
      </c>
      <c r="D3" s="213"/>
      <c r="E3" s="213"/>
      <c r="F3" s="213"/>
      <c r="G3" s="213"/>
      <c r="H3" s="222"/>
      <c r="J3" s="8"/>
    </row>
    <row r="4" spans="1:12" x14ac:dyDescent="0.2">
      <c r="A4" s="219" t="s">
        <v>18</v>
      </c>
      <c r="B4" s="210"/>
      <c r="C4" s="215" t="s">
        <v>19</v>
      </c>
      <c r="D4" s="215"/>
      <c r="E4" s="215"/>
      <c r="F4" s="215"/>
      <c r="G4" s="215"/>
      <c r="H4" s="229"/>
    </row>
    <row r="5" spans="1:12" x14ac:dyDescent="0.2">
      <c r="A5" s="219" t="s">
        <v>20</v>
      </c>
      <c r="B5" s="210"/>
      <c r="C5" s="213" t="s">
        <v>87</v>
      </c>
      <c r="D5" s="213"/>
      <c r="E5" s="213"/>
      <c r="F5" s="213"/>
      <c r="G5" s="213"/>
      <c r="H5" s="222"/>
    </row>
    <row r="6" spans="1:12" x14ac:dyDescent="0.2">
      <c r="A6" s="219" t="s">
        <v>21</v>
      </c>
      <c r="B6" s="210"/>
      <c r="C6" s="213" t="s">
        <v>33</v>
      </c>
      <c r="D6" s="213"/>
      <c r="E6" s="213"/>
      <c r="F6" s="213"/>
      <c r="G6" s="213"/>
      <c r="H6" s="222"/>
      <c r="J6" s="8"/>
    </row>
    <row r="7" spans="1:12" s="26" customFormat="1" ht="54.75" customHeight="1" thickBot="1" x14ac:dyDescent="0.25">
      <c r="A7" s="223" t="s">
        <v>22</v>
      </c>
      <c r="B7" s="224"/>
      <c r="C7" s="225" t="s">
        <v>44</v>
      </c>
      <c r="D7" s="225"/>
      <c r="E7" s="225"/>
      <c r="F7" s="225"/>
      <c r="G7" s="225"/>
      <c r="H7" s="226"/>
      <c r="J7" s="25"/>
    </row>
    <row r="8" spans="1:12" x14ac:dyDescent="0.2">
      <c r="A8" s="2"/>
      <c r="B8" s="2"/>
      <c r="C8" s="3"/>
      <c r="D8" s="3"/>
      <c r="E8" s="3"/>
      <c r="F8" s="3"/>
      <c r="G8" s="3"/>
      <c r="H8" s="3"/>
      <c r="J8" s="8"/>
    </row>
    <row r="9" spans="1:12" x14ac:dyDescent="0.2">
      <c r="A9" s="4"/>
      <c r="D9" s="203" t="s">
        <v>39</v>
      </c>
      <c r="E9" s="203"/>
      <c r="F9" s="203"/>
    </row>
    <row r="10" spans="1:12" s="5" customFormat="1" x14ac:dyDescent="0.2">
      <c r="A10" s="6" t="s">
        <v>40</v>
      </c>
      <c r="B10" s="6" t="s">
        <v>4</v>
      </c>
      <c r="C10" s="6" t="s">
        <v>12</v>
      </c>
      <c r="D10" s="6" t="s">
        <v>23</v>
      </c>
      <c r="E10" s="6" t="s">
        <v>24</v>
      </c>
      <c r="F10" s="6" t="s">
        <v>2</v>
      </c>
      <c r="G10" s="6" t="s">
        <v>0</v>
      </c>
      <c r="H10" s="6" t="s">
        <v>1</v>
      </c>
      <c r="I10" s="27"/>
      <c r="J10" s="27"/>
      <c r="K10" s="27"/>
      <c r="L10" s="27"/>
    </row>
    <row r="11" spans="1:12" x14ac:dyDescent="0.2">
      <c r="A11" s="208" t="s">
        <v>85</v>
      </c>
      <c r="B11" s="208"/>
      <c r="C11" s="208"/>
      <c r="D11" s="208"/>
      <c r="E11" s="208"/>
      <c r="F11" s="208"/>
      <c r="G11" s="208"/>
      <c r="H11" s="79">
        <v>5300789.51</v>
      </c>
      <c r="J11" s="61"/>
      <c r="K11" s="63"/>
      <c r="L11" s="64"/>
    </row>
    <row r="12" spans="1:12" x14ac:dyDescent="0.2">
      <c r="A12" s="83">
        <f>'FERC Interest Rates'!A20</f>
        <v>41608</v>
      </c>
      <c r="D12" s="1">
        <f>-235790-543534.68</f>
        <v>-779324.68</v>
      </c>
      <c r="F12" s="81">
        <f t="shared" ref="F12:F13" si="0">ROUND(H11*VLOOKUP(A12,FERCINT13,2)/365*VLOOKUP(A12,FERCINT13,3),2)</f>
        <v>14159.64</v>
      </c>
      <c r="H12" s="79">
        <f t="shared" ref="H12:H43" si="1">H11+SUM(D12:G12)</f>
        <v>4535624.47</v>
      </c>
      <c r="J12" s="61"/>
      <c r="K12" s="63"/>
      <c r="L12" s="64"/>
    </row>
    <row r="13" spans="1:12" x14ac:dyDescent="0.2">
      <c r="A13" s="83">
        <f>'FERC Interest Rates'!A21</f>
        <v>41639</v>
      </c>
      <c r="D13" s="1">
        <f>-2151664.93-235790</f>
        <v>-2387454.9300000002</v>
      </c>
      <c r="F13" s="81">
        <f t="shared" si="0"/>
        <v>12519.57</v>
      </c>
      <c r="H13" s="79">
        <f t="shared" si="1"/>
        <v>2160689.1099999994</v>
      </c>
      <c r="J13" s="61"/>
      <c r="K13" s="63"/>
      <c r="L13" s="64"/>
    </row>
    <row r="14" spans="1:12" x14ac:dyDescent="0.2">
      <c r="A14" s="83">
        <f>'FERC Interest Rates'!A22</f>
        <v>41670</v>
      </c>
      <c r="D14" s="77">
        <f>-1890171.1-235790</f>
        <v>-2125961.1</v>
      </c>
      <c r="E14" s="77"/>
      <c r="F14" s="34">
        <f t="shared" ref="F14:F26" si="2">ROUND(H13*VLOOKUP(A14,FERCINT14,2)/365*VLOOKUP(A14,FERCINT14,3),2)</f>
        <v>5964.09</v>
      </c>
      <c r="G14" s="77"/>
      <c r="H14" s="97">
        <f t="shared" si="1"/>
        <v>40692.099999999162</v>
      </c>
      <c r="J14" s="61"/>
      <c r="K14" s="63"/>
      <c r="L14" s="64"/>
    </row>
    <row r="15" spans="1:12" x14ac:dyDescent="0.2">
      <c r="A15" s="83">
        <f>'FERC Interest Rates'!A23</f>
        <v>41698</v>
      </c>
      <c r="D15" s="77">
        <f>-1628431.9-235790</f>
        <v>-1864221.9</v>
      </c>
      <c r="E15" s="77"/>
      <c r="F15" s="34">
        <f t="shared" si="2"/>
        <v>101.45</v>
      </c>
      <c r="G15" s="77"/>
      <c r="H15" s="97">
        <f t="shared" si="1"/>
        <v>-1823428.3500000008</v>
      </c>
      <c r="J15" s="61"/>
      <c r="K15" s="63"/>
      <c r="L15" s="64"/>
    </row>
    <row r="16" spans="1:12" x14ac:dyDescent="0.2">
      <c r="A16" s="83">
        <f>'FERC Interest Rates'!A24</f>
        <v>41729</v>
      </c>
      <c r="D16" s="77">
        <v>128015.9</v>
      </c>
      <c r="E16" s="77"/>
      <c r="F16" s="34">
        <f t="shared" si="2"/>
        <v>-5033.16</v>
      </c>
      <c r="G16" s="77"/>
      <c r="H16" s="97">
        <f t="shared" si="1"/>
        <v>-1700445.6100000008</v>
      </c>
      <c r="J16" s="61"/>
      <c r="K16" s="63"/>
      <c r="L16" s="64"/>
    </row>
    <row r="17" spans="1:12" x14ac:dyDescent="0.2">
      <c r="A17" s="83">
        <f>'FERC Interest Rates'!A25</f>
        <v>41759</v>
      </c>
      <c r="D17" s="77">
        <f>1545767.97-235790</f>
        <v>1309977.97</v>
      </c>
      <c r="E17" s="77"/>
      <c r="F17" s="34">
        <f t="shared" si="2"/>
        <v>-4542.29</v>
      </c>
      <c r="G17" s="77"/>
      <c r="H17" s="97">
        <f t="shared" si="1"/>
        <v>-395009.93000000087</v>
      </c>
      <c r="J17" s="61"/>
      <c r="K17" s="63"/>
      <c r="L17" s="64"/>
    </row>
    <row r="18" spans="1:12" x14ac:dyDescent="0.2">
      <c r="A18" s="83">
        <f>'FERC Interest Rates'!A26</f>
        <v>41790</v>
      </c>
      <c r="D18" s="77">
        <f>2390005.33-235790</f>
        <v>2154215.33</v>
      </c>
      <c r="E18" s="77"/>
      <c r="F18" s="34">
        <f t="shared" si="2"/>
        <v>-1090.3399999999999</v>
      </c>
      <c r="G18" s="77"/>
      <c r="H18" s="97">
        <f t="shared" si="1"/>
        <v>1758115.0599999994</v>
      </c>
      <c r="J18" s="61"/>
      <c r="K18" s="63"/>
      <c r="L18" s="64"/>
    </row>
    <row r="19" spans="1:12" x14ac:dyDescent="0.2">
      <c r="A19" s="83">
        <f>'FERC Interest Rates'!A27</f>
        <v>41820</v>
      </c>
      <c r="D19" s="77">
        <f>2129580.54-235790</f>
        <v>1893790.54</v>
      </c>
      <c r="E19" s="77"/>
      <c r="F19" s="34">
        <f t="shared" si="2"/>
        <v>4696.33</v>
      </c>
      <c r="G19" s="77"/>
      <c r="H19" s="97">
        <f t="shared" si="1"/>
        <v>3656601.9299999997</v>
      </c>
      <c r="J19" s="61"/>
      <c r="K19" s="63"/>
      <c r="L19" s="64"/>
    </row>
    <row r="20" spans="1:12" x14ac:dyDescent="0.2">
      <c r="A20" s="83">
        <f>'FERC Interest Rates'!A28</f>
        <v>41851</v>
      </c>
      <c r="D20" s="1">
        <f>2343224.81-235790</f>
        <v>2107434.81</v>
      </c>
      <c r="F20" s="81">
        <f t="shared" si="2"/>
        <v>10093.219999999999</v>
      </c>
      <c r="H20" s="79">
        <f t="shared" si="1"/>
        <v>5774129.96</v>
      </c>
      <c r="J20" s="61"/>
      <c r="K20" s="63"/>
      <c r="L20" s="64"/>
    </row>
    <row r="21" spans="1:12" x14ac:dyDescent="0.2">
      <c r="A21" s="83">
        <f>'FERC Interest Rates'!A29</f>
        <v>41882</v>
      </c>
      <c r="D21" s="1">
        <f>2806868.63-235790</f>
        <v>2571078.63</v>
      </c>
      <c r="F21" s="81">
        <f t="shared" si="2"/>
        <v>15938.18</v>
      </c>
      <c r="H21" s="79">
        <f t="shared" si="1"/>
        <v>8361146.7699999996</v>
      </c>
      <c r="J21" s="61"/>
      <c r="K21" s="63"/>
      <c r="L21" s="64"/>
    </row>
    <row r="22" spans="1:12" x14ac:dyDescent="0.2">
      <c r="A22" s="83">
        <f>'FERC Interest Rates'!A30</f>
        <v>41912</v>
      </c>
      <c r="D22" s="1">
        <f>2483434.98-235790</f>
        <v>2247644.98</v>
      </c>
      <c r="F22" s="81">
        <f t="shared" si="2"/>
        <v>22334.57</v>
      </c>
      <c r="H22" s="79">
        <f t="shared" si="1"/>
        <v>10631126.32</v>
      </c>
      <c r="J22" s="61"/>
      <c r="K22" s="63"/>
      <c r="L22" s="64"/>
    </row>
    <row r="23" spans="1:12" x14ac:dyDescent="0.2">
      <c r="A23" s="83">
        <f>'FERC Interest Rates'!A31</f>
        <v>41943</v>
      </c>
      <c r="D23" s="1">
        <f>2177304.09-235790</f>
        <v>1941514.0899999999</v>
      </c>
      <c r="F23" s="81">
        <f t="shared" si="2"/>
        <v>29344.82</v>
      </c>
      <c r="H23" s="79">
        <f t="shared" si="1"/>
        <v>12601985.23</v>
      </c>
      <c r="J23" s="61"/>
      <c r="K23" s="63"/>
      <c r="L23" s="64"/>
    </row>
    <row r="24" spans="1:12" x14ac:dyDescent="0.2">
      <c r="A24" s="202" t="s">
        <v>81</v>
      </c>
      <c r="B24" s="202"/>
      <c r="C24" s="202"/>
      <c r="D24" s="202"/>
      <c r="E24" s="202"/>
      <c r="F24" s="202"/>
      <c r="G24" s="1">
        <v>-5821559.6299999999</v>
      </c>
      <c r="H24" s="79">
        <f t="shared" si="1"/>
        <v>6780425.6000000006</v>
      </c>
    </row>
    <row r="25" spans="1:12" x14ac:dyDescent="0.2">
      <c r="A25" s="124">
        <f>'FERC Interest Rates'!A32</f>
        <v>41973</v>
      </c>
      <c r="D25" s="1">
        <v>-2042189.49</v>
      </c>
      <c r="F25" s="123">
        <f t="shared" si="2"/>
        <v>18112.099999999999</v>
      </c>
      <c r="H25" s="119">
        <f t="shared" si="1"/>
        <v>4756348.2100000009</v>
      </c>
      <c r="J25" s="101"/>
      <c r="K25" s="108"/>
      <c r="L25" s="109"/>
    </row>
    <row r="26" spans="1:12" x14ac:dyDescent="0.2">
      <c r="A26" s="124">
        <f>'FERC Interest Rates'!A33</f>
        <v>42004</v>
      </c>
      <c r="D26" s="1">
        <f>-1692473.19-235790</f>
        <v>-1928263.19</v>
      </c>
      <c r="F26" s="123">
        <f t="shared" si="2"/>
        <v>13128.82</v>
      </c>
      <c r="H26" s="119">
        <f t="shared" si="1"/>
        <v>2841213.8400000008</v>
      </c>
      <c r="J26" s="101"/>
      <c r="K26" s="108"/>
      <c r="L26" s="109"/>
    </row>
    <row r="27" spans="1:12" x14ac:dyDescent="0.2">
      <c r="A27" s="124">
        <f>'FERC Interest Rates'!A34</f>
        <v>42035</v>
      </c>
      <c r="D27" s="1">
        <f>-235790-2244525.95</f>
        <v>-2480315.9500000002</v>
      </c>
      <c r="F27" s="123">
        <f t="shared" ref="F27:F34" si="3">ROUND(H26*VLOOKUP(A27,FERCINT15,2)/365*VLOOKUP(A27,FERCINT15,3),2)</f>
        <v>7842.53</v>
      </c>
      <c r="H27" s="119">
        <f t="shared" si="1"/>
        <v>368740.42000000039</v>
      </c>
      <c r="J27" s="101"/>
      <c r="K27" s="108"/>
      <c r="L27" s="109"/>
    </row>
    <row r="28" spans="1:12" x14ac:dyDescent="0.2">
      <c r="A28" s="124">
        <f>'FERC Interest Rates'!A35</f>
        <v>42063</v>
      </c>
      <c r="D28" s="1">
        <f>-235790-439032.16</f>
        <v>-674822.15999999992</v>
      </c>
      <c r="F28" s="123">
        <f t="shared" si="3"/>
        <v>919.33</v>
      </c>
      <c r="H28" s="119">
        <f t="shared" si="1"/>
        <v>-305162.40999999957</v>
      </c>
      <c r="J28" s="101"/>
      <c r="K28" s="108"/>
      <c r="L28" s="109"/>
    </row>
    <row r="29" spans="1:12" x14ac:dyDescent="0.2">
      <c r="A29" s="124">
        <f>'FERC Interest Rates'!A36</f>
        <v>42094</v>
      </c>
      <c r="D29" s="1">
        <f>624226.35-235790</f>
        <v>388436.35</v>
      </c>
      <c r="F29" s="123">
        <f t="shared" si="3"/>
        <v>-842.33</v>
      </c>
      <c r="H29" s="119">
        <f t="shared" si="1"/>
        <v>82431.610000000393</v>
      </c>
      <c r="J29" s="101"/>
      <c r="K29" s="108"/>
      <c r="L29" s="109"/>
    </row>
    <row r="30" spans="1:12" x14ac:dyDescent="0.2">
      <c r="A30" s="124">
        <f>'FERC Interest Rates'!A37</f>
        <v>42124</v>
      </c>
      <c r="D30" s="1">
        <v>577862.52</v>
      </c>
      <c r="F30" s="123">
        <f t="shared" si="3"/>
        <v>220.19</v>
      </c>
      <c r="H30" s="119">
        <f t="shared" si="1"/>
        <v>660514.3200000003</v>
      </c>
      <c r="J30" s="101"/>
      <c r="K30" s="108"/>
      <c r="L30" s="109"/>
    </row>
    <row r="31" spans="1:12" x14ac:dyDescent="0.2">
      <c r="A31" s="124">
        <f>'FERC Interest Rates'!A38</f>
        <v>42155</v>
      </c>
      <c r="D31" s="1">
        <f>-235790+2154521.16</f>
        <v>1918731.1600000001</v>
      </c>
      <c r="F31" s="123">
        <f t="shared" si="3"/>
        <v>1823.2</v>
      </c>
      <c r="H31" s="119">
        <f t="shared" si="1"/>
        <v>2581068.6800000006</v>
      </c>
      <c r="J31" s="101"/>
      <c r="K31" s="108"/>
      <c r="L31" s="109"/>
    </row>
    <row r="32" spans="1:12" x14ac:dyDescent="0.2">
      <c r="A32" s="124">
        <f>'FERC Interest Rates'!A39</f>
        <v>42185</v>
      </c>
      <c r="D32" s="1">
        <f>-235790+3002370.29</f>
        <v>2766580.29</v>
      </c>
      <c r="F32" s="123">
        <f t="shared" si="3"/>
        <v>6894.64</v>
      </c>
      <c r="H32" s="119">
        <f t="shared" si="1"/>
        <v>5354543.6100000013</v>
      </c>
      <c r="J32" s="101"/>
      <c r="K32" s="108"/>
      <c r="L32" s="109"/>
    </row>
    <row r="33" spans="1:12" x14ac:dyDescent="0.2">
      <c r="A33" s="124">
        <f>'FERC Interest Rates'!A40</f>
        <v>42216</v>
      </c>
      <c r="D33" s="1">
        <f>-235790+2635153.59</f>
        <v>2399363.59</v>
      </c>
      <c r="F33" s="123">
        <f t="shared" si="3"/>
        <v>14780.01</v>
      </c>
      <c r="H33" s="119">
        <f t="shared" si="1"/>
        <v>7768687.2100000009</v>
      </c>
      <c r="J33" s="101"/>
      <c r="K33" s="108"/>
      <c r="L33" s="109"/>
    </row>
    <row r="34" spans="1:12" x14ac:dyDescent="0.2">
      <c r="A34" s="124">
        <f>'FERC Interest Rates'!A41</f>
        <v>42247</v>
      </c>
      <c r="D34" s="101">
        <f>-235790+3068421.49</f>
        <v>2832631.49</v>
      </c>
      <c r="F34" s="123">
        <f t="shared" si="3"/>
        <v>21443.71</v>
      </c>
      <c r="H34" s="119">
        <f t="shared" si="1"/>
        <v>10622762.41</v>
      </c>
      <c r="J34" s="101"/>
      <c r="K34" s="108"/>
      <c r="L34" s="109"/>
    </row>
    <row r="35" spans="1:12" s="101" customFormat="1" x14ac:dyDescent="0.2">
      <c r="A35" s="202" t="s">
        <v>93</v>
      </c>
      <c r="B35" s="202"/>
      <c r="C35" s="202"/>
      <c r="D35" s="202"/>
      <c r="E35" s="202"/>
      <c r="F35" s="202"/>
      <c r="G35" s="101">
        <v>-5384144.4199999999</v>
      </c>
      <c r="H35" s="119">
        <f t="shared" si="1"/>
        <v>5238617.99</v>
      </c>
      <c r="K35" s="108"/>
      <c r="L35" s="109"/>
    </row>
    <row r="36" spans="1:12" x14ac:dyDescent="0.2">
      <c r="A36" s="124">
        <f>'FERC Interest Rates'!A42</f>
        <v>42277</v>
      </c>
      <c r="D36" s="1">
        <f>-235790+2279842.94</f>
        <v>2044052.94</v>
      </c>
      <c r="F36" s="123">
        <f>ROUND(H35*VLOOKUP(A36,FERCINT15,2)/365*VLOOKUP(A36,FERCINT15,3),2)</f>
        <v>13993.57</v>
      </c>
      <c r="H36" s="119">
        <f t="shared" si="1"/>
        <v>7296664.5</v>
      </c>
      <c r="J36" s="101"/>
      <c r="K36" s="108"/>
      <c r="L36" s="109"/>
    </row>
    <row r="37" spans="1:12" x14ac:dyDescent="0.2">
      <c r="A37" s="124">
        <f>'FERC Interest Rates'!A43</f>
        <v>42308</v>
      </c>
      <c r="D37" s="1">
        <f>-235790+1685153.23</f>
        <v>1449363.23</v>
      </c>
      <c r="F37" s="123">
        <f>ROUND(H36*VLOOKUP(A37,FERCINT15,2)/365*VLOOKUP(A37,FERCINT15,3),2)</f>
        <v>20140.79</v>
      </c>
      <c r="H37" s="119">
        <f t="shared" si="1"/>
        <v>8766168.5199999996</v>
      </c>
      <c r="J37" s="101"/>
      <c r="K37" s="108"/>
      <c r="L37" s="109"/>
    </row>
    <row r="38" spans="1:12" x14ac:dyDescent="0.2">
      <c r="A38" s="124">
        <f>'FERC Interest Rates'!A44</f>
        <v>42338</v>
      </c>
      <c r="D38" s="1">
        <f>-235790-1154654.65</f>
        <v>-1390444.65</v>
      </c>
      <c r="F38" s="123">
        <f>ROUND(H37*VLOOKUP(A38,FERCINT15,2)/365*VLOOKUP(A38,FERCINT15,3),2)</f>
        <v>23416.48</v>
      </c>
      <c r="H38" s="119">
        <f t="shared" si="1"/>
        <v>7399140.3499999996</v>
      </c>
      <c r="J38" s="101"/>
      <c r="K38" s="108"/>
      <c r="L38" s="109"/>
    </row>
    <row r="39" spans="1:12" x14ac:dyDescent="0.2">
      <c r="A39" s="124">
        <f>'FERC Interest Rates'!A45</f>
        <v>42369</v>
      </c>
      <c r="D39" s="1">
        <f>-235790-2451396.83</f>
        <v>-2687186.83</v>
      </c>
      <c r="F39" s="123">
        <f>ROUND(H38*VLOOKUP(A39,FERCINT15,2)/365*VLOOKUP(A39,FERCINT15,3),2)</f>
        <v>20423.650000000001</v>
      </c>
      <c r="H39" s="119">
        <f t="shared" si="1"/>
        <v>4732377.17</v>
      </c>
      <c r="J39" s="101"/>
      <c r="K39" s="108"/>
      <c r="L39" s="109"/>
    </row>
    <row r="40" spans="1:12" x14ac:dyDescent="0.2">
      <c r="A40" s="124">
        <f>'FERC Interest Rates'!A46</f>
        <v>42400</v>
      </c>
      <c r="D40" s="1">
        <f>-235790-2843736.16</f>
        <v>-3079526.16</v>
      </c>
      <c r="F40" s="123">
        <f t="shared" ref="F40:F43" si="4">ROUND(H39*VLOOKUP(A40,FERCINT16,2)/365*VLOOKUP(A40,FERCINT16,3),2)</f>
        <v>13062.66</v>
      </c>
      <c r="H40" s="119">
        <f t="shared" si="1"/>
        <v>1665913.67</v>
      </c>
      <c r="J40" s="101"/>
      <c r="K40" s="108"/>
      <c r="L40" s="109"/>
    </row>
    <row r="41" spans="1:12" x14ac:dyDescent="0.2">
      <c r="A41" s="124">
        <f>'FERC Interest Rates'!A47</f>
        <v>42429</v>
      </c>
      <c r="D41" s="1">
        <f>-235790-733663.69</f>
        <v>-969453.69</v>
      </c>
      <c r="F41" s="123">
        <f t="shared" si="4"/>
        <v>4301.71</v>
      </c>
      <c r="H41" s="119">
        <f t="shared" si="1"/>
        <v>700761.69</v>
      </c>
      <c r="J41" s="101"/>
      <c r="K41" s="108"/>
      <c r="L41" s="109"/>
    </row>
    <row r="42" spans="1:12" x14ac:dyDescent="0.2">
      <c r="A42" s="124">
        <f>'FERC Interest Rates'!A48</f>
        <v>42460</v>
      </c>
      <c r="D42" s="1">
        <f>-235790-251077.59</f>
        <v>-486867.58999999997</v>
      </c>
      <c r="F42" s="123">
        <f t="shared" si="4"/>
        <v>1934.29</v>
      </c>
      <c r="H42" s="119">
        <f t="shared" si="1"/>
        <v>215828.38999999996</v>
      </c>
      <c r="J42" s="101"/>
      <c r="K42" s="108"/>
      <c r="L42" s="109"/>
    </row>
    <row r="43" spans="1:12" x14ac:dyDescent="0.2">
      <c r="A43" s="124">
        <f>'FERC Interest Rates'!A49</f>
        <v>42490</v>
      </c>
      <c r="D43" s="1">
        <f>-235790+1778810.98</f>
        <v>1543020.98</v>
      </c>
      <c r="F43" s="123">
        <f t="shared" si="4"/>
        <v>613.78</v>
      </c>
      <c r="H43" s="119">
        <f t="shared" si="1"/>
        <v>1759463.15</v>
      </c>
      <c r="J43" s="101"/>
      <c r="K43" s="108"/>
      <c r="L43" s="109"/>
    </row>
    <row r="44" spans="1:12" x14ac:dyDescent="0.2">
      <c r="A44" s="124"/>
      <c r="F44" s="123"/>
      <c r="H44" s="119"/>
      <c r="J44" s="101"/>
      <c r="K44" s="108"/>
      <c r="L44" s="109"/>
    </row>
    <row r="45" spans="1:12" x14ac:dyDescent="0.2">
      <c r="A45" s="124"/>
      <c r="F45" s="123"/>
      <c r="H45" s="119"/>
      <c r="J45" s="101"/>
      <c r="K45" s="108"/>
      <c r="L45" s="109"/>
    </row>
    <row r="46" spans="1:12" x14ac:dyDescent="0.2">
      <c r="A46" s="124"/>
      <c r="F46" s="123"/>
      <c r="H46" s="119"/>
      <c r="J46" s="101"/>
      <c r="K46" s="108"/>
      <c r="L46" s="109"/>
    </row>
    <row r="47" spans="1:12" x14ac:dyDescent="0.2">
      <c r="A47" s="124"/>
      <c r="F47" s="123"/>
      <c r="H47" s="119"/>
      <c r="J47" s="101"/>
      <c r="K47" s="108"/>
      <c r="L47" s="109"/>
    </row>
    <row r="48" spans="1:12" x14ac:dyDescent="0.2">
      <c r="A48" s="124"/>
      <c r="F48" s="123"/>
      <c r="H48" s="119"/>
      <c r="J48" s="101"/>
      <c r="K48" s="108"/>
      <c r="L48" s="109"/>
    </row>
    <row r="49" spans="1:12" x14ac:dyDescent="0.2">
      <c r="A49" s="124"/>
      <c r="F49" s="123"/>
      <c r="H49" s="119"/>
      <c r="J49" s="101"/>
      <c r="K49" s="108"/>
      <c r="L49" s="109"/>
    </row>
    <row r="50" spans="1:12" x14ac:dyDescent="0.2">
      <c r="A50" s="124"/>
      <c r="F50" s="123"/>
      <c r="H50" s="119"/>
      <c r="J50" s="101"/>
      <c r="K50" s="108"/>
      <c r="L50" s="109"/>
    </row>
    <row r="51" spans="1:12" x14ac:dyDescent="0.2">
      <c r="A51" s="124"/>
      <c r="F51" s="123"/>
      <c r="H51" s="119"/>
      <c r="J51" s="101"/>
      <c r="K51" s="108"/>
      <c r="L51" s="109"/>
    </row>
    <row r="52" spans="1:12" x14ac:dyDescent="0.2">
      <c r="A52" s="124"/>
    </row>
  </sheetData>
  <mergeCells count="18">
    <mergeCell ref="C1:H1"/>
    <mergeCell ref="C3:H3"/>
    <mergeCell ref="C4:H4"/>
    <mergeCell ref="C5:H5"/>
    <mergeCell ref="A1:B1"/>
    <mergeCell ref="A2:B2"/>
    <mergeCell ref="A35:F35"/>
    <mergeCell ref="A24:F24"/>
    <mergeCell ref="A6:B6"/>
    <mergeCell ref="A4:B4"/>
    <mergeCell ref="C2:H2"/>
    <mergeCell ref="A3:B3"/>
    <mergeCell ref="A5:B5"/>
    <mergeCell ref="C6:H6"/>
    <mergeCell ref="D9:F9"/>
    <mergeCell ref="A7:B7"/>
    <mergeCell ref="C7:H7"/>
    <mergeCell ref="A11:G11"/>
  </mergeCells>
  <phoneticPr fontId="0" type="noConversion"/>
  <printOptions horizontalCentered="1"/>
  <pageMargins left="0.5" right="0.25" top="0.5" bottom="0.25" header="0.5" footer="0.5"/>
  <pageSetup scale="85" orientation="portrait" cellComments="asDisplayed" r:id="rId1"/>
  <headerFooter alignWithMargins="0">
    <oddFooter>&amp;L&amp;"-,Bold"&amp;10Cascade Natural Gas Corporation&amp;C&amp;"-,Bold"&amp;10Page &amp;P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1"/>
  <sheetViews>
    <sheetView view="pageLayout" zoomScaleNormal="100" zoomScaleSheetLayoutView="115" workbookViewId="0">
      <selection activeCell="L2" sqref="L1:L1048576"/>
    </sheetView>
  </sheetViews>
  <sheetFormatPr defaultRowHeight="12.75" x14ac:dyDescent="0.2"/>
  <cols>
    <col min="1" max="2" width="8.88671875" style="101"/>
    <col min="3" max="3" width="10.109375" style="101" customWidth="1"/>
    <col min="4" max="4" width="8.88671875" style="101"/>
    <col min="5" max="5" width="10.21875" style="101" customWidth="1"/>
    <col min="6" max="6" width="8.88671875" style="101"/>
    <col min="7" max="7" width="13.109375" style="101" customWidth="1"/>
    <col min="8" max="8" width="11.5546875" style="101" customWidth="1"/>
    <col min="9" max="9" width="15.109375" style="101" bestFit="1" customWidth="1"/>
    <col min="10" max="10" width="16.33203125" style="101" bestFit="1" customWidth="1"/>
    <col min="11" max="11" width="9" style="101" bestFit="1" customWidth="1"/>
    <col min="12" max="12" width="10.44140625" style="101" bestFit="1" customWidth="1"/>
    <col min="13" max="16384" width="8.88671875" style="101"/>
  </cols>
  <sheetData>
    <row r="1" spans="1:12" x14ac:dyDescent="0.2">
      <c r="A1" s="230" t="s">
        <v>13</v>
      </c>
      <c r="B1" s="231"/>
      <c r="C1" s="237" t="s">
        <v>14</v>
      </c>
      <c r="D1" s="237"/>
      <c r="E1" s="237"/>
      <c r="F1" s="237"/>
      <c r="G1" s="237"/>
      <c r="H1" s="238"/>
      <c r="I1" s="65"/>
      <c r="L1" s="101" t="s">
        <v>124</v>
      </c>
    </row>
    <row r="2" spans="1:12" x14ac:dyDescent="0.2">
      <c r="A2" s="219" t="s">
        <v>16</v>
      </c>
      <c r="B2" s="210"/>
      <c r="C2" s="239" t="s">
        <v>95</v>
      </c>
      <c r="D2" s="239"/>
      <c r="E2" s="239"/>
      <c r="F2" s="239"/>
      <c r="G2" s="239"/>
      <c r="H2" s="240"/>
      <c r="I2" s="65"/>
    </row>
    <row r="3" spans="1:12" x14ac:dyDescent="0.2">
      <c r="A3" s="219" t="s">
        <v>17</v>
      </c>
      <c r="B3" s="210"/>
      <c r="C3" s="239" t="s">
        <v>94</v>
      </c>
      <c r="D3" s="239"/>
      <c r="E3" s="239"/>
      <c r="F3" s="239"/>
      <c r="G3" s="239"/>
      <c r="H3" s="240"/>
      <c r="I3" s="65"/>
    </row>
    <row r="4" spans="1:12" x14ac:dyDescent="0.2">
      <c r="A4" s="219" t="s">
        <v>18</v>
      </c>
      <c r="B4" s="210"/>
      <c r="C4" s="235" t="s">
        <v>19</v>
      </c>
      <c r="D4" s="235"/>
      <c r="E4" s="235"/>
      <c r="F4" s="235"/>
      <c r="G4" s="235"/>
      <c r="H4" s="236"/>
      <c r="I4" s="65"/>
    </row>
    <row r="5" spans="1:12" x14ac:dyDescent="0.2">
      <c r="A5" s="219" t="s">
        <v>20</v>
      </c>
      <c r="B5" s="210"/>
      <c r="C5" s="235" t="s">
        <v>33</v>
      </c>
      <c r="D5" s="235"/>
      <c r="E5" s="235"/>
      <c r="F5" s="235"/>
      <c r="G5" s="235"/>
      <c r="H5" s="236"/>
      <c r="I5" s="65"/>
    </row>
    <row r="6" spans="1:12" x14ac:dyDescent="0.2">
      <c r="A6" s="219" t="s">
        <v>21</v>
      </c>
      <c r="B6" s="210"/>
      <c r="C6" s="235" t="s">
        <v>96</v>
      </c>
      <c r="D6" s="235"/>
      <c r="E6" s="235"/>
      <c r="F6" s="235"/>
      <c r="G6" s="235"/>
      <c r="H6" s="236"/>
      <c r="I6" s="65"/>
    </row>
    <row r="7" spans="1:12" ht="13.5" thickBot="1" x14ac:dyDescent="0.25">
      <c r="A7" s="223" t="s">
        <v>22</v>
      </c>
      <c r="B7" s="224"/>
      <c r="C7" s="233" t="s">
        <v>97</v>
      </c>
      <c r="D7" s="233"/>
      <c r="E7" s="233"/>
      <c r="F7" s="233"/>
      <c r="G7" s="233"/>
      <c r="H7" s="234"/>
      <c r="I7" s="72"/>
    </row>
    <row r="8" spans="1:12" x14ac:dyDescent="0.2">
      <c r="A8" s="103"/>
      <c r="B8" s="103"/>
      <c r="C8" s="104"/>
      <c r="D8" s="104"/>
      <c r="E8" s="104"/>
      <c r="F8" s="104"/>
      <c r="G8" s="104"/>
      <c r="H8" s="104"/>
      <c r="J8" s="111"/>
    </row>
    <row r="9" spans="1:12" x14ac:dyDescent="0.2">
      <c r="A9" s="105"/>
      <c r="D9" s="203" t="s">
        <v>39</v>
      </c>
      <c r="E9" s="203"/>
      <c r="F9" s="203"/>
    </row>
    <row r="10" spans="1:12" s="106" customFormat="1" x14ac:dyDescent="0.2">
      <c r="A10" s="110" t="s">
        <v>40</v>
      </c>
      <c r="B10" s="110" t="s">
        <v>4</v>
      </c>
      <c r="C10" s="110" t="s">
        <v>12</v>
      </c>
      <c r="D10" s="110" t="s">
        <v>23</v>
      </c>
      <c r="E10" s="110" t="s">
        <v>24</v>
      </c>
      <c r="F10" s="110" t="s">
        <v>2</v>
      </c>
      <c r="G10" s="110" t="s">
        <v>0</v>
      </c>
      <c r="H10" s="110" t="s">
        <v>1</v>
      </c>
      <c r="I10" s="102"/>
      <c r="J10" s="102"/>
      <c r="K10" s="102"/>
      <c r="L10" s="102"/>
    </row>
    <row r="11" spans="1:12" x14ac:dyDescent="0.2">
      <c r="A11" s="74"/>
      <c r="B11" s="74"/>
      <c r="C11" s="74"/>
      <c r="D11" s="74"/>
      <c r="E11" s="74"/>
      <c r="F11" s="74"/>
      <c r="G11" s="74"/>
      <c r="H11" s="69"/>
      <c r="I11" s="72"/>
    </row>
    <row r="12" spans="1:12" x14ac:dyDescent="0.2">
      <c r="A12" s="232" t="s">
        <v>83</v>
      </c>
      <c r="B12" s="232"/>
      <c r="C12" s="232"/>
      <c r="D12" s="232"/>
      <c r="E12" s="232"/>
      <c r="F12" s="232"/>
      <c r="G12" s="67">
        <v>-9178833.8800000008</v>
      </c>
      <c r="H12" s="69"/>
      <c r="I12" s="112"/>
      <c r="J12" s="107"/>
    </row>
    <row r="13" spans="1:12" x14ac:dyDescent="0.2">
      <c r="A13" s="232" t="s">
        <v>82</v>
      </c>
      <c r="B13" s="232"/>
      <c r="C13" s="232"/>
      <c r="D13" s="232"/>
      <c r="E13" s="232"/>
      <c r="F13" s="232"/>
      <c r="G13" s="67">
        <v>5384144.4199999999</v>
      </c>
      <c r="H13" s="69"/>
      <c r="I13" s="112"/>
      <c r="J13" s="107"/>
    </row>
    <row r="14" spans="1:12" x14ac:dyDescent="0.2">
      <c r="A14" s="232" t="s">
        <v>99</v>
      </c>
      <c r="B14" s="232"/>
      <c r="C14" s="232"/>
      <c r="D14" s="232"/>
      <c r="E14" s="232"/>
      <c r="F14" s="232"/>
      <c r="G14" s="67">
        <v>-71303.62</v>
      </c>
      <c r="H14" s="69"/>
      <c r="I14" s="112"/>
      <c r="J14" s="107"/>
    </row>
    <row r="15" spans="1:12" x14ac:dyDescent="0.2">
      <c r="A15" s="232" t="s">
        <v>98</v>
      </c>
      <c r="B15" s="232"/>
      <c r="C15" s="232"/>
      <c r="D15" s="232"/>
      <c r="E15" s="232"/>
      <c r="F15" s="232"/>
      <c r="G15" s="132">
        <v>2364692.04</v>
      </c>
      <c r="H15" s="69"/>
      <c r="I15" s="72"/>
    </row>
    <row r="16" spans="1:12" x14ac:dyDescent="0.2">
      <c r="A16" s="232"/>
      <c r="B16" s="232"/>
      <c r="C16" s="232"/>
      <c r="D16" s="232"/>
      <c r="E16" s="232"/>
      <c r="F16" s="232"/>
      <c r="G16" s="67"/>
      <c r="H16" s="69">
        <f>SUM(G12:G15)</f>
        <v>-1501301.040000001</v>
      </c>
      <c r="I16" s="72"/>
    </row>
    <row r="17" spans="1:12" x14ac:dyDescent="0.2">
      <c r="A17" s="66">
        <f>'FERC Interest Rates'!A42</f>
        <v>42277</v>
      </c>
      <c r="B17" s="67" t="s">
        <v>34</v>
      </c>
      <c r="C17" s="100">
        <f>'Therm Sales'!I27</f>
        <v>7207066</v>
      </c>
      <c r="D17" s="67"/>
      <c r="E17" s="68">
        <f>SUM(ROUND(4427253*-0.04155,2)+ROUND(2779813*0.00601,2))-0.01</f>
        <v>-167245.69</v>
      </c>
      <c r="F17" s="67">
        <f>ROUND(H16*VLOOKUP(A17,FERCINT15,2)/365*VLOOKUP(A17,FERCINT15,3),2)</f>
        <v>-4010.32</v>
      </c>
      <c r="G17" s="67"/>
      <c r="H17" s="69">
        <f>H16+SUM(E17:G17)</f>
        <v>-1672557.050000001</v>
      </c>
      <c r="I17" s="126"/>
      <c r="L17" s="128"/>
    </row>
    <row r="18" spans="1:12" s="123" customFormat="1" x14ac:dyDescent="0.2">
      <c r="A18" s="66">
        <f>'FERC Interest Rates'!A43</f>
        <v>42308</v>
      </c>
      <c r="B18" s="82">
        <v>6.0099999999999997E-3</v>
      </c>
      <c r="C18" s="100">
        <f>'Therm Sales'!I28</f>
        <v>9975218</v>
      </c>
      <c r="D18" s="90"/>
      <c r="E18" s="116">
        <f>ROUND(C18*B18,2)-0.01</f>
        <v>59951.049999999996</v>
      </c>
      <c r="F18" s="67">
        <f>ROUND(H17*VLOOKUP(A18,FERCINT15,2)/365*VLOOKUP(A18,FERCINT15,3),2)</f>
        <v>-4616.72</v>
      </c>
      <c r="G18" s="85"/>
      <c r="H18" s="86">
        <f>H17+SUM(D18:G18)</f>
        <v>-1617222.7200000009</v>
      </c>
      <c r="I18" s="126"/>
      <c r="J18" s="127"/>
      <c r="K18" s="101"/>
      <c r="L18" s="128"/>
    </row>
    <row r="19" spans="1:12" x14ac:dyDescent="0.2">
      <c r="A19" s="66">
        <f>'FERC Interest Rates'!A44</f>
        <v>42338</v>
      </c>
      <c r="B19" s="82">
        <v>6.0099999999999997E-3</v>
      </c>
      <c r="C19" s="100">
        <f>'Therm Sales'!I29</f>
        <v>13543144</v>
      </c>
      <c r="D19" s="89"/>
      <c r="E19" s="116">
        <f>ROUND(C19*B19,2)+0.01</f>
        <v>81394.31</v>
      </c>
      <c r="F19" s="67">
        <f>ROUND(H18*VLOOKUP(A19,FERCINT15,2)/365*VLOOKUP(A19,FERCINT15,3),2)</f>
        <v>-4319.9799999999996</v>
      </c>
      <c r="G19" s="72"/>
      <c r="H19" s="76">
        <f>H18+SUM(D19:G19)</f>
        <v>-1540148.3900000008</v>
      </c>
      <c r="I19" s="112"/>
      <c r="J19" s="107"/>
      <c r="L19" s="128"/>
    </row>
    <row r="20" spans="1:12" x14ac:dyDescent="0.2">
      <c r="A20" s="66">
        <f>'FERC Interest Rates'!A45</f>
        <v>42369</v>
      </c>
      <c r="B20" s="82">
        <v>6.0099999999999997E-3</v>
      </c>
      <c r="C20" s="100">
        <f>'Therm Sales'!I30</f>
        <v>29666317</v>
      </c>
      <c r="D20" s="89"/>
      <c r="E20" s="116">
        <f t="shared" ref="E20:E24" si="0">ROUND(C20*B20,2)</f>
        <v>178294.57</v>
      </c>
      <c r="F20" s="67">
        <f>ROUND(H19*VLOOKUP(A20,FERCINT15,2)/365*VLOOKUP(A20,FERCINT15,3),2)</f>
        <v>-4251.2299999999996</v>
      </c>
      <c r="G20" s="72"/>
      <c r="H20" s="76">
        <f t="shared" ref="H20:H24" si="1">H19+SUM(D20:G20)</f>
        <v>-1366105.0500000007</v>
      </c>
      <c r="J20" s="107"/>
      <c r="L20" s="115"/>
    </row>
    <row r="21" spans="1:12" x14ac:dyDescent="0.2">
      <c r="A21" s="66">
        <f>'FERC Interest Rates'!A46</f>
        <v>42400</v>
      </c>
      <c r="B21" s="82">
        <v>6.0099999999999997E-3</v>
      </c>
      <c r="C21" s="100">
        <f>'Therm Sales'!I31</f>
        <v>39919235</v>
      </c>
      <c r="D21" s="89"/>
      <c r="E21" s="116">
        <f t="shared" si="0"/>
        <v>239914.6</v>
      </c>
      <c r="F21" s="67">
        <f t="shared" ref="F21:F24" si="2">ROUND(H20*VLOOKUP(A21,FERCINT16,2)/365*VLOOKUP(A21,FERCINT16,3),2)</f>
        <v>-3770.82</v>
      </c>
      <c r="G21" s="72"/>
      <c r="H21" s="76">
        <f t="shared" si="1"/>
        <v>-1129961.2700000007</v>
      </c>
      <c r="J21" s="107"/>
      <c r="L21" s="115"/>
    </row>
    <row r="22" spans="1:12" x14ac:dyDescent="0.2">
      <c r="A22" s="66">
        <f>'FERC Interest Rates'!A47</f>
        <v>42429</v>
      </c>
      <c r="B22" s="82">
        <v>6.0099999999999997E-3</v>
      </c>
      <c r="C22" s="100">
        <f>'Therm Sales'!I32</f>
        <v>29453033</v>
      </c>
      <c r="D22" s="89"/>
      <c r="E22" s="116">
        <f>ROUND(C22*B22,2)+0.02</f>
        <v>177012.75</v>
      </c>
      <c r="F22" s="67">
        <f t="shared" si="2"/>
        <v>-2917.78</v>
      </c>
      <c r="G22" s="72"/>
      <c r="H22" s="76">
        <f t="shared" si="1"/>
        <v>-955866.30000000075</v>
      </c>
      <c r="J22" s="107"/>
      <c r="L22" s="115"/>
    </row>
    <row r="23" spans="1:12" x14ac:dyDescent="0.2">
      <c r="A23" s="66">
        <f>'FERC Interest Rates'!A48</f>
        <v>42460</v>
      </c>
      <c r="B23" s="82">
        <v>6.0099999999999997E-3</v>
      </c>
      <c r="C23" s="100">
        <f>'Therm Sales'!I33</f>
        <v>26806337</v>
      </c>
      <c r="D23" s="89"/>
      <c r="E23" s="116">
        <f>ROUND(C23*B23,2)+0.01</f>
        <v>161106.1</v>
      </c>
      <c r="F23" s="67">
        <f t="shared" si="2"/>
        <v>-2638.45</v>
      </c>
      <c r="G23" s="72"/>
      <c r="H23" s="76">
        <f t="shared" si="1"/>
        <v>-797398.65000000072</v>
      </c>
      <c r="J23" s="107"/>
      <c r="L23" s="115"/>
    </row>
    <row r="24" spans="1:12" x14ac:dyDescent="0.2">
      <c r="A24" s="66">
        <f>'FERC Interest Rates'!A49</f>
        <v>42490</v>
      </c>
      <c r="B24" s="82">
        <v>6.0099999999999997E-3</v>
      </c>
      <c r="C24" s="100">
        <f>'Therm Sales'!I34</f>
        <v>17669937</v>
      </c>
      <c r="D24" s="89"/>
      <c r="E24" s="116">
        <f t="shared" si="0"/>
        <v>106196.32</v>
      </c>
      <c r="F24" s="67">
        <f t="shared" si="2"/>
        <v>-2267.67</v>
      </c>
      <c r="G24" s="72"/>
      <c r="H24" s="76">
        <f t="shared" si="1"/>
        <v>-693470.0000000007</v>
      </c>
      <c r="J24" s="107"/>
      <c r="L24" s="115"/>
    </row>
    <row r="25" spans="1:12" x14ac:dyDescent="0.2">
      <c r="A25" s="66"/>
      <c r="B25" s="82"/>
      <c r="C25" s="100"/>
      <c r="D25" s="121"/>
      <c r="E25" s="116"/>
      <c r="F25" s="67"/>
      <c r="H25" s="76"/>
      <c r="J25" s="107"/>
      <c r="L25" s="115"/>
    </row>
    <row r="26" spans="1:12" x14ac:dyDescent="0.2">
      <c r="A26" s="66"/>
      <c r="B26" s="82"/>
      <c r="C26" s="100"/>
      <c r="D26" s="121"/>
      <c r="E26" s="116"/>
      <c r="F26" s="67"/>
      <c r="H26" s="76"/>
      <c r="J26" s="107"/>
      <c r="L26" s="115"/>
    </row>
    <row r="27" spans="1:12" x14ac:dyDescent="0.2">
      <c r="A27" s="66"/>
      <c r="B27" s="82"/>
      <c r="C27" s="100"/>
      <c r="D27" s="121"/>
      <c r="E27" s="116"/>
      <c r="F27" s="67"/>
      <c r="H27" s="76"/>
      <c r="J27" s="107"/>
      <c r="L27" s="115"/>
    </row>
    <row r="28" spans="1:12" x14ac:dyDescent="0.2">
      <c r="A28" s="66"/>
      <c r="B28" s="82"/>
      <c r="C28" s="100"/>
      <c r="D28" s="121"/>
      <c r="E28" s="116"/>
      <c r="F28" s="67"/>
      <c r="H28" s="76"/>
      <c r="J28" s="107"/>
      <c r="L28" s="115"/>
    </row>
    <row r="29" spans="1:12" x14ac:dyDescent="0.2">
      <c r="A29" s="66"/>
      <c r="B29" s="82"/>
      <c r="C29" s="100"/>
      <c r="D29" s="121"/>
      <c r="E29" s="116"/>
      <c r="F29" s="67"/>
      <c r="H29" s="76"/>
      <c r="J29" s="107"/>
      <c r="L29" s="115"/>
    </row>
    <row r="30" spans="1:12" x14ac:dyDescent="0.2">
      <c r="A30" s="66"/>
      <c r="B30" s="82"/>
      <c r="C30" s="100"/>
      <c r="D30" s="121"/>
      <c r="E30" s="116"/>
      <c r="F30" s="67"/>
      <c r="H30" s="76"/>
      <c r="J30" s="107"/>
      <c r="L30" s="115"/>
    </row>
    <row r="31" spans="1:12" x14ac:dyDescent="0.2">
      <c r="H31" s="76"/>
    </row>
  </sheetData>
  <mergeCells count="20">
    <mergeCell ref="A1:B1"/>
    <mergeCell ref="C1:H1"/>
    <mergeCell ref="A2:B2"/>
    <mergeCell ref="C2:H2"/>
    <mergeCell ref="A3:B3"/>
    <mergeCell ref="C3:H3"/>
    <mergeCell ref="A4:B4"/>
    <mergeCell ref="C4:H4"/>
    <mergeCell ref="A5:B5"/>
    <mergeCell ref="C5:H5"/>
    <mergeCell ref="A6:B6"/>
    <mergeCell ref="C6:H6"/>
    <mergeCell ref="A16:F16"/>
    <mergeCell ref="A14:F14"/>
    <mergeCell ref="A7:B7"/>
    <mergeCell ref="C7:H7"/>
    <mergeCell ref="D9:F9"/>
    <mergeCell ref="A12:F12"/>
    <mergeCell ref="A13:F13"/>
    <mergeCell ref="A15:F15"/>
  </mergeCells>
  <printOptions horizontalCentered="1"/>
  <pageMargins left="0.7" right="0.7" top="0.75" bottom="0.75" header="0.3" footer="0.3"/>
  <pageSetup fitToHeight="0" orientation="portrait" r:id="rId1"/>
  <headerFooter>
    <oddFooter>&amp;L&amp;"-,Regular"       
Cascade Natural Gas Corporation&amp;C&amp;"-,Regular"Page 3 of 13&amp;R&amp;"-,Regular"Washington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4"/>
  <sheetViews>
    <sheetView view="pageLayout" zoomScaleNormal="100" workbookViewId="0">
      <selection activeCell="A5" sqref="A5:F22"/>
    </sheetView>
  </sheetViews>
  <sheetFormatPr defaultRowHeight="15.75" x14ac:dyDescent="0.25"/>
  <cols>
    <col min="2" max="2" width="17.44140625" customWidth="1"/>
    <col min="3" max="3" width="19.33203125" bestFit="1" customWidth="1"/>
    <col min="4" max="4" width="14.109375" customWidth="1"/>
    <col min="5" max="5" width="11.6640625" customWidth="1"/>
    <col min="6" max="6" width="12.44140625" customWidth="1"/>
  </cols>
  <sheetData>
    <row r="1" spans="1:8" x14ac:dyDescent="0.25">
      <c r="A1" s="241" t="s">
        <v>108</v>
      </c>
      <c r="B1" s="241"/>
      <c r="C1" s="241"/>
      <c r="D1" s="241"/>
      <c r="E1" s="241"/>
      <c r="F1" s="241"/>
      <c r="G1" s="146"/>
      <c r="H1" s="137"/>
    </row>
    <row r="2" spans="1:8" x14ac:dyDescent="0.25">
      <c r="A2" s="148" t="s">
        <v>109</v>
      </c>
      <c r="B2" s="149">
        <v>42489</v>
      </c>
      <c r="C2" s="150"/>
      <c r="D2" s="150"/>
      <c r="E2" s="150"/>
      <c r="F2" s="150"/>
      <c r="G2" s="142"/>
      <c r="H2" s="137"/>
    </row>
    <row r="3" spans="1:8" x14ac:dyDescent="0.25">
      <c r="A3" s="138"/>
      <c r="B3" s="138"/>
      <c r="C3" s="138"/>
      <c r="D3" s="138"/>
      <c r="E3" s="138"/>
      <c r="F3" s="138"/>
      <c r="G3" s="138"/>
      <c r="H3" s="139"/>
    </row>
    <row r="4" spans="1:8" ht="16.5" thickBot="1" x14ac:dyDescent="0.3">
      <c r="A4" s="242"/>
      <c r="B4" s="242"/>
      <c r="C4" s="242"/>
      <c r="D4" s="242"/>
      <c r="E4" s="152"/>
      <c r="F4" s="147"/>
      <c r="G4" s="142"/>
      <c r="H4" s="137"/>
    </row>
    <row r="5" spans="1:8" x14ac:dyDescent="0.25">
      <c r="A5" s="157"/>
      <c r="B5" s="157"/>
      <c r="C5" s="158" t="s">
        <v>110</v>
      </c>
      <c r="D5" s="158" t="s">
        <v>111</v>
      </c>
      <c r="E5" s="159" t="s">
        <v>24</v>
      </c>
      <c r="F5" s="158" t="s">
        <v>3</v>
      </c>
      <c r="G5" s="142"/>
      <c r="H5" s="137"/>
    </row>
    <row r="6" spans="1:8" x14ac:dyDescent="0.25">
      <c r="A6" s="160"/>
      <c r="B6" s="160"/>
      <c r="C6" s="161">
        <v>692010</v>
      </c>
      <c r="D6" s="161">
        <v>691010</v>
      </c>
      <c r="E6" s="162">
        <v>693010</v>
      </c>
      <c r="F6" s="161"/>
      <c r="G6" s="142"/>
      <c r="H6" s="137"/>
    </row>
    <row r="7" spans="1:8" hidden="1" x14ac:dyDescent="0.25">
      <c r="A7" s="163" t="s">
        <v>112</v>
      </c>
      <c r="B7" s="164"/>
      <c r="C7" s="165"/>
      <c r="D7" s="165"/>
      <c r="E7" s="166"/>
      <c r="F7" s="165"/>
      <c r="G7" s="142"/>
      <c r="H7" s="137"/>
    </row>
    <row r="8" spans="1:8" hidden="1" x14ac:dyDescent="0.25">
      <c r="A8" s="163" t="s">
        <v>113</v>
      </c>
      <c r="B8" s="164"/>
      <c r="C8" s="167"/>
      <c r="D8" s="167"/>
      <c r="E8" s="168"/>
      <c r="F8" s="169">
        <v>0</v>
      </c>
      <c r="G8" s="142"/>
      <c r="H8" s="137"/>
    </row>
    <row r="9" spans="1:8" hidden="1" x14ac:dyDescent="0.25">
      <c r="A9" s="163" t="s">
        <v>114</v>
      </c>
      <c r="B9" s="164"/>
      <c r="C9" s="170">
        <v>4109889.17</v>
      </c>
      <c r="D9" s="170">
        <v>2151070.1700000004</v>
      </c>
      <c r="E9" s="171">
        <v>-106196.31999999999</v>
      </c>
      <c r="F9" s="172">
        <v>6154763.0200000014</v>
      </c>
      <c r="G9" s="142"/>
      <c r="H9" s="137"/>
    </row>
    <row r="10" spans="1:8" x14ac:dyDescent="0.25">
      <c r="A10" s="163" t="s">
        <v>115</v>
      </c>
      <c r="B10" s="164"/>
      <c r="C10" s="173">
        <v>4109889.1700000009</v>
      </c>
      <c r="D10" s="173">
        <v>2151070.1700000004</v>
      </c>
      <c r="E10" s="168">
        <v>-106196.31999999999</v>
      </c>
      <c r="F10" s="167">
        <v>6154763.0200000014</v>
      </c>
      <c r="G10" s="142"/>
      <c r="H10" s="137"/>
    </row>
    <row r="11" spans="1:8" x14ac:dyDescent="0.25">
      <c r="A11" s="163" t="s">
        <v>116</v>
      </c>
      <c r="B11" s="164"/>
      <c r="C11" s="174">
        <v>2204918.7799999998</v>
      </c>
      <c r="D11" s="175">
        <v>3929881.1500000004</v>
      </c>
      <c r="E11" s="176">
        <v>0</v>
      </c>
      <c r="F11" s="172">
        <v>6134799.9299999997</v>
      </c>
      <c r="G11" s="142"/>
      <c r="H11" s="137"/>
    </row>
    <row r="12" spans="1:8" x14ac:dyDescent="0.25">
      <c r="A12" s="163" t="s">
        <v>117</v>
      </c>
      <c r="B12" s="164"/>
      <c r="C12" s="177">
        <v>1904970.3900000011</v>
      </c>
      <c r="D12" s="178">
        <v>-1778810.98</v>
      </c>
      <c r="E12" s="179">
        <v>-106196.31999999999</v>
      </c>
      <c r="F12" s="180">
        <v>19963.090000001714</v>
      </c>
      <c r="G12" s="142"/>
      <c r="H12" s="137"/>
    </row>
    <row r="13" spans="1:8" x14ac:dyDescent="0.25">
      <c r="A13" s="163" t="s">
        <v>118</v>
      </c>
      <c r="B13" s="164"/>
      <c r="C13" s="181"/>
      <c r="D13" s="182"/>
      <c r="E13" s="183"/>
      <c r="F13" s="184"/>
      <c r="G13" s="144"/>
      <c r="H13" s="151"/>
    </row>
    <row r="14" spans="1:8" x14ac:dyDescent="0.25">
      <c r="A14" s="185" t="s">
        <v>119</v>
      </c>
      <c r="B14" s="186"/>
      <c r="C14" s="180"/>
      <c r="D14" s="180">
        <v>235790</v>
      </c>
      <c r="E14" s="187"/>
      <c r="F14" s="184">
        <v>235790</v>
      </c>
      <c r="G14" s="142"/>
      <c r="H14" s="137"/>
    </row>
    <row r="15" spans="1:8" x14ac:dyDescent="0.25">
      <c r="A15" s="188" t="s">
        <v>120</v>
      </c>
      <c r="B15" s="189"/>
      <c r="C15" s="190">
        <v>1904970.3900000011</v>
      </c>
      <c r="D15" s="190">
        <f>D12+D14</f>
        <v>-1543020.98</v>
      </c>
      <c r="E15" s="191">
        <v>-106196.31999999999</v>
      </c>
      <c r="F15" s="190">
        <v>255753.09000000171</v>
      </c>
      <c r="G15" s="142"/>
      <c r="H15" s="137"/>
    </row>
    <row r="16" spans="1:8" x14ac:dyDescent="0.25">
      <c r="A16" s="164"/>
      <c r="B16" s="164"/>
      <c r="C16" s="164"/>
      <c r="D16" s="164"/>
      <c r="E16" s="192"/>
      <c r="F16" s="164"/>
      <c r="G16" s="142"/>
      <c r="H16" s="137"/>
    </row>
    <row r="17" spans="1:8" x14ac:dyDescent="0.25">
      <c r="A17" s="164"/>
      <c r="B17" s="164"/>
      <c r="C17" s="164" t="s">
        <v>121</v>
      </c>
      <c r="D17" s="164"/>
      <c r="E17" s="192"/>
      <c r="F17" s="164"/>
      <c r="G17" s="138"/>
      <c r="H17" s="139"/>
    </row>
    <row r="18" spans="1:8" x14ac:dyDescent="0.25">
      <c r="A18" s="164"/>
      <c r="B18" s="164"/>
      <c r="C18" s="164"/>
      <c r="D18" s="164"/>
      <c r="E18" s="192"/>
      <c r="F18" s="164"/>
      <c r="G18" s="138"/>
      <c r="H18" s="139"/>
    </row>
    <row r="19" spans="1:8" x14ac:dyDescent="0.25">
      <c r="A19" s="193" t="s">
        <v>122</v>
      </c>
      <c r="B19" s="193"/>
      <c r="C19" s="194" t="s">
        <v>27</v>
      </c>
      <c r="D19" s="194" t="s">
        <v>27</v>
      </c>
      <c r="E19" s="168"/>
      <c r="F19" s="195"/>
      <c r="G19" s="138"/>
      <c r="H19" s="139"/>
    </row>
    <row r="20" spans="1:8" x14ac:dyDescent="0.25">
      <c r="A20" s="164"/>
      <c r="B20" s="164"/>
      <c r="C20" s="196"/>
      <c r="D20" s="196"/>
      <c r="E20" s="197"/>
      <c r="F20" s="164"/>
      <c r="G20" s="138"/>
      <c r="H20" s="139"/>
    </row>
    <row r="21" spans="1:8" x14ac:dyDescent="0.25">
      <c r="A21" s="164"/>
      <c r="B21" s="164"/>
      <c r="C21" s="184">
        <v>-1904970.3900000011</v>
      </c>
      <c r="D21" s="184">
        <f>-D15</f>
        <v>1543020.98</v>
      </c>
      <c r="E21" s="198">
        <v>106196.31999999999</v>
      </c>
      <c r="F21" s="184">
        <f>-F15</f>
        <v>-255753.09000000171</v>
      </c>
      <c r="G21" s="138"/>
      <c r="H21" s="139"/>
    </row>
    <row r="22" spans="1:8" ht="16.5" thickBot="1" x14ac:dyDescent="0.3">
      <c r="A22" s="193" t="s">
        <v>123</v>
      </c>
      <c r="B22" s="193"/>
      <c r="C22" s="199" t="s">
        <v>28</v>
      </c>
      <c r="D22" s="200" t="s">
        <v>29</v>
      </c>
      <c r="E22" s="201"/>
      <c r="F22" s="195"/>
      <c r="G22" s="138"/>
      <c r="H22" s="139"/>
    </row>
    <row r="23" spans="1:8" x14ac:dyDescent="0.25">
      <c r="A23" s="155"/>
      <c r="B23" s="155"/>
      <c r="C23" s="155"/>
      <c r="D23" s="156"/>
      <c r="E23" s="156"/>
      <c r="F23" s="156"/>
      <c r="G23" s="138"/>
      <c r="H23" s="139"/>
    </row>
    <row r="24" spans="1:8" x14ac:dyDescent="0.25">
      <c r="A24" s="142"/>
      <c r="B24" s="142"/>
      <c r="C24" s="142"/>
      <c r="D24" s="145"/>
      <c r="E24" s="143"/>
      <c r="F24" s="142"/>
      <c r="G24" s="138"/>
      <c r="H24" s="139"/>
    </row>
  </sheetData>
  <mergeCells count="2">
    <mergeCell ref="A1:F1"/>
    <mergeCell ref="A4:D4"/>
  </mergeCells>
  <printOptions horizontalCentered="1"/>
  <pageMargins left="0.7" right="0.7" top="0.75" bottom="0.75" header="0.3" footer="0.3"/>
  <pageSetup scale="90" fitToHeight="0" orientation="portrait" r:id="rId1"/>
  <headerFooter>
    <oddFooter>&amp;L&amp;"-,Regular"Cascade Natural Gas Corporation&amp;C&amp;"-,Regular"Page 4 of 13&amp;R&amp;"-,Regular"Washington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96" zoomScaleNormal="75" zoomScaleSheetLayoutView="96" workbookViewId="0">
      <pane xSplit="1" ySplit="10" topLeftCell="B17" activePane="bottomRight" state="frozen"/>
      <selection activeCell="F63" sqref="F63:H67"/>
      <selection pane="topRight" activeCell="F63" sqref="F63:H67"/>
      <selection pane="bottomLeft" activeCell="F63" sqref="F63:H67"/>
      <selection pane="bottomRight" activeCell="C53" sqref="C53"/>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30" t="s">
        <v>13</v>
      </c>
      <c r="B1" s="231"/>
      <c r="C1" s="243" t="s">
        <v>14</v>
      </c>
      <c r="D1" s="243"/>
      <c r="E1" s="243"/>
      <c r="F1" s="243"/>
      <c r="G1" s="243"/>
      <c r="H1" s="244"/>
    </row>
    <row r="2" spans="1:12" x14ac:dyDescent="0.2">
      <c r="A2" s="219" t="s">
        <v>16</v>
      </c>
      <c r="B2" s="210"/>
      <c r="C2" s="213" t="s">
        <v>47</v>
      </c>
      <c r="D2" s="213"/>
      <c r="E2" s="213"/>
      <c r="F2" s="213"/>
      <c r="G2" s="213"/>
      <c r="H2" s="222"/>
    </row>
    <row r="3" spans="1:12" x14ac:dyDescent="0.2">
      <c r="A3" s="219" t="s">
        <v>17</v>
      </c>
      <c r="B3" s="210"/>
      <c r="C3" s="213" t="s">
        <v>30</v>
      </c>
      <c r="D3" s="213"/>
      <c r="E3" s="213"/>
      <c r="F3" s="213"/>
      <c r="G3" s="213"/>
      <c r="H3" s="222"/>
    </row>
    <row r="4" spans="1:12" s="9" customFormat="1" x14ac:dyDescent="0.2">
      <c r="A4" s="219" t="s">
        <v>18</v>
      </c>
      <c r="B4" s="210"/>
      <c r="C4" s="215" t="s">
        <v>19</v>
      </c>
      <c r="D4" s="215"/>
      <c r="E4" s="215"/>
      <c r="F4" s="215"/>
      <c r="G4" s="215"/>
      <c r="H4" s="229"/>
    </row>
    <row r="5" spans="1:12" x14ac:dyDescent="0.2">
      <c r="A5" s="219" t="s">
        <v>20</v>
      </c>
      <c r="B5" s="210"/>
      <c r="C5" s="215" t="s">
        <v>101</v>
      </c>
      <c r="D5" s="215"/>
      <c r="E5" s="215"/>
      <c r="F5" s="215"/>
      <c r="G5" s="215"/>
      <c r="H5" s="229"/>
    </row>
    <row r="6" spans="1:12" x14ac:dyDescent="0.2">
      <c r="A6" s="219" t="s">
        <v>21</v>
      </c>
      <c r="B6" s="210"/>
      <c r="C6" s="215" t="s">
        <v>70</v>
      </c>
      <c r="D6" s="215"/>
      <c r="E6" s="215"/>
      <c r="F6" s="215"/>
      <c r="G6" s="215"/>
      <c r="H6" s="229"/>
    </row>
    <row r="7" spans="1:12" ht="13.5" thickBot="1" x14ac:dyDescent="0.25">
      <c r="A7" s="223" t="s">
        <v>22</v>
      </c>
      <c r="B7" s="224"/>
      <c r="C7" s="225" t="s">
        <v>46</v>
      </c>
      <c r="D7" s="225"/>
      <c r="E7" s="225"/>
      <c r="F7" s="225"/>
      <c r="G7" s="225"/>
      <c r="H7" s="226"/>
    </row>
    <row r="8" spans="1:12" x14ac:dyDescent="0.2">
      <c r="A8" s="2"/>
      <c r="B8" s="2"/>
      <c r="C8" s="3"/>
      <c r="D8" s="3"/>
      <c r="E8" s="3"/>
      <c r="F8" s="3"/>
      <c r="G8" s="3"/>
      <c r="H8" s="3"/>
      <c r="J8" s="8"/>
    </row>
    <row r="9" spans="1:12" x14ac:dyDescent="0.2">
      <c r="A9" s="4"/>
      <c r="D9" s="203" t="s">
        <v>39</v>
      </c>
      <c r="E9" s="203"/>
      <c r="F9" s="203"/>
    </row>
    <row r="10" spans="1:12" s="5" customFormat="1" x14ac:dyDescent="0.2">
      <c r="A10" s="6" t="s">
        <v>40</v>
      </c>
      <c r="B10" s="6" t="s">
        <v>4</v>
      </c>
      <c r="C10" s="6" t="s">
        <v>12</v>
      </c>
      <c r="D10" s="6" t="s">
        <v>23</v>
      </c>
      <c r="E10" s="6" t="s">
        <v>24</v>
      </c>
      <c r="F10" s="6" t="s">
        <v>2</v>
      </c>
      <c r="G10" s="6" t="s">
        <v>0</v>
      </c>
      <c r="H10" s="6" t="s">
        <v>1</v>
      </c>
      <c r="I10" s="27"/>
      <c r="J10" s="27"/>
      <c r="K10" s="27"/>
      <c r="L10" s="27"/>
    </row>
    <row r="11" spans="1:12" x14ac:dyDescent="0.2">
      <c r="A11" s="208" t="s">
        <v>85</v>
      </c>
      <c r="B11" s="208"/>
      <c r="C11" s="208"/>
      <c r="D11" s="208"/>
      <c r="E11" s="208"/>
      <c r="F11" s="208"/>
      <c r="G11" s="208"/>
      <c r="H11" s="78">
        <v>158578.29</v>
      </c>
      <c r="J11" s="61"/>
      <c r="K11" s="63"/>
      <c r="L11" s="64"/>
    </row>
    <row r="12" spans="1:12" x14ac:dyDescent="0.2">
      <c r="A12" s="83">
        <f>'FERC Interest Rates'!A20</f>
        <v>41608</v>
      </c>
      <c r="D12" s="1">
        <v>24828.55</v>
      </c>
      <c r="F12" s="61">
        <f t="shared" ref="F12:F13" si="0">ROUND(H11*VLOOKUP(A12,FERCINT13,2)/365*VLOOKUP(A12,FERCINT13,3),2)</f>
        <v>423.6</v>
      </c>
      <c r="H12" s="78">
        <f t="shared" ref="H12:H36" si="1">+SUM(D12:G12)+H11</f>
        <v>183830.44</v>
      </c>
      <c r="J12" s="61"/>
      <c r="K12" s="63"/>
      <c r="L12" s="64"/>
    </row>
    <row r="13" spans="1:12" x14ac:dyDescent="0.2">
      <c r="A13" s="83">
        <f>'FERC Interest Rates'!A21</f>
        <v>41639</v>
      </c>
      <c r="D13" s="1">
        <v>61920.67</v>
      </c>
      <c r="F13" s="61">
        <f t="shared" si="0"/>
        <v>507.42</v>
      </c>
      <c r="H13" s="78">
        <f t="shared" si="1"/>
        <v>246258.53</v>
      </c>
      <c r="J13" s="61"/>
      <c r="K13" s="63"/>
      <c r="L13" s="64"/>
    </row>
    <row r="14" spans="1:12" x14ac:dyDescent="0.2">
      <c r="A14" s="83">
        <f>'FERC Interest Rates'!A22</f>
        <v>41670</v>
      </c>
      <c r="D14" s="1">
        <v>106224.99</v>
      </c>
      <c r="F14" s="61">
        <f t="shared" ref="F14:F26" si="2">ROUND(H13*VLOOKUP(A14,FERCINT14,2)/365*VLOOKUP(A14,FERCINT14,3),2)</f>
        <v>679.74</v>
      </c>
      <c r="H14" s="78">
        <f t="shared" si="1"/>
        <v>353163.26</v>
      </c>
      <c r="J14" s="61"/>
      <c r="K14" s="63"/>
      <c r="L14" s="64"/>
    </row>
    <row r="15" spans="1:12" x14ac:dyDescent="0.2">
      <c r="A15" s="83">
        <f>'FERC Interest Rates'!A23</f>
        <v>41698</v>
      </c>
      <c r="D15" s="1">
        <f>16449+6136.5</f>
        <v>22585.5</v>
      </c>
      <c r="F15" s="61">
        <f t="shared" si="2"/>
        <v>880.49</v>
      </c>
      <c r="H15" s="78">
        <f t="shared" si="1"/>
        <v>376629.25</v>
      </c>
      <c r="J15" s="61"/>
      <c r="K15" s="63"/>
      <c r="L15" s="64"/>
    </row>
    <row r="16" spans="1:12" x14ac:dyDescent="0.2">
      <c r="A16" s="83">
        <f>'FERC Interest Rates'!A24</f>
        <v>41729</v>
      </c>
      <c r="D16" s="1">
        <f>11600+4102.2</f>
        <v>15702.2</v>
      </c>
      <c r="F16" s="61">
        <f t="shared" si="2"/>
        <v>1039.5999999999999</v>
      </c>
      <c r="H16" s="78">
        <f t="shared" si="1"/>
        <v>393371.05</v>
      </c>
      <c r="J16" s="61"/>
      <c r="K16" s="63"/>
      <c r="L16" s="64"/>
    </row>
    <row r="17" spans="1:12" x14ac:dyDescent="0.2">
      <c r="A17" s="83">
        <f>'FERC Interest Rates'!A25</f>
        <v>41759</v>
      </c>
      <c r="D17" s="1">
        <v>6983.2</v>
      </c>
      <c r="F17" s="61">
        <f t="shared" si="2"/>
        <v>1050.79</v>
      </c>
      <c r="H17" s="78">
        <f t="shared" si="1"/>
        <v>401405.04</v>
      </c>
      <c r="J17" s="61"/>
      <c r="K17" s="63"/>
      <c r="L17" s="64"/>
    </row>
    <row r="18" spans="1:12" x14ac:dyDescent="0.2">
      <c r="A18" s="83">
        <f>'FERC Interest Rates'!A26</f>
        <v>41790</v>
      </c>
      <c r="D18" s="1">
        <v>23544</v>
      </c>
      <c r="F18" s="61">
        <f t="shared" si="2"/>
        <v>1107.99</v>
      </c>
      <c r="H18" s="78">
        <f t="shared" si="1"/>
        <v>426057.02999999997</v>
      </c>
      <c r="J18" s="61"/>
      <c r="K18" s="63"/>
      <c r="L18" s="64"/>
    </row>
    <row r="19" spans="1:12" x14ac:dyDescent="0.2">
      <c r="A19" s="83">
        <f>'FERC Interest Rates'!A27</f>
        <v>41820</v>
      </c>
      <c r="D19" s="1">
        <v>-3291</v>
      </c>
      <c r="F19" s="61">
        <f t="shared" si="2"/>
        <v>1138.0999999999999</v>
      </c>
      <c r="H19" s="78">
        <f t="shared" si="1"/>
        <v>423904.12999999995</v>
      </c>
      <c r="J19" s="61"/>
      <c r="K19" s="63"/>
      <c r="L19" s="64"/>
    </row>
    <row r="20" spans="1:12" x14ac:dyDescent="0.2">
      <c r="A20" s="83">
        <f>'FERC Interest Rates'!A28</f>
        <v>41851</v>
      </c>
      <c r="D20" s="1">
        <v>54271</v>
      </c>
      <c r="F20" s="61">
        <f t="shared" si="2"/>
        <v>1170.0899999999999</v>
      </c>
      <c r="H20" s="78">
        <f t="shared" si="1"/>
        <v>479345.22</v>
      </c>
      <c r="J20" s="61"/>
      <c r="K20" s="63"/>
      <c r="L20" s="64"/>
    </row>
    <row r="21" spans="1:12" x14ac:dyDescent="0.2">
      <c r="A21" s="83">
        <f>'FERC Interest Rates'!A29</f>
        <v>41882</v>
      </c>
      <c r="D21" s="1">
        <v>6460</v>
      </c>
      <c r="F21" s="61">
        <f t="shared" si="2"/>
        <v>1323.12</v>
      </c>
      <c r="H21" s="78">
        <f t="shared" si="1"/>
        <v>487128.33999999997</v>
      </c>
      <c r="J21" s="61"/>
      <c r="K21" s="63"/>
      <c r="L21" s="64"/>
    </row>
    <row r="22" spans="1:12" x14ac:dyDescent="0.2">
      <c r="A22" s="83">
        <f>'FERC Interest Rates'!A30</f>
        <v>41912</v>
      </c>
      <c r="D22" s="1">
        <v>97919.2</v>
      </c>
      <c r="F22" s="61">
        <f t="shared" si="2"/>
        <v>1301.23</v>
      </c>
      <c r="H22" s="78">
        <f t="shared" si="1"/>
        <v>586348.77</v>
      </c>
      <c r="J22" s="61"/>
      <c r="K22" s="63"/>
      <c r="L22" s="64"/>
    </row>
    <row r="23" spans="1:12" x14ac:dyDescent="0.2">
      <c r="A23" s="83">
        <f>'FERC Interest Rates'!A31</f>
        <v>41943</v>
      </c>
      <c r="D23" s="1">
        <v>4238.3</v>
      </c>
      <c r="F23" s="61">
        <f t="shared" si="2"/>
        <v>1618.48</v>
      </c>
      <c r="H23" s="78">
        <f t="shared" si="1"/>
        <v>592205.55000000005</v>
      </c>
      <c r="J23" s="61"/>
      <c r="K23" s="63"/>
      <c r="L23" s="64"/>
    </row>
    <row r="24" spans="1:12" x14ac:dyDescent="0.2">
      <c r="A24" s="202" t="s">
        <v>91</v>
      </c>
      <c r="B24" s="202"/>
      <c r="C24" s="202"/>
      <c r="D24" s="202"/>
      <c r="E24" s="202"/>
      <c r="F24" s="202"/>
      <c r="G24" s="101">
        <v>-483282.64</v>
      </c>
      <c r="H24" s="118">
        <f t="shared" si="1"/>
        <v>108922.91000000003</v>
      </c>
    </row>
    <row r="25" spans="1:12" x14ac:dyDescent="0.2">
      <c r="A25" s="124">
        <f>'FERC Interest Rates'!A32</f>
        <v>41973</v>
      </c>
      <c r="D25" s="1">
        <v>33374.75</v>
      </c>
      <c r="F25" s="101">
        <f t="shared" si="2"/>
        <v>290.95999999999998</v>
      </c>
      <c r="H25" s="118">
        <f t="shared" si="1"/>
        <v>142588.62000000002</v>
      </c>
      <c r="J25" s="101"/>
      <c r="K25" s="108"/>
      <c r="L25" s="109"/>
    </row>
    <row r="26" spans="1:12" x14ac:dyDescent="0.2">
      <c r="A26" s="124">
        <f>'FERC Interest Rates'!A33</f>
        <v>42004</v>
      </c>
      <c r="D26" s="1">
        <v>21640</v>
      </c>
      <c r="F26" s="101">
        <f t="shared" si="2"/>
        <v>393.58</v>
      </c>
      <c r="H26" s="118">
        <f t="shared" si="1"/>
        <v>164622.20000000001</v>
      </c>
      <c r="J26" s="101"/>
      <c r="K26" s="108"/>
      <c r="L26" s="109"/>
    </row>
    <row r="27" spans="1:12" x14ac:dyDescent="0.2">
      <c r="A27" s="124">
        <f>'FERC Interest Rates'!A34</f>
        <v>42035</v>
      </c>
      <c r="D27" s="1">
        <v>37399</v>
      </c>
      <c r="F27" s="101">
        <f t="shared" ref="F27:F36" si="3">ROUND(H26*VLOOKUP(A27,FERCINT15,2)/365*VLOOKUP(A27,FERCINT15,3),2)</f>
        <v>454.4</v>
      </c>
      <c r="H27" s="118">
        <f t="shared" si="1"/>
        <v>202475.6</v>
      </c>
      <c r="J27" s="101"/>
      <c r="K27" s="108"/>
      <c r="L27" s="109"/>
    </row>
    <row r="28" spans="1:12" x14ac:dyDescent="0.2">
      <c r="A28" s="124">
        <f>'FERC Interest Rates'!A35</f>
        <v>42063</v>
      </c>
      <c r="D28" s="1">
        <v>55859</v>
      </c>
      <c r="F28" s="101">
        <f t="shared" si="3"/>
        <v>504.8</v>
      </c>
      <c r="H28" s="118">
        <f t="shared" si="1"/>
        <v>258839.40000000002</v>
      </c>
      <c r="J28" s="101"/>
      <c r="K28" s="108"/>
      <c r="L28" s="109"/>
    </row>
    <row r="29" spans="1:12" x14ac:dyDescent="0.2">
      <c r="A29" s="124">
        <f>'FERC Interest Rates'!A36</f>
        <v>42094</v>
      </c>
      <c r="D29" s="1">
        <v>169431.4</v>
      </c>
      <c r="F29" s="101">
        <f t="shared" si="3"/>
        <v>714.47</v>
      </c>
      <c r="H29" s="118">
        <f t="shared" si="1"/>
        <v>428985.27</v>
      </c>
      <c r="J29" s="101"/>
      <c r="K29" s="108"/>
      <c r="L29" s="109"/>
    </row>
    <row r="30" spans="1:12" x14ac:dyDescent="0.2">
      <c r="A30" s="124">
        <f>'FERC Interest Rates'!A37</f>
        <v>42124</v>
      </c>
      <c r="D30" s="1">
        <v>28883.5</v>
      </c>
      <c r="F30" s="101">
        <f t="shared" si="3"/>
        <v>1145.92</v>
      </c>
      <c r="H30" s="118">
        <f t="shared" si="1"/>
        <v>459014.69</v>
      </c>
      <c r="J30" s="101"/>
      <c r="K30" s="108"/>
      <c r="L30" s="109"/>
    </row>
    <row r="31" spans="1:12" x14ac:dyDescent="0.2">
      <c r="A31" s="124">
        <f>'FERC Interest Rates'!A38</f>
        <v>42155</v>
      </c>
      <c r="D31" s="1">
        <v>5600</v>
      </c>
      <c r="F31" s="101">
        <f t="shared" si="3"/>
        <v>1267.01</v>
      </c>
      <c r="H31" s="118">
        <f t="shared" si="1"/>
        <v>465881.7</v>
      </c>
      <c r="J31" s="101"/>
      <c r="K31" s="108"/>
      <c r="L31" s="109"/>
    </row>
    <row r="32" spans="1:12" x14ac:dyDescent="0.2">
      <c r="A32" s="124">
        <f>'FERC Interest Rates'!A39</f>
        <v>42185</v>
      </c>
      <c r="D32" s="1">
        <v>9188</v>
      </c>
      <c r="F32" s="101">
        <f t="shared" si="3"/>
        <v>1244.48</v>
      </c>
      <c r="H32" s="118">
        <f t="shared" si="1"/>
        <v>476314.18</v>
      </c>
      <c r="J32" s="101"/>
      <c r="K32" s="108"/>
      <c r="L32" s="109"/>
    </row>
    <row r="33" spans="1:12" x14ac:dyDescent="0.2">
      <c r="A33" s="124">
        <f>'FERC Interest Rates'!A40</f>
        <v>42216</v>
      </c>
      <c r="D33" s="1">
        <v>51916.2</v>
      </c>
      <c r="F33" s="101">
        <f t="shared" si="3"/>
        <v>1314.76</v>
      </c>
      <c r="H33" s="118">
        <f t="shared" si="1"/>
        <v>529545.14</v>
      </c>
      <c r="J33" s="101"/>
      <c r="K33" s="108"/>
      <c r="L33" s="109"/>
    </row>
    <row r="34" spans="1:12" x14ac:dyDescent="0.2">
      <c r="A34" s="124">
        <f>'FERC Interest Rates'!A41</f>
        <v>42247</v>
      </c>
      <c r="D34" s="1">
        <v>9960</v>
      </c>
      <c r="F34" s="101">
        <f t="shared" si="3"/>
        <v>1461.69</v>
      </c>
      <c r="H34" s="118">
        <f t="shared" si="1"/>
        <v>540966.82999999996</v>
      </c>
      <c r="J34" s="101"/>
      <c r="K34" s="108"/>
      <c r="L34" s="109"/>
    </row>
    <row r="35" spans="1:12" x14ac:dyDescent="0.2">
      <c r="A35" s="124">
        <f>'FERC Interest Rates'!A42</f>
        <v>42277</v>
      </c>
      <c r="D35" s="1">
        <v>171485.2</v>
      </c>
      <c r="F35" s="101">
        <f>ROUND(H34*VLOOKUP(A35,FERCINT15,2)/365*VLOOKUP(A35,FERCINT15,3),2)</f>
        <v>1445.05</v>
      </c>
      <c r="H35" s="118">
        <f>+SUM(D35:G35)+H34</f>
        <v>713897.08</v>
      </c>
      <c r="J35" s="101"/>
      <c r="K35" s="108"/>
      <c r="L35" s="109"/>
    </row>
    <row r="36" spans="1:12" x14ac:dyDescent="0.2">
      <c r="A36" s="124">
        <f>'FERC Interest Rates'!A43</f>
        <v>42308</v>
      </c>
      <c r="D36" s="1">
        <v>63970</v>
      </c>
      <c r="F36" s="101">
        <f t="shared" si="3"/>
        <v>1970.55</v>
      </c>
      <c r="H36" s="118">
        <f t="shared" si="1"/>
        <v>779837.63</v>
      </c>
      <c r="J36" s="101"/>
      <c r="K36" s="108"/>
      <c r="L36" s="109"/>
    </row>
    <row r="37" spans="1:12" x14ac:dyDescent="0.2">
      <c r="A37" s="124">
        <f>'FERC Interest Rates'!A44</f>
        <v>42338</v>
      </c>
      <c r="B37" s="101"/>
      <c r="C37" s="101"/>
      <c r="D37" s="101">
        <v>0</v>
      </c>
      <c r="E37" s="101"/>
      <c r="F37" s="101">
        <f t="shared" ref="F37:F39" si="4">ROUND(H36*VLOOKUP(A37,FERCINT15,2)/365*VLOOKUP(A37,FERCINT15,3),2)</f>
        <v>2083.13</v>
      </c>
      <c r="G37" s="101"/>
      <c r="H37" s="118">
        <f t="shared" ref="H37:H43" si="5">+SUM(D37:G37)+H36</f>
        <v>781920.76</v>
      </c>
      <c r="I37" s="101"/>
      <c r="J37" s="101"/>
      <c r="K37" s="108"/>
      <c r="L37" s="109"/>
    </row>
    <row r="38" spans="1:12" x14ac:dyDescent="0.2">
      <c r="A38" s="202" t="s">
        <v>100</v>
      </c>
      <c r="B38" s="202"/>
      <c r="C38" s="202"/>
      <c r="D38" s="202"/>
      <c r="E38" s="202"/>
      <c r="F38" s="202"/>
      <c r="G38" s="101">
        <v>-535321.06999999995</v>
      </c>
      <c r="H38" s="118">
        <f t="shared" si="5"/>
        <v>246599.69000000006</v>
      </c>
      <c r="I38" s="101"/>
      <c r="J38" s="101"/>
      <c r="K38" s="108"/>
      <c r="L38" s="109"/>
    </row>
    <row r="39" spans="1:12" x14ac:dyDescent="0.2">
      <c r="A39" s="124">
        <f>'FERC Interest Rates'!A45</f>
        <v>42369</v>
      </c>
      <c r="B39" s="101"/>
      <c r="C39" s="101"/>
      <c r="D39" s="101">
        <v>106186</v>
      </c>
      <c r="E39" s="101"/>
      <c r="F39" s="101">
        <f t="shared" si="4"/>
        <v>680.68</v>
      </c>
      <c r="G39" s="101"/>
      <c r="H39" s="118">
        <f t="shared" si="5"/>
        <v>353466.37000000005</v>
      </c>
      <c r="I39" s="101"/>
      <c r="J39" s="101"/>
      <c r="K39" s="108"/>
      <c r="L39" s="109"/>
    </row>
    <row r="40" spans="1:12" x14ac:dyDescent="0.2">
      <c r="A40" s="124">
        <f>'FERC Interest Rates'!A46</f>
        <v>42400</v>
      </c>
      <c r="B40" s="101"/>
      <c r="C40" s="101"/>
      <c r="D40" s="101">
        <v>42155</v>
      </c>
      <c r="E40" s="101"/>
      <c r="F40" s="101">
        <f t="shared" ref="F40:F43" si="6">ROUND(H39*VLOOKUP(A40,FERCINT16,2)/365*VLOOKUP(A40,FERCINT16,3),2)</f>
        <v>975.66</v>
      </c>
      <c r="G40" s="101"/>
      <c r="H40" s="118">
        <f t="shared" si="5"/>
        <v>396597.03</v>
      </c>
      <c r="I40" s="101"/>
      <c r="J40" s="101"/>
      <c r="K40" s="108"/>
      <c r="L40" s="109"/>
    </row>
    <row r="41" spans="1:12" x14ac:dyDescent="0.2">
      <c r="A41" s="124">
        <f>'FERC Interest Rates'!A47</f>
        <v>42429</v>
      </c>
      <c r="B41" s="101"/>
      <c r="C41" s="101"/>
      <c r="D41" s="101">
        <v>46723.95</v>
      </c>
      <c r="E41" s="101"/>
      <c r="F41" s="101">
        <f t="shared" si="6"/>
        <v>1024.0899999999999</v>
      </c>
      <c r="G41" s="101"/>
      <c r="H41" s="118">
        <f t="shared" si="5"/>
        <v>444345.07</v>
      </c>
      <c r="I41" s="101"/>
      <c r="J41" s="101"/>
      <c r="K41" s="108"/>
      <c r="L41" s="109"/>
    </row>
    <row r="42" spans="1:12" x14ac:dyDescent="0.2">
      <c r="A42" s="124">
        <f>'FERC Interest Rates'!A48</f>
        <v>42460</v>
      </c>
      <c r="B42" s="101"/>
      <c r="C42" s="101"/>
      <c r="D42" s="101">
        <v>4550</v>
      </c>
      <c r="E42" s="101"/>
      <c r="F42" s="101">
        <f t="shared" si="6"/>
        <v>1226.51</v>
      </c>
      <c r="G42" s="101"/>
      <c r="H42" s="118">
        <f t="shared" si="5"/>
        <v>450121.58</v>
      </c>
      <c r="I42" s="101"/>
      <c r="J42" s="101"/>
      <c r="K42" s="108"/>
      <c r="L42" s="109"/>
    </row>
    <row r="43" spans="1:12" x14ac:dyDescent="0.2">
      <c r="A43" s="124">
        <f>'FERC Interest Rates'!A49</f>
        <v>42490</v>
      </c>
      <c r="B43" s="101"/>
      <c r="C43" s="101"/>
      <c r="D43" s="101">
        <v>4473</v>
      </c>
      <c r="E43" s="101"/>
      <c r="F43" s="101">
        <f t="shared" si="6"/>
        <v>1280.07</v>
      </c>
      <c r="G43" s="101"/>
      <c r="H43" s="118">
        <f t="shared" si="5"/>
        <v>455874.65</v>
      </c>
      <c r="I43" s="101"/>
      <c r="J43" s="101"/>
      <c r="K43" s="108"/>
      <c r="L43" s="109"/>
    </row>
    <row r="44" spans="1:12" x14ac:dyDescent="0.2">
      <c r="A44" s="124"/>
      <c r="B44" s="101"/>
      <c r="C44" s="101"/>
      <c r="D44" s="101"/>
      <c r="E44" s="101"/>
      <c r="F44" s="101"/>
      <c r="G44" s="101"/>
      <c r="H44" s="118"/>
      <c r="I44" s="101"/>
      <c r="J44" s="101"/>
      <c r="K44" s="108"/>
      <c r="L44" s="109"/>
    </row>
    <row r="45" spans="1:12" x14ac:dyDescent="0.2">
      <c r="A45" s="124"/>
      <c r="B45" s="101"/>
      <c r="C45" s="101"/>
      <c r="D45" s="101"/>
      <c r="E45" s="101"/>
      <c r="F45" s="101"/>
      <c r="G45" s="101"/>
      <c r="H45" s="118"/>
      <c r="I45" s="101"/>
      <c r="J45" s="101"/>
      <c r="K45" s="108"/>
      <c r="L45" s="109"/>
    </row>
    <row r="46" spans="1:12" x14ac:dyDescent="0.2">
      <c r="A46" s="124"/>
      <c r="B46" s="101"/>
      <c r="C46" s="101"/>
      <c r="D46" s="101"/>
      <c r="E46" s="101"/>
      <c r="F46" s="101"/>
      <c r="G46" s="101"/>
      <c r="H46" s="118"/>
      <c r="I46" s="101"/>
      <c r="J46" s="101"/>
      <c r="K46" s="108"/>
      <c r="L46" s="109"/>
    </row>
    <row r="47" spans="1:12" x14ac:dyDescent="0.2">
      <c r="A47" s="124"/>
      <c r="B47" s="101"/>
      <c r="C47" s="101"/>
      <c r="D47" s="101"/>
      <c r="E47" s="101"/>
      <c r="F47" s="101"/>
      <c r="G47" s="101"/>
      <c r="H47" s="118"/>
      <c r="I47" s="101"/>
      <c r="J47" s="101"/>
      <c r="K47" s="108"/>
      <c r="L47" s="109"/>
    </row>
    <row r="48" spans="1:12" x14ac:dyDescent="0.2">
      <c r="A48" s="124"/>
      <c r="B48" s="101"/>
      <c r="C48" s="101"/>
      <c r="D48" s="101"/>
      <c r="E48" s="101"/>
      <c r="F48" s="101"/>
      <c r="G48" s="101"/>
      <c r="H48" s="118"/>
      <c r="I48" s="101"/>
      <c r="J48" s="101"/>
      <c r="K48" s="108"/>
      <c r="L48" s="109"/>
    </row>
    <row r="49" spans="1:12" x14ac:dyDescent="0.2">
      <c r="A49" s="124"/>
      <c r="B49" s="101"/>
      <c r="C49" s="101"/>
      <c r="D49" s="101"/>
      <c r="E49" s="101"/>
      <c r="F49" s="101"/>
      <c r="G49" s="101"/>
      <c r="H49" s="118"/>
      <c r="I49" s="101"/>
      <c r="J49" s="101"/>
      <c r="K49" s="108"/>
      <c r="L49" s="109"/>
    </row>
    <row r="50" spans="1:12" x14ac:dyDescent="0.2">
      <c r="A50" s="124"/>
      <c r="B50" s="101"/>
      <c r="C50" s="101"/>
      <c r="D50" s="101"/>
      <c r="E50" s="101"/>
      <c r="F50" s="101"/>
      <c r="G50" s="101"/>
      <c r="H50" s="118"/>
      <c r="I50" s="101"/>
      <c r="J50" s="101"/>
      <c r="K50" s="108"/>
      <c r="L50" s="109"/>
    </row>
  </sheetData>
  <mergeCells count="18">
    <mergeCell ref="C5:H5"/>
    <mergeCell ref="C6:H6"/>
    <mergeCell ref="A6:B6"/>
    <mergeCell ref="A7:B7"/>
    <mergeCell ref="C1:H1"/>
    <mergeCell ref="C7:H7"/>
    <mergeCell ref="A38:F38"/>
    <mergeCell ref="D9:F9"/>
    <mergeCell ref="A24:F24"/>
    <mergeCell ref="A1:B1"/>
    <mergeCell ref="A2:B2"/>
    <mergeCell ref="A3:B3"/>
    <mergeCell ref="A4:B4"/>
    <mergeCell ref="A5:B5"/>
    <mergeCell ref="C2:H2"/>
    <mergeCell ref="C3:H3"/>
    <mergeCell ref="C4:H4"/>
    <mergeCell ref="A11:G11"/>
  </mergeCells>
  <phoneticPr fontId="0" type="noConversion"/>
  <printOptions horizontalCentered="1"/>
  <pageMargins left="0.5" right="0.25" top="0.5" bottom="0.7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Normal="75" zoomScaleSheetLayoutView="100" workbookViewId="0">
      <pane xSplit="1" ySplit="10" topLeftCell="B17" activePane="bottomRight" state="frozen"/>
      <selection activeCell="F63" sqref="F63:H67"/>
      <selection pane="topRight" activeCell="F63" sqref="F63:H67"/>
      <selection pane="bottomLeft" activeCell="F63" sqref="F63:H67"/>
      <selection pane="bottomRight" activeCell="I1" sqref="I1:M1048576"/>
    </sheetView>
  </sheetViews>
  <sheetFormatPr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30" t="s">
        <v>13</v>
      </c>
      <c r="B1" s="231"/>
      <c r="C1" s="243" t="s">
        <v>14</v>
      </c>
      <c r="D1" s="243"/>
      <c r="E1" s="243"/>
      <c r="F1" s="243"/>
      <c r="G1" s="243"/>
      <c r="H1" s="244"/>
    </row>
    <row r="2" spans="1:12" x14ac:dyDescent="0.2">
      <c r="A2" s="219" t="s">
        <v>16</v>
      </c>
      <c r="B2" s="210"/>
      <c r="C2" s="213" t="s">
        <v>48</v>
      </c>
      <c r="D2" s="213"/>
      <c r="E2" s="213"/>
      <c r="F2" s="213"/>
      <c r="G2" s="213"/>
      <c r="H2" s="222"/>
    </row>
    <row r="3" spans="1:12" x14ac:dyDescent="0.2">
      <c r="A3" s="219" t="s">
        <v>17</v>
      </c>
      <c r="B3" s="210"/>
      <c r="C3" s="213" t="s">
        <v>67</v>
      </c>
      <c r="D3" s="213"/>
      <c r="E3" s="213"/>
      <c r="F3" s="213"/>
      <c r="G3" s="213"/>
      <c r="H3" s="222"/>
    </row>
    <row r="4" spans="1:12" s="9" customFormat="1" x14ac:dyDescent="0.2">
      <c r="A4" s="219" t="s">
        <v>18</v>
      </c>
      <c r="B4" s="210"/>
      <c r="C4" s="245" t="s">
        <v>19</v>
      </c>
      <c r="D4" s="245"/>
      <c r="E4" s="245"/>
      <c r="F4" s="245"/>
      <c r="G4" s="245"/>
      <c r="H4" s="246"/>
    </row>
    <row r="5" spans="1:12" x14ac:dyDescent="0.2">
      <c r="A5" s="219" t="s">
        <v>20</v>
      </c>
      <c r="B5" s="210"/>
      <c r="C5" s="245" t="s">
        <v>101</v>
      </c>
      <c r="D5" s="245"/>
      <c r="E5" s="245"/>
      <c r="F5" s="245"/>
      <c r="G5" s="245"/>
      <c r="H5" s="246"/>
    </row>
    <row r="6" spans="1:12" x14ac:dyDescent="0.2">
      <c r="A6" s="219" t="s">
        <v>21</v>
      </c>
      <c r="B6" s="210"/>
      <c r="C6" s="215" t="s">
        <v>70</v>
      </c>
      <c r="D6" s="215"/>
      <c r="E6" s="215"/>
      <c r="F6" s="215"/>
      <c r="G6" s="215"/>
      <c r="H6" s="229"/>
    </row>
    <row r="7" spans="1:12" ht="13.5" thickBot="1" x14ac:dyDescent="0.25">
      <c r="A7" s="223" t="s">
        <v>22</v>
      </c>
      <c r="B7" s="224"/>
      <c r="C7" s="225" t="s">
        <v>46</v>
      </c>
      <c r="D7" s="225"/>
      <c r="E7" s="225"/>
      <c r="F7" s="225"/>
      <c r="G7" s="225"/>
      <c r="H7" s="226"/>
    </row>
    <row r="8" spans="1:12" x14ac:dyDescent="0.2">
      <c r="A8" s="2"/>
      <c r="B8" s="2"/>
      <c r="C8" s="3"/>
      <c r="D8" s="3"/>
      <c r="E8" s="3"/>
      <c r="F8" s="3"/>
      <c r="G8" s="3"/>
      <c r="H8" s="3"/>
      <c r="J8" s="8"/>
    </row>
    <row r="9" spans="1:12" x14ac:dyDescent="0.2">
      <c r="A9" s="4"/>
      <c r="D9" s="203" t="s">
        <v>39</v>
      </c>
      <c r="E9" s="203"/>
      <c r="F9" s="203"/>
    </row>
    <row r="10" spans="1:12" s="5" customFormat="1" x14ac:dyDescent="0.2">
      <c r="A10" s="6" t="s">
        <v>40</v>
      </c>
      <c r="B10" s="6" t="s">
        <v>4</v>
      </c>
      <c r="C10" s="6" t="s">
        <v>12</v>
      </c>
      <c r="D10" s="6" t="s">
        <v>23</v>
      </c>
      <c r="E10" s="6" t="s">
        <v>24</v>
      </c>
      <c r="F10" s="6" t="s">
        <v>2</v>
      </c>
      <c r="G10" s="6" t="s">
        <v>0</v>
      </c>
      <c r="H10" s="6" t="s">
        <v>1</v>
      </c>
      <c r="I10" s="27"/>
      <c r="J10" s="27"/>
      <c r="K10" s="27"/>
      <c r="L10" s="27"/>
    </row>
    <row r="11" spans="1:12" x14ac:dyDescent="0.2">
      <c r="A11" s="208" t="s">
        <v>85</v>
      </c>
      <c r="B11" s="208"/>
      <c r="C11" s="208"/>
      <c r="D11" s="208"/>
      <c r="E11" s="208"/>
      <c r="F11" s="208"/>
      <c r="G11" s="208"/>
      <c r="H11" s="78">
        <v>34127.81</v>
      </c>
      <c r="J11" s="61"/>
      <c r="K11" s="63"/>
      <c r="L11" s="64"/>
    </row>
    <row r="12" spans="1:12" x14ac:dyDescent="0.2">
      <c r="A12" s="83">
        <f>'FERC Interest Rates'!A20</f>
        <v>41608</v>
      </c>
      <c r="D12" s="1">
        <f>589.95+3436.51</f>
        <v>4026.46</v>
      </c>
      <c r="F12" s="61">
        <f t="shared" ref="F12:F13" si="0">ROUND(H11*VLOOKUP(A12,FERCINT13,2)/365*VLOOKUP(A12,FERCINT13,3),2)</f>
        <v>91.16</v>
      </c>
      <c r="H12" s="78">
        <f t="shared" ref="H12:H36" si="1">+SUM(D12:G12)+H11</f>
        <v>38245.43</v>
      </c>
      <c r="J12" s="61"/>
      <c r="K12" s="63"/>
      <c r="L12" s="64"/>
    </row>
    <row r="13" spans="1:12" x14ac:dyDescent="0.2">
      <c r="A13" s="83">
        <f>'FERC Interest Rates'!A21</f>
        <v>41639</v>
      </c>
      <c r="D13" s="1">
        <v>3341.37</v>
      </c>
      <c r="F13" s="61">
        <f t="shared" si="0"/>
        <v>105.57</v>
      </c>
      <c r="H13" s="78">
        <f t="shared" si="1"/>
        <v>41692.370000000003</v>
      </c>
      <c r="J13" s="61"/>
      <c r="K13" s="63"/>
      <c r="L13" s="64"/>
    </row>
    <row r="14" spans="1:12" x14ac:dyDescent="0.2">
      <c r="A14" s="83">
        <f>'FERC Interest Rates'!A22</f>
        <v>41670</v>
      </c>
      <c r="D14" s="1">
        <v>3500.93</v>
      </c>
      <c r="F14" s="61">
        <f t="shared" ref="F14:F23" si="2">ROUND(H13*VLOOKUP(A14,FERCINT14,2)/365*VLOOKUP(A14,FERCINT14,3),2)</f>
        <v>115.08</v>
      </c>
      <c r="H14" s="78">
        <f t="shared" si="1"/>
        <v>45308.380000000005</v>
      </c>
      <c r="J14" s="61"/>
      <c r="K14" s="63"/>
      <c r="L14" s="64"/>
    </row>
    <row r="15" spans="1:12" x14ac:dyDescent="0.2">
      <c r="A15" s="83">
        <f>'FERC Interest Rates'!A23</f>
        <v>41698</v>
      </c>
      <c r="D15" s="1">
        <f>1228.81+2800.64+2907.85</f>
        <v>6937.2999999999993</v>
      </c>
      <c r="F15" s="61">
        <f t="shared" si="2"/>
        <v>112.96</v>
      </c>
      <c r="H15" s="78">
        <f t="shared" si="1"/>
        <v>52358.640000000007</v>
      </c>
      <c r="J15" s="61"/>
      <c r="K15" s="63"/>
      <c r="L15" s="64"/>
    </row>
    <row r="16" spans="1:12" x14ac:dyDescent="0.2">
      <c r="A16" s="83">
        <f>'FERC Interest Rates'!A24</f>
        <v>41729</v>
      </c>
      <c r="D16" s="1">
        <f>5104.12+1781.99</f>
        <v>6886.11</v>
      </c>
      <c r="F16" s="61">
        <f t="shared" si="2"/>
        <v>144.52000000000001</v>
      </c>
      <c r="H16" s="78">
        <f t="shared" si="1"/>
        <v>59389.270000000004</v>
      </c>
      <c r="J16" s="61"/>
      <c r="K16" s="63"/>
      <c r="L16" s="64"/>
    </row>
    <row r="17" spans="1:12" x14ac:dyDescent="0.2">
      <c r="A17" s="83">
        <f>'FERC Interest Rates'!A25</f>
        <v>41759</v>
      </c>
      <c r="D17" s="1">
        <v>5578.35</v>
      </c>
      <c r="F17" s="61">
        <f t="shared" si="2"/>
        <v>158.63999999999999</v>
      </c>
      <c r="H17" s="78">
        <f t="shared" si="1"/>
        <v>65126.26</v>
      </c>
      <c r="J17" s="61"/>
      <c r="K17" s="63"/>
      <c r="L17" s="64"/>
    </row>
    <row r="18" spans="1:12" x14ac:dyDescent="0.2">
      <c r="A18" s="83">
        <f>'FERC Interest Rates'!A26</f>
        <v>41790</v>
      </c>
      <c r="D18" s="1">
        <v>0</v>
      </c>
      <c r="F18" s="61">
        <f t="shared" si="2"/>
        <v>179.77</v>
      </c>
      <c r="H18" s="78">
        <f t="shared" si="1"/>
        <v>65306.03</v>
      </c>
      <c r="J18" s="61"/>
      <c r="K18" s="63"/>
      <c r="L18" s="64"/>
    </row>
    <row r="19" spans="1:12" x14ac:dyDescent="0.2">
      <c r="A19" s="83">
        <f>'FERC Interest Rates'!A27</f>
        <v>41820</v>
      </c>
      <c r="D19" s="1">
        <v>8188.42</v>
      </c>
      <c r="F19" s="61">
        <f t="shared" si="2"/>
        <v>174.45</v>
      </c>
      <c r="H19" s="78">
        <f t="shared" si="1"/>
        <v>73668.899999999994</v>
      </c>
      <c r="J19" s="61"/>
      <c r="K19" s="63"/>
      <c r="L19" s="64"/>
    </row>
    <row r="20" spans="1:12" x14ac:dyDescent="0.2">
      <c r="A20" s="83">
        <f>'FERC Interest Rates'!A28</f>
        <v>41851</v>
      </c>
      <c r="D20" s="1">
        <v>0</v>
      </c>
      <c r="F20" s="61">
        <f t="shared" si="2"/>
        <v>203.35</v>
      </c>
      <c r="H20" s="78">
        <f t="shared" si="1"/>
        <v>73872.25</v>
      </c>
      <c r="J20" s="61"/>
      <c r="K20" s="63"/>
      <c r="L20" s="64"/>
    </row>
    <row r="21" spans="1:12" x14ac:dyDescent="0.2">
      <c r="A21" s="83">
        <f>'FERC Interest Rates'!A29</f>
        <v>41882</v>
      </c>
      <c r="D21" s="1">
        <v>5733.28</v>
      </c>
      <c r="F21" s="61">
        <f t="shared" si="2"/>
        <v>203.91</v>
      </c>
      <c r="H21" s="78">
        <f t="shared" si="1"/>
        <v>79809.440000000002</v>
      </c>
      <c r="J21" s="61"/>
      <c r="K21" s="63"/>
      <c r="L21" s="64"/>
    </row>
    <row r="22" spans="1:12" x14ac:dyDescent="0.2">
      <c r="A22" s="83">
        <f>'FERC Interest Rates'!A30</f>
        <v>41912</v>
      </c>
      <c r="D22" s="1">
        <v>0</v>
      </c>
      <c r="F22" s="61">
        <f t="shared" si="2"/>
        <v>213.19</v>
      </c>
      <c r="H22" s="78">
        <f t="shared" si="1"/>
        <v>80022.63</v>
      </c>
      <c r="J22" s="61"/>
      <c r="K22" s="63"/>
      <c r="L22" s="64"/>
    </row>
    <row r="23" spans="1:12" x14ac:dyDescent="0.2">
      <c r="A23" s="83">
        <f>'FERC Interest Rates'!A31</f>
        <v>41943</v>
      </c>
      <c r="D23" s="1">
        <v>3220.1</v>
      </c>
      <c r="F23" s="61">
        <f t="shared" si="2"/>
        <v>220.88</v>
      </c>
      <c r="H23" s="78">
        <f t="shared" si="1"/>
        <v>83463.61</v>
      </c>
      <c r="J23" s="61"/>
      <c r="K23" s="63"/>
      <c r="L23" s="64"/>
    </row>
    <row r="24" spans="1:12" x14ac:dyDescent="0.2">
      <c r="A24" s="202" t="s">
        <v>91</v>
      </c>
      <c r="B24" s="202"/>
      <c r="C24" s="202"/>
      <c r="D24" s="202"/>
      <c r="E24" s="202"/>
      <c r="F24" s="202"/>
      <c r="G24" s="101">
        <v>-74479.05</v>
      </c>
      <c r="H24" s="118">
        <f t="shared" si="1"/>
        <v>8984.5599999999977</v>
      </c>
    </row>
    <row r="25" spans="1:12" x14ac:dyDescent="0.2">
      <c r="A25" s="124">
        <f>'FERC Interest Rates'!A32</f>
        <v>41973</v>
      </c>
      <c r="D25" s="1">
        <v>11345.71</v>
      </c>
      <c r="F25" s="101">
        <f>ROUND(H24*VLOOKUP(A25,FERCINT14,2)/365*VLOOKUP(A25,FERCINT14,3),2)</f>
        <v>24</v>
      </c>
      <c r="H25" s="118">
        <f t="shared" si="1"/>
        <v>20354.269999999997</v>
      </c>
      <c r="J25" s="101"/>
      <c r="K25" s="108"/>
      <c r="L25" s="109"/>
    </row>
    <row r="26" spans="1:12" x14ac:dyDescent="0.2">
      <c r="A26" s="124">
        <f>'FERC Interest Rates'!A33</f>
        <v>42004</v>
      </c>
      <c r="D26" s="1">
        <v>6484.81</v>
      </c>
      <c r="F26" s="101">
        <f>ROUND(H25*VLOOKUP(A26,FERCINT14,2)/365*VLOOKUP(A26,FERCINT14,3),2)</f>
        <v>56.18</v>
      </c>
      <c r="H26" s="118">
        <f t="shared" si="1"/>
        <v>26895.26</v>
      </c>
      <c r="J26" s="101"/>
      <c r="K26" s="108"/>
      <c r="L26" s="109"/>
    </row>
    <row r="27" spans="1:12" x14ac:dyDescent="0.2">
      <c r="A27" s="124">
        <f>'FERC Interest Rates'!A34</f>
        <v>42035</v>
      </c>
      <c r="D27" s="1">
        <v>0</v>
      </c>
      <c r="F27" s="101">
        <f t="shared" ref="F27:F36" si="3">ROUND(H26*VLOOKUP(A27,FERCINT15,2)/365*VLOOKUP(A27,FERCINT15,3),2)</f>
        <v>74.239999999999995</v>
      </c>
      <c r="H27" s="118">
        <f t="shared" si="1"/>
        <v>26969.5</v>
      </c>
      <c r="J27" s="101"/>
      <c r="K27" s="108"/>
      <c r="L27" s="109"/>
    </row>
    <row r="28" spans="1:12" x14ac:dyDescent="0.2">
      <c r="A28" s="124">
        <f>'FERC Interest Rates'!A35</f>
        <v>42063</v>
      </c>
      <c r="D28" s="1">
        <v>18744.09</v>
      </c>
      <c r="F28" s="101">
        <f t="shared" si="3"/>
        <v>67.239999999999995</v>
      </c>
      <c r="H28" s="118">
        <f t="shared" si="1"/>
        <v>45780.83</v>
      </c>
      <c r="J28" s="101"/>
      <c r="K28" s="108"/>
      <c r="L28" s="109"/>
    </row>
    <row r="29" spans="1:12" x14ac:dyDescent="0.2">
      <c r="A29" s="124">
        <f>'FERC Interest Rates'!A36</f>
        <v>42094</v>
      </c>
      <c r="D29" s="1">
        <v>20706.11</v>
      </c>
      <c r="F29" s="101">
        <f t="shared" si="3"/>
        <v>126.37</v>
      </c>
      <c r="H29" s="118">
        <f t="shared" si="1"/>
        <v>66613.31</v>
      </c>
      <c r="J29" s="101"/>
      <c r="K29" s="108"/>
      <c r="L29" s="109"/>
    </row>
    <row r="30" spans="1:12" x14ac:dyDescent="0.2">
      <c r="A30" s="124">
        <f>'FERC Interest Rates'!A37</f>
        <v>42124</v>
      </c>
      <c r="D30" s="1">
        <v>6730.61</v>
      </c>
      <c r="F30" s="101">
        <f t="shared" si="3"/>
        <v>177.94</v>
      </c>
      <c r="H30" s="118">
        <f t="shared" si="1"/>
        <v>73521.86</v>
      </c>
      <c r="J30" s="101"/>
      <c r="K30" s="108"/>
      <c r="L30" s="109"/>
    </row>
    <row r="31" spans="1:12" x14ac:dyDescent="0.2">
      <c r="A31" s="124">
        <f>'FERC Interest Rates'!A38</f>
        <v>42155</v>
      </c>
      <c r="D31" s="1">
        <v>6090.9</v>
      </c>
      <c r="F31" s="101">
        <f t="shared" si="3"/>
        <v>202.94</v>
      </c>
      <c r="H31" s="118">
        <f t="shared" si="1"/>
        <v>79815.7</v>
      </c>
      <c r="J31" s="101"/>
      <c r="K31" s="108"/>
      <c r="L31" s="109"/>
    </row>
    <row r="32" spans="1:12" x14ac:dyDescent="0.2">
      <c r="A32" s="124">
        <f>'FERC Interest Rates'!A39</f>
        <v>42185</v>
      </c>
      <c r="D32" s="1">
        <v>2164.98</v>
      </c>
      <c r="F32" s="101">
        <f t="shared" si="3"/>
        <v>213.21</v>
      </c>
      <c r="H32" s="118">
        <f t="shared" si="1"/>
        <v>82193.89</v>
      </c>
      <c r="J32" s="101"/>
      <c r="K32" s="108"/>
      <c r="L32" s="109"/>
    </row>
    <row r="33" spans="1:12" x14ac:dyDescent="0.2">
      <c r="A33" s="124">
        <f>'FERC Interest Rates'!A40</f>
        <v>42216</v>
      </c>
      <c r="D33" s="1">
        <v>4424.8900000000003</v>
      </c>
      <c r="F33" s="101">
        <f t="shared" si="3"/>
        <v>226.88</v>
      </c>
      <c r="H33" s="118">
        <f t="shared" si="1"/>
        <v>86845.66</v>
      </c>
      <c r="J33" s="101"/>
      <c r="K33" s="108"/>
      <c r="L33" s="109"/>
    </row>
    <row r="34" spans="1:12" x14ac:dyDescent="0.2">
      <c r="A34" s="124">
        <f>'FERC Interest Rates'!A41</f>
        <v>42247</v>
      </c>
      <c r="D34" s="1">
        <v>0</v>
      </c>
      <c r="F34" s="101">
        <f t="shared" si="3"/>
        <v>239.72</v>
      </c>
      <c r="H34" s="118">
        <f t="shared" si="1"/>
        <v>87085.38</v>
      </c>
      <c r="J34" s="101"/>
      <c r="K34" s="108"/>
      <c r="L34" s="109"/>
    </row>
    <row r="35" spans="1:12" x14ac:dyDescent="0.2">
      <c r="A35" s="124">
        <f>'FERC Interest Rates'!A42</f>
        <v>42277</v>
      </c>
      <c r="D35" s="1">
        <v>0</v>
      </c>
      <c r="F35" s="101">
        <f t="shared" si="3"/>
        <v>232.63</v>
      </c>
      <c r="H35" s="118">
        <f t="shared" si="1"/>
        <v>87318.010000000009</v>
      </c>
      <c r="J35" s="101"/>
      <c r="K35" s="108"/>
      <c r="L35" s="109"/>
    </row>
    <row r="36" spans="1:12" x14ac:dyDescent="0.2">
      <c r="A36" s="124">
        <f>'FERC Interest Rates'!A43</f>
        <v>42308</v>
      </c>
      <c r="D36" s="1">
        <v>25588.39</v>
      </c>
      <c r="F36" s="101">
        <f t="shared" si="3"/>
        <v>241.02</v>
      </c>
      <c r="H36" s="118">
        <f t="shared" si="1"/>
        <v>113147.42000000001</v>
      </c>
      <c r="J36" s="101"/>
      <c r="K36" s="108"/>
      <c r="L36" s="109"/>
    </row>
    <row r="37" spans="1:12" x14ac:dyDescent="0.2">
      <c r="A37" s="124">
        <f>'FERC Interest Rates'!A44</f>
        <v>42338</v>
      </c>
      <c r="B37" s="101"/>
      <c r="C37" s="101"/>
      <c r="D37" s="101">
        <v>0</v>
      </c>
      <c r="E37" s="101"/>
      <c r="F37" s="101">
        <f t="shared" ref="F37" si="4">ROUND(H36*VLOOKUP(A37,FERCINT15,2)/365*VLOOKUP(A37,FERCINT15,3),2)</f>
        <v>302.24</v>
      </c>
      <c r="G37" s="101"/>
      <c r="H37" s="118">
        <f t="shared" ref="H37:H43" si="5">+SUM(D37:G37)+H36</f>
        <v>113449.66000000002</v>
      </c>
      <c r="I37" s="101"/>
      <c r="J37" s="101"/>
      <c r="K37" s="108"/>
      <c r="L37" s="109"/>
    </row>
    <row r="38" spans="1:12" x14ac:dyDescent="0.2">
      <c r="A38" s="202" t="s">
        <v>100</v>
      </c>
      <c r="B38" s="202"/>
      <c r="C38" s="202"/>
      <c r="D38" s="202"/>
      <c r="E38" s="202"/>
      <c r="F38" s="202"/>
      <c r="G38" s="101">
        <v>-87792.92</v>
      </c>
      <c r="H38" s="118">
        <f t="shared" si="5"/>
        <v>25656.74000000002</v>
      </c>
      <c r="I38" s="101"/>
      <c r="J38" s="101"/>
      <c r="K38" s="108"/>
      <c r="L38" s="109"/>
    </row>
    <row r="39" spans="1:12" x14ac:dyDescent="0.2">
      <c r="A39" s="124">
        <f>'FERC Interest Rates'!A45</f>
        <v>42369</v>
      </c>
      <c r="B39" s="101"/>
      <c r="C39" s="101"/>
      <c r="D39" s="101">
        <v>5078.8599999999997</v>
      </c>
      <c r="E39" s="101"/>
      <c r="F39" s="101">
        <f>ROUND(H38*VLOOKUP(A39,FERCINT15,2)/365*VLOOKUP(A39,FERCINT15,3),2)</f>
        <v>70.819999999999993</v>
      </c>
      <c r="G39" s="101"/>
      <c r="H39" s="118">
        <f t="shared" si="5"/>
        <v>30806.42000000002</v>
      </c>
      <c r="I39" s="101"/>
      <c r="J39" s="101"/>
      <c r="K39" s="108"/>
      <c r="L39" s="109"/>
    </row>
    <row r="40" spans="1:12" x14ac:dyDescent="0.2">
      <c r="A40" s="124">
        <f>'FERC Interest Rates'!A46</f>
        <v>42400</v>
      </c>
      <c r="B40" s="101"/>
      <c r="C40" s="101"/>
      <c r="D40" s="101">
        <v>8551.1299999999992</v>
      </c>
      <c r="E40" s="101"/>
      <c r="F40" s="101">
        <f t="shared" ref="F40:F43" si="6">ROUND(H39*VLOOKUP(A40,FERCINT16,2)/365*VLOOKUP(A40,FERCINT16,3),2)</f>
        <v>85.03</v>
      </c>
      <c r="G40" s="101"/>
      <c r="H40" s="118">
        <f t="shared" si="5"/>
        <v>39442.580000000016</v>
      </c>
      <c r="I40" s="101"/>
      <c r="J40" s="101"/>
      <c r="K40" s="108"/>
      <c r="L40" s="109"/>
    </row>
    <row r="41" spans="1:12" x14ac:dyDescent="0.2">
      <c r="A41" s="124">
        <f>'FERC Interest Rates'!A47</f>
        <v>42429</v>
      </c>
      <c r="B41" s="101"/>
      <c r="C41" s="101"/>
      <c r="D41" s="101">
        <v>3435.07</v>
      </c>
      <c r="E41" s="101"/>
      <c r="F41" s="101">
        <f t="shared" si="6"/>
        <v>101.85</v>
      </c>
      <c r="G41" s="101"/>
      <c r="H41" s="118">
        <f t="shared" si="5"/>
        <v>42979.500000000015</v>
      </c>
      <c r="I41" s="101"/>
      <c r="J41" s="101"/>
      <c r="K41" s="108"/>
      <c r="L41" s="109"/>
    </row>
    <row r="42" spans="1:12" x14ac:dyDescent="0.2">
      <c r="A42" s="124">
        <f>'FERC Interest Rates'!A48</f>
        <v>42460</v>
      </c>
      <c r="B42" s="101"/>
      <c r="C42" s="101"/>
      <c r="D42" s="101">
        <v>4412.76</v>
      </c>
      <c r="E42" s="101"/>
      <c r="F42" s="101">
        <f t="shared" si="6"/>
        <v>118.64</v>
      </c>
      <c r="G42" s="101"/>
      <c r="H42" s="118">
        <f t="shared" si="5"/>
        <v>47510.900000000016</v>
      </c>
      <c r="I42" s="101"/>
      <c r="J42" s="101"/>
      <c r="K42" s="108"/>
      <c r="L42" s="109"/>
    </row>
    <row r="43" spans="1:12" x14ac:dyDescent="0.2">
      <c r="A43" s="124">
        <f>'FERC Interest Rates'!A49</f>
        <v>42490</v>
      </c>
      <c r="B43" s="101"/>
      <c r="C43" s="101"/>
      <c r="D43" s="101">
        <v>25403.73</v>
      </c>
      <c r="E43" s="101"/>
      <c r="F43" s="101">
        <f t="shared" si="6"/>
        <v>135.11000000000001</v>
      </c>
      <c r="G43" s="101"/>
      <c r="H43" s="118">
        <f t="shared" si="5"/>
        <v>73049.74000000002</v>
      </c>
      <c r="I43" s="101"/>
      <c r="J43" s="101"/>
      <c r="K43" s="108"/>
      <c r="L43" s="109"/>
    </row>
    <row r="44" spans="1:12" x14ac:dyDescent="0.2">
      <c r="A44" s="124"/>
      <c r="B44" s="101"/>
      <c r="C44" s="101"/>
      <c r="D44" s="101"/>
      <c r="E44" s="101"/>
      <c r="F44" s="101"/>
      <c r="G44" s="101"/>
      <c r="H44" s="118"/>
      <c r="I44" s="101"/>
      <c r="J44" s="101"/>
      <c r="K44" s="108"/>
      <c r="L44" s="109"/>
    </row>
    <row r="45" spans="1:12" x14ac:dyDescent="0.2">
      <c r="A45" s="124"/>
      <c r="B45" s="101"/>
      <c r="C45" s="101"/>
      <c r="D45" s="101"/>
      <c r="E45" s="101"/>
      <c r="F45" s="101"/>
      <c r="G45" s="101"/>
      <c r="H45" s="118"/>
      <c r="I45" s="101"/>
      <c r="J45" s="101"/>
      <c r="K45" s="108"/>
      <c r="L45" s="109"/>
    </row>
    <row r="46" spans="1:12" x14ac:dyDescent="0.2">
      <c r="A46" s="124"/>
      <c r="B46" s="101"/>
      <c r="C46" s="101"/>
      <c r="D46" s="101"/>
      <c r="E46" s="101"/>
      <c r="F46" s="101"/>
      <c r="G46" s="101"/>
      <c r="H46" s="118"/>
      <c r="I46" s="101"/>
      <c r="J46" s="101"/>
      <c r="K46" s="108"/>
      <c r="L46" s="109"/>
    </row>
    <row r="47" spans="1:12" x14ac:dyDescent="0.2">
      <c r="A47" s="124"/>
      <c r="B47" s="101"/>
      <c r="C47" s="101"/>
      <c r="D47" s="101"/>
      <c r="E47" s="101"/>
      <c r="F47" s="101"/>
      <c r="G47" s="101"/>
      <c r="H47" s="118"/>
      <c r="I47" s="101"/>
      <c r="J47" s="101"/>
      <c r="K47" s="108"/>
      <c r="L47" s="109"/>
    </row>
    <row r="48" spans="1:12" x14ac:dyDescent="0.2">
      <c r="A48" s="124"/>
      <c r="B48" s="101"/>
      <c r="C48" s="101"/>
      <c r="D48" s="101"/>
      <c r="E48" s="101"/>
      <c r="F48" s="101"/>
      <c r="G48" s="101"/>
      <c r="H48" s="118"/>
      <c r="I48" s="101"/>
      <c r="J48" s="101"/>
      <c r="K48" s="108"/>
      <c r="L48" s="109"/>
    </row>
    <row r="49" spans="1:12" x14ac:dyDescent="0.2">
      <c r="A49" s="124"/>
      <c r="B49" s="101"/>
      <c r="C49" s="101"/>
      <c r="D49" s="101"/>
      <c r="E49" s="101"/>
      <c r="F49" s="101"/>
      <c r="G49" s="101"/>
      <c r="H49" s="118"/>
      <c r="I49" s="101"/>
      <c r="J49" s="101"/>
      <c r="K49" s="108"/>
      <c r="L49" s="109"/>
    </row>
    <row r="50" spans="1:12" x14ac:dyDescent="0.2">
      <c r="A50" s="124"/>
      <c r="B50" s="101"/>
      <c r="C50" s="101"/>
      <c r="D50" s="101"/>
      <c r="E50" s="101"/>
      <c r="F50" s="101"/>
      <c r="G50" s="101"/>
      <c r="H50" s="118"/>
      <c r="I50" s="101"/>
      <c r="J50" s="101"/>
      <c r="K50" s="108"/>
      <c r="L50" s="109"/>
    </row>
  </sheetData>
  <mergeCells count="18">
    <mergeCell ref="A38:F38"/>
    <mergeCell ref="D9:F9"/>
    <mergeCell ref="A24:F24"/>
    <mergeCell ref="A7:B7"/>
    <mergeCell ref="C7:H7"/>
    <mergeCell ref="A11:G11"/>
    <mergeCell ref="A6:B6"/>
    <mergeCell ref="C1:H1"/>
    <mergeCell ref="C2:H2"/>
    <mergeCell ref="C3:H3"/>
    <mergeCell ref="C4:H4"/>
    <mergeCell ref="C5:H5"/>
    <mergeCell ref="C6:H6"/>
    <mergeCell ref="A1:B1"/>
    <mergeCell ref="A2:B2"/>
    <mergeCell ref="A3:B3"/>
    <mergeCell ref="A4:B4"/>
    <mergeCell ref="A5:B5"/>
  </mergeCells>
  <phoneticPr fontId="0" type="noConversion"/>
  <printOptions horizontalCentered="1"/>
  <pageMargins left="0.5" right="0.25" top="0.5" bottom="0.75" header="0.5" footer="0.5"/>
  <pageSetup orientation="portrait" r:id="rId1"/>
  <headerFooter alignWithMargins="0">
    <oddFooter>&amp;L&amp;"-,Bold"&amp;10Cascade Natural Gas Corporation&amp;C&amp;"-,Bold"&amp;10Page &amp;P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11111511111"/>
  <dimension ref="A1:L51"/>
  <sheetViews>
    <sheetView showGridLines="0" view="pageBreakPreview" zoomScale="98" zoomScaleNormal="60" zoomScaleSheetLayoutView="98" workbookViewId="0">
      <pane xSplit="1" ySplit="10" topLeftCell="B15" activePane="bottomRight" state="frozen"/>
      <selection activeCell="F63" sqref="F63:H67"/>
      <selection pane="topRight" activeCell="F63" sqref="F63:H67"/>
      <selection pane="bottomLeft" activeCell="F63" sqref="F63:H67"/>
      <selection pane="bottomRight" activeCell="C50" sqref="C50"/>
    </sheetView>
  </sheetViews>
  <sheetFormatPr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30" t="s">
        <v>13</v>
      </c>
      <c r="B1" s="231"/>
      <c r="C1" s="227" t="s">
        <v>14</v>
      </c>
      <c r="D1" s="227"/>
      <c r="E1" s="227"/>
      <c r="F1" s="227"/>
      <c r="G1" s="227"/>
      <c r="H1" s="228"/>
    </row>
    <row r="2" spans="1:12" x14ac:dyDescent="0.2">
      <c r="A2" s="219" t="s">
        <v>16</v>
      </c>
      <c r="B2" s="210"/>
      <c r="C2" s="220" t="s">
        <v>15</v>
      </c>
      <c r="D2" s="220"/>
      <c r="E2" s="220"/>
      <c r="F2" s="220"/>
      <c r="G2" s="220"/>
      <c r="H2" s="221"/>
    </row>
    <row r="3" spans="1:12" x14ac:dyDescent="0.2">
      <c r="A3" s="219" t="s">
        <v>17</v>
      </c>
      <c r="B3" s="210"/>
      <c r="C3" s="213" t="s">
        <v>31</v>
      </c>
      <c r="D3" s="213"/>
      <c r="E3" s="213"/>
      <c r="F3" s="213"/>
      <c r="G3" s="213"/>
      <c r="H3" s="222"/>
    </row>
    <row r="4" spans="1:12" x14ac:dyDescent="0.2">
      <c r="A4" s="219" t="s">
        <v>18</v>
      </c>
      <c r="B4" s="210"/>
      <c r="C4" s="213" t="s">
        <v>19</v>
      </c>
      <c r="D4" s="213"/>
      <c r="E4" s="213"/>
      <c r="F4" s="213"/>
      <c r="G4" s="213"/>
      <c r="H4" s="222"/>
    </row>
    <row r="5" spans="1:12" x14ac:dyDescent="0.2">
      <c r="A5" s="219" t="s">
        <v>20</v>
      </c>
      <c r="B5" s="210"/>
      <c r="C5" s="213" t="s">
        <v>88</v>
      </c>
      <c r="D5" s="213"/>
      <c r="E5" s="213"/>
      <c r="F5" s="213"/>
      <c r="G5" s="213"/>
      <c r="H5" s="222"/>
    </row>
    <row r="6" spans="1:12" x14ac:dyDescent="0.2">
      <c r="A6" s="219" t="s">
        <v>21</v>
      </c>
      <c r="B6" s="210"/>
      <c r="C6" s="215" t="s">
        <v>70</v>
      </c>
      <c r="D6" s="215"/>
      <c r="E6" s="215"/>
      <c r="F6" s="215"/>
      <c r="G6" s="215"/>
      <c r="H6" s="229"/>
    </row>
    <row r="7" spans="1:12" ht="13.5" thickBot="1" x14ac:dyDescent="0.25">
      <c r="A7" s="223" t="s">
        <v>22</v>
      </c>
      <c r="B7" s="224"/>
      <c r="C7" s="225" t="s">
        <v>49</v>
      </c>
      <c r="D7" s="225"/>
      <c r="E7" s="225"/>
      <c r="F7" s="225"/>
      <c r="G7" s="225"/>
      <c r="H7" s="226"/>
    </row>
    <row r="8" spans="1:12" x14ac:dyDescent="0.2">
      <c r="A8" s="2"/>
      <c r="B8" s="2"/>
      <c r="C8" s="3"/>
      <c r="D8" s="3"/>
      <c r="E8" s="3"/>
      <c r="F8" s="3"/>
      <c r="G8" s="3"/>
      <c r="H8" s="3"/>
      <c r="J8" s="8"/>
    </row>
    <row r="9" spans="1:12" x14ac:dyDescent="0.2">
      <c r="A9" s="4"/>
      <c r="D9" s="203" t="s">
        <v>39</v>
      </c>
      <c r="E9" s="203"/>
      <c r="F9" s="203"/>
    </row>
    <row r="10" spans="1:12" s="5" customFormat="1" x14ac:dyDescent="0.2">
      <c r="A10" s="6" t="s">
        <v>40</v>
      </c>
      <c r="B10" s="6" t="s">
        <v>4</v>
      </c>
      <c r="C10" s="6" t="s">
        <v>12</v>
      </c>
      <c r="D10" s="6" t="s">
        <v>23</v>
      </c>
      <c r="E10" s="6" t="s">
        <v>24</v>
      </c>
      <c r="F10" s="6" t="s">
        <v>2</v>
      </c>
      <c r="G10" s="6" t="s">
        <v>0</v>
      </c>
      <c r="H10" s="6" t="s">
        <v>1</v>
      </c>
      <c r="I10" s="27"/>
      <c r="J10" s="27"/>
      <c r="K10" s="27"/>
      <c r="L10" s="27"/>
    </row>
    <row r="11" spans="1:12" x14ac:dyDescent="0.2">
      <c r="A11" s="208" t="s">
        <v>85</v>
      </c>
      <c r="B11" s="208"/>
      <c r="C11" s="208"/>
      <c r="D11" s="208"/>
      <c r="E11" s="208"/>
      <c r="F11" s="208"/>
      <c r="G11" s="208"/>
      <c r="H11" s="78">
        <v>386395.83</v>
      </c>
      <c r="J11" s="61"/>
      <c r="K11" s="63"/>
      <c r="L11" s="64"/>
    </row>
    <row r="12" spans="1:12" x14ac:dyDescent="0.2">
      <c r="A12" s="83">
        <f>'FERC Interest Rates'!A20</f>
        <v>41608</v>
      </c>
      <c r="D12" s="1">
        <v>47894.04</v>
      </c>
      <c r="F12" s="61">
        <f t="shared" ref="F12:F13" si="0">ROUND(H11*VLOOKUP(A12,FERCINT13,2)/365*VLOOKUP(A12,FERCINT13,3),2)</f>
        <v>1032.1500000000001</v>
      </c>
      <c r="H12" s="78">
        <f t="shared" ref="H12:H36" si="1">H11+SUM(D12:G12)</f>
        <v>435322.02</v>
      </c>
      <c r="J12" s="61"/>
      <c r="K12" s="63"/>
      <c r="L12" s="64"/>
    </row>
    <row r="13" spans="1:12" x14ac:dyDescent="0.2">
      <c r="A13" s="83">
        <f>'FERC Interest Rates'!A21</f>
        <v>41639</v>
      </c>
      <c r="D13" s="1">
        <v>166162.6</v>
      </c>
      <c r="F13" s="61">
        <f t="shared" si="0"/>
        <v>1201.6099999999999</v>
      </c>
      <c r="H13" s="78">
        <f t="shared" si="1"/>
        <v>602686.23</v>
      </c>
      <c r="J13" s="61"/>
      <c r="K13" s="63"/>
      <c r="L13" s="64"/>
    </row>
    <row r="14" spans="1:12" x14ac:dyDescent="0.2">
      <c r="A14" s="83">
        <f>'FERC Interest Rates'!A22</f>
        <v>41670</v>
      </c>
      <c r="D14" s="1">
        <v>69918.740000000005</v>
      </c>
      <c r="F14" s="61">
        <f t="shared" ref="F14:F26" si="2">ROUND(H13*VLOOKUP(A14,FERCINT14,2)/365*VLOOKUP(A14,FERCINT14,3),2)</f>
        <v>1663.58</v>
      </c>
      <c r="H14" s="78">
        <f t="shared" si="1"/>
        <v>674268.55</v>
      </c>
      <c r="J14" s="61"/>
      <c r="K14" s="63"/>
      <c r="L14" s="64"/>
    </row>
    <row r="15" spans="1:12" x14ac:dyDescent="0.2">
      <c r="A15" s="83">
        <f>'FERC Interest Rates'!A23</f>
        <v>41698</v>
      </c>
      <c r="D15" s="1">
        <v>89751.29</v>
      </c>
      <c r="F15" s="61">
        <f t="shared" si="2"/>
        <v>1681.05</v>
      </c>
      <c r="H15" s="78">
        <f t="shared" si="1"/>
        <v>765700.89</v>
      </c>
      <c r="J15" s="61"/>
      <c r="K15" s="63"/>
      <c r="L15" s="64"/>
    </row>
    <row r="16" spans="1:12" x14ac:dyDescent="0.2">
      <c r="A16" s="83">
        <f>'FERC Interest Rates'!A24</f>
        <v>41729</v>
      </c>
      <c r="D16" s="1">
        <v>77979.5</v>
      </c>
      <c r="F16" s="61">
        <f t="shared" si="2"/>
        <v>2113.54</v>
      </c>
      <c r="H16" s="78">
        <f t="shared" si="1"/>
        <v>845793.93</v>
      </c>
      <c r="J16" s="61"/>
      <c r="K16" s="63"/>
      <c r="L16" s="64"/>
    </row>
    <row r="17" spans="1:12" x14ac:dyDescent="0.2">
      <c r="A17" s="83">
        <f>'FERC Interest Rates'!A25</f>
        <v>41759</v>
      </c>
      <c r="D17" s="1">
        <v>97835.520000000004</v>
      </c>
      <c r="F17" s="61">
        <f t="shared" si="2"/>
        <v>2259.31</v>
      </c>
      <c r="H17" s="78">
        <f t="shared" si="1"/>
        <v>945888.76</v>
      </c>
      <c r="J17" s="61"/>
      <c r="K17" s="63"/>
      <c r="L17" s="64"/>
    </row>
    <row r="18" spans="1:12" x14ac:dyDescent="0.2">
      <c r="A18" s="83">
        <f>'FERC Interest Rates'!A26</f>
        <v>41790</v>
      </c>
      <c r="D18" s="1">
        <v>158076.60999999999</v>
      </c>
      <c r="F18" s="61">
        <f t="shared" si="2"/>
        <v>2610.91</v>
      </c>
      <c r="H18" s="78">
        <f t="shared" si="1"/>
        <v>1106576.28</v>
      </c>
      <c r="J18" s="61"/>
      <c r="K18" s="63"/>
      <c r="L18" s="64"/>
    </row>
    <row r="19" spans="1:12" x14ac:dyDescent="0.2">
      <c r="A19" s="83">
        <f>'FERC Interest Rates'!A27</f>
        <v>41820</v>
      </c>
      <c r="D19" s="1">
        <f>130663.59-8978.9</f>
        <v>121684.69</v>
      </c>
      <c r="F19" s="61">
        <f t="shared" si="2"/>
        <v>2955.92</v>
      </c>
      <c r="H19" s="78">
        <f t="shared" si="1"/>
        <v>1231216.8900000001</v>
      </c>
      <c r="J19" s="61"/>
      <c r="K19" s="63"/>
      <c r="L19" s="64"/>
    </row>
    <row r="20" spans="1:12" x14ac:dyDescent="0.2">
      <c r="A20" s="83">
        <f>'FERC Interest Rates'!A28</f>
        <v>41851</v>
      </c>
      <c r="D20" s="1">
        <v>-47127.839999999997</v>
      </c>
      <c r="F20" s="61">
        <f t="shared" si="2"/>
        <v>3398.5</v>
      </c>
      <c r="H20" s="78">
        <f t="shared" si="1"/>
        <v>1187487.55</v>
      </c>
      <c r="J20" s="61"/>
      <c r="K20" s="63"/>
      <c r="L20" s="64"/>
    </row>
    <row r="21" spans="1:12" x14ac:dyDescent="0.2">
      <c r="A21" s="83">
        <f>'FERC Interest Rates'!A29</f>
        <v>41882</v>
      </c>
      <c r="D21" s="1">
        <v>121270.24</v>
      </c>
      <c r="F21" s="61">
        <f t="shared" si="2"/>
        <v>3277.79</v>
      </c>
      <c r="H21" s="78">
        <f t="shared" si="1"/>
        <v>1312035.58</v>
      </c>
      <c r="J21" s="61"/>
      <c r="K21" s="63"/>
      <c r="L21" s="64"/>
    </row>
    <row r="22" spans="1:12" x14ac:dyDescent="0.2">
      <c r="A22" s="83">
        <f>'FERC Interest Rates'!A30</f>
        <v>41912</v>
      </c>
      <c r="D22" s="1">
        <v>31597.98</v>
      </c>
      <c r="F22" s="61">
        <f t="shared" si="2"/>
        <v>3504.75</v>
      </c>
      <c r="H22" s="78">
        <f t="shared" si="1"/>
        <v>1347138.31</v>
      </c>
      <c r="J22" s="61"/>
      <c r="K22" s="63"/>
      <c r="L22" s="64"/>
    </row>
    <row r="23" spans="1:12" x14ac:dyDescent="0.2">
      <c r="A23" s="83">
        <f>'FERC Interest Rates'!A31</f>
        <v>41943</v>
      </c>
      <c r="D23" s="1">
        <f>79038.71+8978.9</f>
        <v>88017.61</v>
      </c>
      <c r="F23" s="61">
        <f t="shared" si="2"/>
        <v>3718.47</v>
      </c>
      <c r="H23" s="78">
        <f t="shared" si="1"/>
        <v>1438874.3900000001</v>
      </c>
      <c r="J23" s="61"/>
      <c r="K23" s="63"/>
      <c r="L23" s="64"/>
    </row>
    <row r="24" spans="1:12" x14ac:dyDescent="0.2">
      <c r="A24" s="202" t="s">
        <v>91</v>
      </c>
      <c r="B24" s="202"/>
      <c r="C24" s="202"/>
      <c r="D24" s="202"/>
      <c r="E24" s="202"/>
      <c r="F24" s="202"/>
      <c r="G24" s="101">
        <v>-1206319.4099999999</v>
      </c>
      <c r="H24" s="118">
        <f t="shared" si="1"/>
        <v>232554.98000000021</v>
      </c>
    </row>
    <row r="25" spans="1:12" x14ac:dyDescent="0.2">
      <c r="A25" s="124">
        <f>'FERC Interest Rates'!A32</f>
        <v>41973</v>
      </c>
      <c r="D25" s="1">
        <v>65573.350000000006</v>
      </c>
      <c r="F25" s="101">
        <f t="shared" si="2"/>
        <v>621.21</v>
      </c>
      <c r="H25" s="118">
        <f t="shared" si="1"/>
        <v>298749.54000000021</v>
      </c>
      <c r="J25" s="101"/>
      <c r="K25" s="108"/>
      <c r="L25" s="109"/>
    </row>
    <row r="26" spans="1:12" x14ac:dyDescent="0.2">
      <c r="A26" s="124">
        <f>'FERC Interest Rates'!A33</f>
        <v>42004</v>
      </c>
      <c r="D26" s="1">
        <v>99335.85</v>
      </c>
      <c r="F26" s="101">
        <f t="shared" si="2"/>
        <v>824.63</v>
      </c>
      <c r="H26" s="118">
        <f t="shared" si="1"/>
        <v>398910.02000000025</v>
      </c>
      <c r="J26" s="101"/>
      <c r="K26" s="108"/>
      <c r="L26" s="109"/>
    </row>
    <row r="27" spans="1:12" x14ac:dyDescent="0.2">
      <c r="A27" s="124">
        <f>'FERC Interest Rates'!A34</f>
        <v>42035</v>
      </c>
      <c r="D27" s="1">
        <v>143728.71</v>
      </c>
      <c r="F27" s="101">
        <f t="shared" ref="F27:F36" si="3">ROUND(H26*VLOOKUP(A27,FERCINT15,2)/365*VLOOKUP(A27,FERCINT15,3),2)</f>
        <v>1101.0999999999999</v>
      </c>
      <c r="H27" s="118">
        <f t="shared" si="1"/>
        <v>543739.83000000031</v>
      </c>
      <c r="J27" s="101"/>
      <c r="K27" s="108"/>
      <c r="L27" s="109"/>
    </row>
    <row r="28" spans="1:12" x14ac:dyDescent="0.2">
      <c r="A28" s="124">
        <f>'FERC Interest Rates'!A35</f>
        <v>42063</v>
      </c>
      <c r="D28" s="1">
        <v>76093.56</v>
      </c>
      <c r="F28" s="101">
        <f t="shared" si="3"/>
        <v>1355.63</v>
      </c>
      <c r="H28" s="118">
        <f t="shared" si="1"/>
        <v>621189.02000000025</v>
      </c>
      <c r="J28" s="101"/>
      <c r="K28" s="108"/>
      <c r="L28" s="109"/>
    </row>
    <row r="29" spans="1:12" x14ac:dyDescent="0.2">
      <c r="A29" s="124">
        <f>'FERC Interest Rates'!A36</f>
        <v>42094</v>
      </c>
      <c r="D29" s="1">
        <v>135794.16</v>
      </c>
      <c r="F29" s="101">
        <f t="shared" si="3"/>
        <v>1714.65</v>
      </c>
      <c r="H29" s="118">
        <f t="shared" si="1"/>
        <v>758697.83000000031</v>
      </c>
      <c r="J29" s="101"/>
      <c r="K29" s="108"/>
      <c r="L29" s="109"/>
    </row>
    <row r="30" spans="1:12" x14ac:dyDescent="0.2">
      <c r="A30" s="124">
        <f>'FERC Interest Rates'!A37</f>
        <v>42124</v>
      </c>
      <c r="D30" s="1">
        <v>39911.660000000003</v>
      </c>
      <c r="F30" s="101">
        <f t="shared" si="3"/>
        <v>2026.66</v>
      </c>
      <c r="H30" s="118">
        <f t="shared" si="1"/>
        <v>800636.15000000037</v>
      </c>
      <c r="J30" s="101"/>
      <c r="K30" s="108"/>
      <c r="L30" s="109"/>
    </row>
    <row r="31" spans="1:12" x14ac:dyDescent="0.2">
      <c r="A31" s="124">
        <f>'FERC Interest Rates'!A38</f>
        <v>42155</v>
      </c>
      <c r="D31" s="1">
        <v>72461.679999999993</v>
      </c>
      <c r="F31" s="101">
        <f t="shared" si="3"/>
        <v>2209.98</v>
      </c>
      <c r="H31" s="118">
        <f t="shared" si="1"/>
        <v>875307.81000000041</v>
      </c>
      <c r="J31" s="101"/>
      <c r="K31" s="108"/>
      <c r="L31" s="109"/>
    </row>
    <row r="32" spans="1:12" x14ac:dyDescent="0.2">
      <c r="A32" s="124">
        <f>'FERC Interest Rates'!A39</f>
        <v>42185</v>
      </c>
      <c r="D32" s="1">
        <v>88146.33</v>
      </c>
      <c r="F32" s="101">
        <f t="shared" si="3"/>
        <v>2338.15</v>
      </c>
      <c r="H32" s="118">
        <f t="shared" si="1"/>
        <v>965792.29000000039</v>
      </c>
      <c r="J32" s="101"/>
      <c r="K32" s="108"/>
      <c r="L32" s="109"/>
    </row>
    <row r="33" spans="1:12" x14ac:dyDescent="0.2">
      <c r="A33" s="124">
        <f>'FERC Interest Rates'!A40</f>
        <v>42216</v>
      </c>
      <c r="D33" s="1">
        <v>126477.72</v>
      </c>
      <c r="F33" s="101">
        <f t="shared" si="3"/>
        <v>2665.85</v>
      </c>
      <c r="H33" s="118">
        <f t="shared" si="1"/>
        <v>1094935.8600000003</v>
      </c>
      <c r="J33" s="101"/>
      <c r="K33" s="108"/>
      <c r="L33" s="109"/>
    </row>
    <row r="34" spans="1:12" x14ac:dyDescent="0.2">
      <c r="A34" s="124">
        <f>'FERC Interest Rates'!A41</f>
        <v>42247</v>
      </c>
      <c r="D34" s="1">
        <v>108373.09</v>
      </c>
      <c r="F34" s="101">
        <f t="shared" si="3"/>
        <v>3022.32</v>
      </c>
      <c r="H34" s="118">
        <f t="shared" si="1"/>
        <v>1206331.2700000003</v>
      </c>
      <c r="J34" s="101"/>
      <c r="K34" s="108"/>
      <c r="L34" s="109"/>
    </row>
    <row r="35" spans="1:12" x14ac:dyDescent="0.2">
      <c r="A35" s="124">
        <f>'FERC Interest Rates'!A42</f>
        <v>42277</v>
      </c>
      <c r="D35" s="1">
        <v>69945.34</v>
      </c>
      <c r="F35" s="101">
        <f t="shared" si="3"/>
        <v>3222.39</v>
      </c>
      <c r="H35" s="118">
        <f t="shared" si="1"/>
        <v>1279499.0000000002</v>
      </c>
      <c r="J35" s="101"/>
      <c r="K35" s="108"/>
      <c r="L35" s="109"/>
    </row>
    <row r="36" spans="1:12" x14ac:dyDescent="0.2">
      <c r="A36" s="124">
        <f>'FERC Interest Rates'!A43</f>
        <v>42308</v>
      </c>
      <c r="D36" s="1">
        <v>254190.89</v>
      </c>
      <c r="F36" s="101">
        <f t="shared" si="3"/>
        <v>3531.77</v>
      </c>
      <c r="H36" s="118">
        <f t="shared" si="1"/>
        <v>1537221.6600000001</v>
      </c>
      <c r="J36" s="101"/>
      <c r="K36" s="108"/>
      <c r="L36" s="109"/>
    </row>
    <row r="37" spans="1:12" x14ac:dyDescent="0.2">
      <c r="A37" s="124">
        <f>'FERC Interest Rates'!A44</f>
        <v>42338</v>
      </c>
      <c r="B37" s="101"/>
      <c r="C37" s="101"/>
      <c r="D37" s="101">
        <v>82841.539999999994</v>
      </c>
      <c r="E37" s="101"/>
      <c r="F37" s="101">
        <f t="shared" ref="F37:F39" si="4">ROUND(H36*VLOOKUP(A37,FERCINT15,2)/365*VLOOKUP(A37,FERCINT15,3),2)</f>
        <v>4106.28</v>
      </c>
      <c r="G37" s="101"/>
      <c r="H37" s="118">
        <f t="shared" ref="H37:H43" si="5">H36+SUM(D37:G37)</f>
        <v>1624169.4800000002</v>
      </c>
      <c r="I37" s="101"/>
      <c r="J37" s="101"/>
      <c r="K37" s="108"/>
      <c r="L37" s="109"/>
    </row>
    <row r="38" spans="1:12" x14ac:dyDescent="0.2">
      <c r="A38" s="202" t="s">
        <v>100</v>
      </c>
      <c r="B38" s="202"/>
      <c r="C38" s="202"/>
      <c r="D38" s="202"/>
      <c r="E38" s="202"/>
      <c r="F38" s="202"/>
      <c r="G38" s="101">
        <v>-1106878.69</v>
      </c>
      <c r="H38" s="118">
        <f t="shared" si="5"/>
        <v>517290.79000000027</v>
      </c>
      <c r="I38" s="101"/>
      <c r="J38" s="101"/>
      <c r="K38" s="108"/>
      <c r="L38" s="109"/>
    </row>
    <row r="39" spans="1:12" x14ac:dyDescent="0.2">
      <c r="A39" s="124">
        <f>'FERC Interest Rates'!A45</f>
        <v>42369</v>
      </c>
      <c r="B39" s="101"/>
      <c r="C39" s="101"/>
      <c r="D39" s="101">
        <v>218943.3</v>
      </c>
      <c r="E39" s="101"/>
      <c r="F39" s="101">
        <f t="shared" si="4"/>
        <v>1427.86</v>
      </c>
      <c r="G39" s="101"/>
      <c r="H39" s="118">
        <f t="shared" si="5"/>
        <v>737661.95000000019</v>
      </c>
      <c r="I39" s="101"/>
      <c r="J39" s="101"/>
      <c r="K39" s="108"/>
      <c r="L39" s="109"/>
    </row>
    <row r="40" spans="1:12" x14ac:dyDescent="0.2">
      <c r="A40" s="124">
        <f>'FERC Interest Rates'!A46</f>
        <v>42400</v>
      </c>
      <c r="B40" s="101"/>
      <c r="C40" s="101"/>
      <c r="D40" s="101">
        <v>60717.4</v>
      </c>
      <c r="E40" s="101"/>
      <c r="F40" s="101">
        <f t="shared" ref="F40:F43" si="6">ROUND(H39*VLOOKUP(A40,FERCINT16,2)/365*VLOOKUP(A40,FERCINT16,3),2)</f>
        <v>2036.15</v>
      </c>
      <c r="G40" s="101"/>
      <c r="H40" s="118">
        <f t="shared" si="5"/>
        <v>800415.50000000023</v>
      </c>
      <c r="I40" s="101"/>
      <c r="J40" s="101"/>
      <c r="K40" s="108"/>
      <c r="L40" s="109"/>
    </row>
    <row r="41" spans="1:12" x14ac:dyDescent="0.2">
      <c r="A41" s="124">
        <f>'FERC Interest Rates'!A47</f>
        <v>42429</v>
      </c>
      <c r="B41" s="101"/>
      <c r="C41" s="101"/>
      <c r="D41" s="101">
        <v>160907.60999999999</v>
      </c>
      <c r="E41" s="101"/>
      <c r="F41" s="101">
        <f t="shared" si="6"/>
        <v>2066.83</v>
      </c>
      <c r="G41" s="101"/>
      <c r="H41" s="118">
        <f t="shared" si="5"/>
        <v>963389.94000000018</v>
      </c>
      <c r="I41" s="101"/>
      <c r="J41" s="101"/>
      <c r="K41" s="108"/>
      <c r="L41" s="109"/>
    </row>
    <row r="42" spans="1:12" x14ac:dyDescent="0.2">
      <c r="A42" s="124">
        <f>'FERC Interest Rates'!A48</f>
        <v>42460</v>
      </c>
      <c r="B42" s="101"/>
      <c r="C42" s="101"/>
      <c r="D42" s="101">
        <v>173541.02</v>
      </c>
      <c r="E42" s="101"/>
      <c r="F42" s="101">
        <f t="shared" si="6"/>
        <v>2659.22</v>
      </c>
      <c r="G42" s="101"/>
      <c r="H42" s="118">
        <f t="shared" si="5"/>
        <v>1139590.1800000002</v>
      </c>
      <c r="I42" s="101"/>
      <c r="J42" s="101"/>
      <c r="K42" s="108"/>
      <c r="L42" s="109"/>
    </row>
    <row r="43" spans="1:12" x14ac:dyDescent="0.2">
      <c r="A43" s="124">
        <f>'FERC Interest Rates'!A49</f>
        <v>42490</v>
      </c>
      <c r="B43" s="101"/>
      <c r="C43" s="101"/>
      <c r="D43" s="101">
        <v>198857.32</v>
      </c>
      <c r="E43" s="101"/>
      <c r="F43" s="101">
        <f t="shared" si="6"/>
        <v>3240.81</v>
      </c>
      <c r="G43" s="101"/>
      <c r="H43" s="118">
        <f t="shared" si="5"/>
        <v>1341688.31</v>
      </c>
      <c r="I43" s="101"/>
      <c r="J43" s="101"/>
      <c r="K43" s="108"/>
      <c r="L43" s="109"/>
    </row>
    <row r="44" spans="1:12" x14ac:dyDescent="0.2">
      <c r="A44" s="124"/>
      <c r="B44" s="101"/>
      <c r="C44" s="101"/>
      <c r="D44" s="101"/>
      <c r="E44" s="101"/>
      <c r="F44" s="101"/>
      <c r="G44" s="101"/>
      <c r="H44" s="118"/>
      <c r="I44" s="101"/>
      <c r="J44" s="101"/>
      <c r="K44" s="108"/>
      <c r="L44" s="109"/>
    </row>
    <row r="45" spans="1:12" x14ac:dyDescent="0.2">
      <c r="A45" s="124"/>
      <c r="B45" s="101"/>
      <c r="C45" s="101"/>
      <c r="D45" s="101"/>
      <c r="E45" s="101"/>
      <c r="F45" s="101"/>
      <c r="G45" s="101"/>
      <c r="H45" s="118"/>
      <c r="I45" s="101"/>
      <c r="J45" s="101"/>
      <c r="K45" s="108"/>
      <c r="L45" s="109"/>
    </row>
    <row r="46" spans="1:12" x14ac:dyDescent="0.2">
      <c r="A46" s="124"/>
      <c r="B46" s="101"/>
      <c r="C46" s="101"/>
      <c r="D46" s="101"/>
      <c r="E46" s="101"/>
      <c r="F46" s="101"/>
      <c r="G46" s="101"/>
      <c r="H46" s="118"/>
      <c r="I46" s="101"/>
      <c r="J46" s="101"/>
      <c r="K46" s="108"/>
      <c r="L46" s="109"/>
    </row>
    <row r="47" spans="1:12" x14ac:dyDescent="0.2">
      <c r="A47" s="124"/>
      <c r="B47" s="101"/>
      <c r="C47" s="101"/>
      <c r="D47" s="101"/>
      <c r="E47" s="101"/>
      <c r="F47" s="101"/>
      <c r="G47" s="101"/>
      <c r="H47" s="118"/>
      <c r="I47" s="101"/>
      <c r="J47" s="101"/>
      <c r="K47" s="108"/>
      <c r="L47" s="109"/>
    </row>
    <row r="48" spans="1:12" x14ac:dyDescent="0.2">
      <c r="A48" s="124"/>
      <c r="B48" s="101"/>
      <c r="C48" s="101"/>
      <c r="D48" s="101"/>
      <c r="E48" s="101"/>
      <c r="F48" s="101"/>
      <c r="G48" s="101"/>
      <c r="H48" s="118"/>
      <c r="I48" s="101"/>
      <c r="J48" s="101"/>
      <c r="K48" s="108"/>
      <c r="L48" s="109"/>
    </row>
    <row r="49" spans="1:12" x14ac:dyDescent="0.2">
      <c r="A49" s="124"/>
      <c r="B49" s="101"/>
      <c r="C49" s="101"/>
      <c r="D49" s="101"/>
      <c r="E49" s="101"/>
      <c r="F49" s="101"/>
      <c r="G49" s="101"/>
      <c r="H49" s="118"/>
      <c r="I49" s="101"/>
      <c r="J49" s="101"/>
      <c r="K49" s="108"/>
      <c r="L49" s="109"/>
    </row>
    <row r="50" spans="1:12" x14ac:dyDescent="0.2">
      <c r="A50" s="124"/>
      <c r="B50" s="101"/>
      <c r="C50" s="101"/>
      <c r="D50" s="101"/>
      <c r="E50" s="101"/>
      <c r="F50" s="101"/>
      <c r="G50" s="101"/>
      <c r="H50" s="118"/>
      <c r="I50" s="101"/>
      <c r="J50" s="101"/>
      <c r="K50" s="108"/>
      <c r="L50" s="109"/>
    </row>
    <row r="51" spans="1:12" x14ac:dyDescent="0.2">
      <c r="A51" s="124"/>
      <c r="B51" s="101"/>
      <c r="C51" s="101"/>
      <c r="D51" s="101"/>
      <c r="E51" s="101"/>
      <c r="F51" s="101"/>
      <c r="G51" s="101"/>
      <c r="H51" s="118"/>
      <c r="I51" s="101"/>
      <c r="J51" s="101"/>
      <c r="K51" s="108"/>
      <c r="L51" s="109"/>
    </row>
  </sheetData>
  <mergeCells count="18">
    <mergeCell ref="A7:B7"/>
    <mergeCell ref="D9:F9"/>
    <mergeCell ref="C7:H7"/>
    <mergeCell ref="A11:G11"/>
    <mergeCell ref="A38:F38"/>
    <mergeCell ref="A24:F24"/>
    <mergeCell ref="A6:B6"/>
    <mergeCell ref="C1:H1"/>
    <mergeCell ref="C2:H2"/>
    <mergeCell ref="C3:H3"/>
    <mergeCell ref="C4:H4"/>
    <mergeCell ref="C5:H5"/>
    <mergeCell ref="C6:H6"/>
    <mergeCell ref="A1:B1"/>
    <mergeCell ref="A2:B2"/>
    <mergeCell ref="A3:B3"/>
    <mergeCell ref="A4:B4"/>
    <mergeCell ref="A5:B5"/>
  </mergeCells>
  <phoneticPr fontId="0" type="noConversion"/>
  <printOptions horizontalCentered="1" gridLinesSet="0"/>
  <pageMargins left="0.5" right="0.25" top="0.5" bottom="0.75" header="0.5" footer="0.5"/>
  <pageSetup orientation="portrait" cellComments="asDisplayed" horizontalDpi="4294967292" verticalDpi="4294967292" r:id="rId1"/>
  <headerFooter alignWithMargins="0">
    <oddFooter>&amp;L&amp;"-,Bold"&amp;10Cascade Natural Gas Corporation&amp;C&amp;"-,Bold"&amp;10Page &amp;P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106" zoomScaleNormal="75" zoomScaleSheetLayoutView="106" workbookViewId="0">
      <pane xSplit="1" ySplit="10" topLeftCell="D23" activePane="bottomRight" state="frozen"/>
      <selection activeCell="F63" sqref="F63:H67"/>
      <selection pane="topRight" activeCell="F63" sqref="F63:H67"/>
      <selection pane="bottomLeft" activeCell="F63" sqref="F63:H67"/>
      <selection pane="bottomRight" activeCell="I1" sqref="I1:L1048576"/>
    </sheetView>
  </sheetViews>
  <sheetFormatPr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30" t="s">
        <v>13</v>
      </c>
      <c r="B1" s="231"/>
      <c r="C1" s="243" t="s">
        <v>14</v>
      </c>
      <c r="D1" s="243"/>
      <c r="E1" s="243"/>
      <c r="F1" s="243"/>
      <c r="G1" s="243"/>
      <c r="H1" s="244"/>
    </row>
    <row r="2" spans="1:12" x14ac:dyDescent="0.2">
      <c r="A2" s="219" t="s">
        <v>16</v>
      </c>
      <c r="B2" s="210"/>
      <c r="C2" s="220" t="s">
        <v>26</v>
      </c>
      <c r="D2" s="220"/>
      <c r="E2" s="220"/>
      <c r="F2" s="220"/>
      <c r="G2" s="220"/>
      <c r="H2" s="221"/>
    </row>
    <row r="3" spans="1:12" x14ac:dyDescent="0.2">
      <c r="A3" s="219" t="s">
        <v>17</v>
      </c>
      <c r="B3" s="210"/>
      <c r="C3" s="213" t="s">
        <v>32</v>
      </c>
      <c r="D3" s="213"/>
      <c r="E3" s="213"/>
      <c r="F3" s="213"/>
      <c r="G3" s="213"/>
      <c r="H3" s="222"/>
    </row>
    <row r="4" spans="1:12" s="9" customFormat="1" x14ac:dyDescent="0.2">
      <c r="A4" s="219" t="s">
        <v>18</v>
      </c>
      <c r="B4" s="210"/>
      <c r="C4" s="215" t="s">
        <v>19</v>
      </c>
      <c r="D4" s="215"/>
      <c r="E4" s="215"/>
      <c r="F4" s="215"/>
      <c r="G4" s="215"/>
      <c r="H4" s="229"/>
    </row>
    <row r="5" spans="1:12" x14ac:dyDescent="0.2">
      <c r="A5" s="219" t="s">
        <v>20</v>
      </c>
      <c r="B5" s="210"/>
      <c r="C5" s="213" t="s">
        <v>88</v>
      </c>
      <c r="D5" s="213"/>
      <c r="E5" s="213"/>
      <c r="F5" s="213"/>
      <c r="G5" s="213"/>
      <c r="H5" s="222"/>
    </row>
    <row r="6" spans="1:12" x14ac:dyDescent="0.2">
      <c r="A6" s="219" t="s">
        <v>21</v>
      </c>
      <c r="B6" s="210"/>
      <c r="C6" s="215" t="s">
        <v>70</v>
      </c>
      <c r="D6" s="215"/>
      <c r="E6" s="215"/>
      <c r="F6" s="215"/>
      <c r="G6" s="215"/>
      <c r="H6" s="229"/>
    </row>
    <row r="7" spans="1:12" ht="13.5" thickBot="1" x14ac:dyDescent="0.25">
      <c r="A7" s="247" t="s">
        <v>22</v>
      </c>
      <c r="B7" s="248"/>
      <c r="C7" s="249" t="s">
        <v>50</v>
      </c>
      <c r="D7" s="249"/>
      <c r="E7" s="249"/>
      <c r="F7" s="249"/>
      <c r="G7" s="249"/>
      <c r="H7" s="250"/>
    </row>
    <row r="8" spans="1:12" x14ac:dyDescent="0.2">
      <c r="A8" s="2"/>
      <c r="B8" s="2"/>
      <c r="C8" s="3"/>
      <c r="D8" s="3"/>
      <c r="E8" s="3"/>
      <c r="F8" s="3"/>
      <c r="G8" s="3"/>
      <c r="H8" s="3"/>
      <c r="J8" s="8"/>
    </row>
    <row r="9" spans="1:12" x14ac:dyDescent="0.2">
      <c r="A9" s="4"/>
      <c r="D9" s="203" t="s">
        <v>39</v>
      </c>
      <c r="E9" s="203"/>
      <c r="F9" s="203"/>
    </row>
    <row r="10" spans="1:12" s="5" customFormat="1" x14ac:dyDescent="0.2">
      <c r="A10" s="6" t="s">
        <v>40</v>
      </c>
      <c r="B10" s="6" t="s">
        <v>4</v>
      </c>
      <c r="C10" s="6" t="s">
        <v>12</v>
      </c>
      <c r="D10" s="6" t="s">
        <v>23</v>
      </c>
      <c r="E10" s="6" t="s">
        <v>24</v>
      </c>
      <c r="F10" s="6" t="s">
        <v>2</v>
      </c>
      <c r="G10" s="6" t="s">
        <v>0</v>
      </c>
      <c r="H10" s="6" t="s">
        <v>1</v>
      </c>
      <c r="I10" s="27"/>
      <c r="J10" s="27"/>
      <c r="K10" s="27"/>
      <c r="L10" s="27"/>
    </row>
    <row r="11" spans="1:12" x14ac:dyDescent="0.2">
      <c r="A11" s="208" t="s">
        <v>85</v>
      </c>
      <c r="B11" s="208"/>
      <c r="C11" s="208"/>
      <c r="D11" s="208"/>
      <c r="E11" s="208"/>
      <c r="F11" s="208"/>
      <c r="G11" s="208"/>
      <c r="H11" s="78">
        <v>123401.78</v>
      </c>
      <c r="J11" s="61"/>
      <c r="K11" s="63"/>
      <c r="L11" s="64"/>
    </row>
    <row r="12" spans="1:12" x14ac:dyDescent="0.2">
      <c r="A12" s="83">
        <f>'FERC Interest Rates'!A20</f>
        <v>41608</v>
      </c>
      <c r="D12" s="1">
        <v>92494.35</v>
      </c>
      <c r="F12" s="61">
        <f t="shared" ref="F12:F13" si="0">ROUND(H11*VLOOKUP(A12,FERCINT13,2)/365*VLOOKUP(A12,FERCINT13,3),2)</f>
        <v>329.63</v>
      </c>
      <c r="H12" s="78">
        <f t="shared" ref="H12:H36" si="1">+SUM(D12:G12)+H11</f>
        <v>216225.76</v>
      </c>
      <c r="J12" s="61"/>
      <c r="K12" s="63"/>
      <c r="L12" s="64"/>
    </row>
    <row r="13" spans="1:12" x14ac:dyDescent="0.2">
      <c r="A13" s="83">
        <f>'FERC Interest Rates'!A21</f>
        <v>41639</v>
      </c>
      <c r="D13" s="1">
        <v>71457.95</v>
      </c>
      <c r="F13" s="61">
        <f t="shared" si="0"/>
        <v>596.84</v>
      </c>
      <c r="H13" s="78">
        <f t="shared" si="1"/>
        <v>288280.55</v>
      </c>
      <c r="J13" s="61"/>
      <c r="K13" s="63"/>
      <c r="L13" s="64"/>
    </row>
    <row r="14" spans="1:12" x14ac:dyDescent="0.2">
      <c r="A14" s="83">
        <f>'FERC Interest Rates'!A22</f>
        <v>41670</v>
      </c>
      <c r="D14" s="1">
        <v>24631.1</v>
      </c>
      <c r="F14" s="61">
        <f t="shared" ref="F14:F23" si="2">ROUND(H13*VLOOKUP(A14,FERCINT14,2)/365*VLOOKUP(A14,FERCINT14,3),2)</f>
        <v>795.73</v>
      </c>
      <c r="H14" s="78">
        <f t="shared" si="1"/>
        <v>313707.38</v>
      </c>
      <c r="J14" s="61"/>
      <c r="K14" s="63"/>
      <c r="L14" s="64"/>
    </row>
    <row r="15" spans="1:12" x14ac:dyDescent="0.2">
      <c r="A15" s="83">
        <f>'FERC Interest Rates'!A23</f>
        <v>41698</v>
      </c>
      <c r="D15" s="1">
        <f>28783.35+26233.4</f>
        <v>55016.75</v>
      </c>
      <c r="F15" s="61">
        <f t="shared" si="2"/>
        <v>782.12</v>
      </c>
      <c r="H15" s="78">
        <f t="shared" si="1"/>
        <v>369506.25</v>
      </c>
      <c r="J15" s="61"/>
      <c r="K15" s="63"/>
      <c r="L15" s="64"/>
    </row>
    <row r="16" spans="1:12" x14ac:dyDescent="0.2">
      <c r="A16" s="83">
        <f>'FERC Interest Rates'!A24</f>
        <v>41729</v>
      </c>
      <c r="D16" s="1">
        <f>29106+31118.65+3784.88+809.8+30132.6</f>
        <v>94951.93</v>
      </c>
      <c r="F16" s="61">
        <f t="shared" si="2"/>
        <v>1019.94</v>
      </c>
      <c r="H16" s="78">
        <f t="shared" si="1"/>
        <v>465478.12</v>
      </c>
      <c r="J16" s="61"/>
      <c r="K16" s="63"/>
      <c r="L16" s="64"/>
    </row>
    <row r="17" spans="1:12" x14ac:dyDescent="0.2">
      <c r="A17" s="83">
        <f>'FERC Interest Rates'!A25</f>
        <v>41759</v>
      </c>
      <c r="D17" s="1">
        <v>49856.55</v>
      </c>
      <c r="F17" s="61">
        <f t="shared" si="2"/>
        <v>1243.4000000000001</v>
      </c>
      <c r="H17" s="78">
        <f t="shared" si="1"/>
        <v>516578.07</v>
      </c>
      <c r="J17" s="61"/>
      <c r="K17" s="63"/>
      <c r="L17" s="64"/>
    </row>
    <row r="18" spans="1:12" x14ac:dyDescent="0.2">
      <c r="A18" s="83">
        <f>'FERC Interest Rates'!A26</f>
        <v>41790</v>
      </c>
      <c r="D18" s="1">
        <v>48539.6</v>
      </c>
      <c r="F18" s="61">
        <f t="shared" si="2"/>
        <v>1425.9</v>
      </c>
      <c r="H18" s="78">
        <f t="shared" si="1"/>
        <v>566543.57000000007</v>
      </c>
      <c r="J18" s="61"/>
      <c r="K18" s="63"/>
      <c r="L18" s="64"/>
    </row>
    <row r="19" spans="1:12" x14ac:dyDescent="0.2">
      <c r="A19" s="83">
        <f>'FERC Interest Rates'!A27</f>
        <v>41820</v>
      </c>
      <c r="D19" s="1">
        <v>24694.05</v>
      </c>
      <c r="F19" s="61">
        <f t="shared" si="2"/>
        <v>1513.37</v>
      </c>
      <c r="H19" s="78">
        <f t="shared" si="1"/>
        <v>592750.99000000011</v>
      </c>
      <c r="J19" s="61"/>
      <c r="K19" s="63"/>
      <c r="L19" s="64"/>
    </row>
    <row r="20" spans="1:12" x14ac:dyDescent="0.2">
      <c r="A20" s="83">
        <f>'FERC Interest Rates'!A28</f>
        <v>41851</v>
      </c>
      <c r="D20" s="1">
        <v>13413.5</v>
      </c>
      <c r="F20" s="61">
        <f t="shared" si="2"/>
        <v>1636.16</v>
      </c>
      <c r="H20" s="78">
        <f t="shared" si="1"/>
        <v>607800.65000000014</v>
      </c>
      <c r="J20" s="61"/>
      <c r="K20" s="63"/>
      <c r="L20" s="64"/>
    </row>
    <row r="21" spans="1:12" x14ac:dyDescent="0.2">
      <c r="A21" s="83">
        <f>'FERC Interest Rates'!A29</f>
        <v>41882</v>
      </c>
      <c r="D21" s="1">
        <v>27540.36</v>
      </c>
      <c r="F21" s="61">
        <f t="shared" si="2"/>
        <v>1677.7</v>
      </c>
      <c r="H21" s="78">
        <f t="shared" si="1"/>
        <v>637018.7100000002</v>
      </c>
      <c r="J21" s="61"/>
      <c r="K21" s="63"/>
      <c r="L21" s="64"/>
    </row>
    <row r="22" spans="1:12" x14ac:dyDescent="0.2">
      <c r="A22" s="83">
        <f>'FERC Interest Rates'!A30</f>
        <v>41912</v>
      </c>
      <c r="D22" s="1">
        <v>66107.7</v>
      </c>
      <c r="F22" s="61">
        <f t="shared" si="2"/>
        <v>1701.63</v>
      </c>
      <c r="H22" s="78">
        <f t="shared" si="1"/>
        <v>704828.04000000015</v>
      </c>
      <c r="J22" s="61"/>
      <c r="K22" s="63"/>
      <c r="L22" s="64"/>
    </row>
    <row r="23" spans="1:12" x14ac:dyDescent="0.2">
      <c r="A23" s="83">
        <f>'FERC Interest Rates'!A31</f>
        <v>41943</v>
      </c>
      <c r="D23" s="1">
        <v>20456.349999999999</v>
      </c>
      <c r="F23" s="61">
        <f t="shared" si="2"/>
        <v>1945.52</v>
      </c>
      <c r="H23" s="78">
        <f t="shared" si="1"/>
        <v>727229.91000000015</v>
      </c>
      <c r="J23" s="61"/>
      <c r="K23" s="63"/>
      <c r="L23" s="64"/>
    </row>
    <row r="24" spans="1:12" x14ac:dyDescent="0.2">
      <c r="A24" s="202" t="s">
        <v>91</v>
      </c>
      <c r="B24" s="202"/>
      <c r="C24" s="202"/>
      <c r="D24" s="202"/>
      <c r="E24" s="202"/>
      <c r="F24" s="202"/>
      <c r="G24" s="101">
        <v>-612793.23</v>
      </c>
      <c r="H24" s="118">
        <f t="shared" si="1"/>
        <v>114436.68000000017</v>
      </c>
      <c r="L24" s="109"/>
    </row>
    <row r="25" spans="1:12" x14ac:dyDescent="0.2">
      <c r="A25" s="124">
        <f>'FERC Interest Rates'!A32</f>
        <v>41973</v>
      </c>
      <c r="D25" s="1">
        <v>21830.57</v>
      </c>
      <c r="F25" s="101">
        <f>ROUND(H24*VLOOKUP(A25,FERCINT14,2)/365*VLOOKUP(A25,FERCINT14,3),2)</f>
        <v>305.69</v>
      </c>
      <c r="H25" s="118">
        <f t="shared" si="1"/>
        <v>136572.94000000018</v>
      </c>
      <c r="J25" s="101"/>
      <c r="K25" s="108"/>
      <c r="L25" s="109"/>
    </row>
    <row r="26" spans="1:12" x14ac:dyDescent="0.2">
      <c r="A26" s="124">
        <f>'FERC Interest Rates'!A33</f>
        <v>42004</v>
      </c>
      <c r="D26" s="1">
        <v>18309.650000000001</v>
      </c>
      <c r="F26" s="101">
        <f>ROUND(H25*VLOOKUP(A26,FERCINT14,2)/365*VLOOKUP(A26,FERCINT14,3),2)</f>
        <v>376.98</v>
      </c>
      <c r="H26" s="118">
        <f t="shared" si="1"/>
        <v>155259.57000000018</v>
      </c>
      <c r="J26" s="101"/>
      <c r="K26" s="108"/>
      <c r="L26" s="109"/>
    </row>
    <row r="27" spans="1:12" x14ac:dyDescent="0.2">
      <c r="A27" s="124">
        <f>'FERC Interest Rates'!A34</f>
        <v>42035</v>
      </c>
      <c r="D27" s="1">
        <v>78034.990000000005</v>
      </c>
      <c r="F27" s="101">
        <f t="shared" ref="F27:F36" si="3">ROUND(H26*VLOOKUP(A27,FERCINT15,2)/365*VLOOKUP(A27,FERCINT15,3),2)</f>
        <v>428.56</v>
      </c>
      <c r="H27" s="118">
        <f t="shared" si="1"/>
        <v>233723.12000000017</v>
      </c>
      <c r="J27" s="101"/>
      <c r="K27" s="108"/>
      <c r="L27" s="109"/>
    </row>
    <row r="28" spans="1:12" x14ac:dyDescent="0.2">
      <c r="A28" s="124">
        <f>'FERC Interest Rates'!A35</f>
        <v>42063</v>
      </c>
      <c r="D28" s="1">
        <v>37942</v>
      </c>
      <c r="F28" s="101">
        <f t="shared" si="3"/>
        <v>582.71</v>
      </c>
      <c r="H28" s="118">
        <f t="shared" si="1"/>
        <v>272247.83000000019</v>
      </c>
      <c r="J28" s="101"/>
      <c r="K28" s="108"/>
      <c r="L28" s="109"/>
    </row>
    <row r="29" spans="1:12" x14ac:dyDescent="0.2">
      <c r="A29" s="124">
        <f>'FERC Interest Rates'!A36</f>
        <v>42094</v>
      </c>
      <c r="D29" s="1">
        <v>72240.350000000006</v>
      </c>
      <c r="F29" s="101">
        <f t="shared" si="3"/>
        <v>751.48</v>
      </c>
      <c r="H29" s="118">
        <f t="shared" si="1"/>
        <v>345239.66000000021</v>
      </c>
      <c r="J29" s="101"/>
      <c r="K29" s="108"/>
      <c r="L29" s="109"/>
    </row>
    <row r="30" spans="1:12" x14ac:dyDescent="0.2">
      <c r="A30" s="124">
        <f>'FERC Interest Rates'!A37</f>
        <v>42124</v>
      </c>
      <c r="D30" s="1">
        <v>44553.95</v>
      </c>
      <c r="F30" s="101">
        <f t="shared" si="3"/>
        <v>922.22</v>
      </c>
      <c r="H30" s="118">
        <f t="shared" si="1"/>
        <v>390715.83000000019</v>
      </c>
      <c r="J30" s="101"/>
      <c r="K30" s="108"/>
      <c r="L30" s="109"/>
    </row>
    <row r="31" spans="1:12" x14ac:dyDescent="0.2">
      <c r="A31" s="124">
        <f>'FERC Interest Rates'!A38</f>
        <v>42155</v>
      </c>
      <c r="D31" s="1">
        <v>26451.119999999999</v>
      </c>
      <c r="F31" s="101">
        <f t="shared" si="3"/>
        <v>1078.48</v>
      </c>
      <c r="H31" s="118">
        <f t="shared" si="1"/>
        <v>418245.43000000017</v>
      </c>
      <c r="J31" s="101"/>
      <c r="K31" s="108"/>
      <c r="L31" s="109"/>
    </row>
    <row r="32" spans="1:12" x14ac:dyDescent="0.2">
      <c r="A32" s="124">
        <f>'FERC Interest Rates'!A39</f>
        <v>42185</v>
      </c>
      <c r="D32" s="1">
        <v>29239.200000000001</v>
      </c>
      <c r="F32" s="101">
        <f t="shared" si="3"/>
        <v>1117.23</v>
      </c>
      <c r="H32" s="118">
        <f t="shared" si="1"/>
        <v>448601.86000000016</v>
      </c>
      <c r="J32" s="101"/>
      <c r="K32" s="108"/>
      <c r="L32" s="109"/>
    </row>
    <row r="33" spans="1:12" x14ac:dyDescent="0.2">
      <c r="A33" s="124">
        <f>'FERC Interest Rates'!A40</f>
        <v>42216</v>
      </c>
      <c r="D33" s="1">
        <v>56499.4</v>
      </c>
      <c r="F33" s="101">
        <f t="shared" si="3"/>
        <v>1238.26</v>
      </c>
      <c r="H33" s="118">
        <f t="shared" si="1"/>
        <v>506339.52000000014</v>
      </c>
      <c r="J33" s="101"/>
      <c r="K33" s="108"/>
      <c r="L33" s="109"/>
    </row>
    <row r="34" spans="1:12" x14ac:dyDescent="0.2">
      <c r="A34" s="124">
        <f>'FERC Interest Rates'!A41</f>
        <v>42247</v>
      </c>
      <c r="D34" s="1">
        <v>45176.800000000003</v>
      </c>
      <c r="F34" s="101">
        <f t="shared" si="3"/>
        <v>1397.64</v>
      </c>
      <c r="H34" s="118">
        <f t="shared" si="1"/>
        <v>552913.9600000002</v>
      </c>
      <c r="J34" s="101"/>
      <c r="K34" s="108"/>
      <c r="L34" s="109"/>
    </row>
    <row r="35" spans="1:12" x14ac:dyDescent="0.2">
      <c r="A35" s="124">
        <f>'FERC Interest Rates'!A42</f>
        <v>42277</v>
      </c>
      <c r="D35" s="1">
        <v>18010.5</v>
      </c>
      <c r="F35" s="101">
        <f t="shared" si="3"/>
        <v>1476.96</v>
      </c>
      <c r="H35" s="118">
        <f t="shared" si="1"/>
        <v>572401.42000000016</v>
      </c>
      <c r="J35" s="101"/>
      <c r="K35" s="108"/>
      <c r="L35" s="109"/>
    </row>
    <row r="36" spans="1:12" x14ac:dyDescent="0.2">
      <c r="A36" s="124">
        <f>'FERC Interest Rates'!A43</f>
        <v>42308</v>
      </c>
      <c r="D36" s="1">
        <v>44723.15</v>
      </c>
      <c r="F36" s="101">
        <f t="shared" si="3"/>
        <v>1579.98</v>
      </c>
      <c r="H36" s="118">
        <f t="shared" si="1"/>
        <v>618704.55000000016</v>
      </c>
      <c r="J36" s="101"/>
      <c r="K36" s="108"/>
      <c r="L36" s="109"/>
    </row>
    <row r="37" spans="1:12" x14ac:dyDescent="0.2">
      <c r="A37" s="124">
        <f>'FERC Interest Rates'!A44</f>
        <v>42338</v>
      </c>
      <c r="B37" s="101"/>
      <c r="C37" s="101"/>
      <c r="D37" s="101">
        <v>14074.8</v>
      </c>
      <c r="E37" s="101"/>
      <c r="F37" s="101">
        <f t="shared" ref="F37:F39" si="4">ROUND(H36*VLOOKUP(A37,FERCINT15,2)/365*VLOOKUP(A37,FERCINT15,3),2)</f>
        <v>1652.7</v>
      </c>
      <c r="G37" s="101"/>
      <c r="H37" s="118">
        <f t="shared" ref="H37:H43" si="5">+SUM(D37:G37)+H36</f>
        <v>634432.05000000016</v>
      </c>
      <c r="I37" s="101"/>
      <c r="J37" s="101"/>
      <c r="K37" s="108"/>
      <c r="L37" s="109"/>
    </row>
    <row r="38" spans="1:12" x14ac:dyDescent="0.2">
      <c r="A38" s="202" t="s">
        <v>100</v>
      </c>
      <c r="B38" s="202"/>
      <c r="C38" s="202"/>
      <c r="D38" s="202"/>
      <c r="E38" s="202"/>
      <c r="F38" s="202"/>
      <c r="G38" s="101">
        <v>-511862.34</v>
      </c>
      <c r="H38" s="118">
        <f t="shared" si="5"/>
        <v>122569.71000000014</v>
      </c>
      <c r="I38" s="101"/>
      <c r="J38" s="101"/>
      <c r="K38" s="108"/>
      <c r="L38" s="109"/>
    </row>
    <row r="39" spans="1:12" x14ac:dyDescent="0.2">
      <c r="A39" s="124">
        <f>'FERC Interest Rates'!A45</f>
        <v>42369</v>
      </c>
      <c r="B39" s="101"/>
      <c r="C39" s="101"/>
      <c r="D39" s="101">
        <v>22978.2</v>
      </c>
      <c r="E39" s="101"/>
      <c r="F39" s="101">
        <f t="shared" si="4"/>
        <v>338.33</v>
      </c>
      <c r="G39" s="101"/>
      <c r="H39" s="118">
        <f t="shared" si="5"/>
        <v>145886.24000000014</v>
      </c>
      <c r="I39" s="101"/>
      <c r="J39" s="101"/>
      <c r="K39" s="108"/>
      <c r="L39" s="109"/>
    </row>
    <row r="40" spans="1:12" x14ac:dyDescent="0.2">
      <c r="A40" s="124">
        <f>'FERC Interest Rates'!A46</f>
        <v>42400</v>
      </c>
      <c r="B40" s="101"/>
      <c r="C40" s="101"/>
      <c r="D40" s="101">
        <v>90067.05</v>
      </c>
      <c r="E40" s="101"/>
      <c r="F40" s="101">
        <f t="shared" ref="F40:F43" si="6">ROUND(H39*VLOOKUP(A40,FERCINT16,2)/365*VLOOKUP(A40,FERCINT16,3),2)</f>
        <v>402.69</v>
      </c>
      <c r="G40" s="101"/>
      <c r="H40" s="118">
        <f t="shared" si="5"/>
        <v>236355.98000000016</v>
      </c>
      <c r="I40" s="101"/>
      <c r="J40" s="101"/>
      <c r="K40" s="108"/>
      <c r="L40" s="109"/>
    </row>
    <row r="41" spans="1:12" x14ac:dyDescent="0.2">
      <c r="A41" s="124">
        <f>'FERC Interest Rates'!A47</f>
        <v>42429</v>
      </c>
      <c r="B41" s="101"/>
      <c r="C41" s="101"/>
      <c r="D41" s="101">
        <v>24303.35</v>
      </c>
      <c r="E41" s="101"/>
      <c r="F41" s="101">
        <f t="shared" si="6"/>
        <v>610.32000000000005</v>
      </c>
      <c r="G41" s="101"/>
      <c r="H41" s="118">
        <f t="shared" si="5"/>
        <v>261269.65000000014</v>
      </c>
      <c r="I41" s="101"/>
      <c r="J41" s="101"/>
      <c r="K41" s="108"/>
      <c r="L41" s="109"/>
    </row>
    <row r="42" spans="1:12" x14ac:dyDescent="0.2">
      <c r="A42" s="124">
        <f>'FERC Interest Rates'!A48</f>
        <v>42460</v>
      </c>
      <c r="B42" s="101"/>
      <c r="C42" s="101"/>
      <c r="D42" s="101">
        <v>33571.15</v>
      </c>
      <c r="E42" s="101"/>
      <c r="F42" s="101">
        <f t="shared" si="6"/>
        <v>721.18</v>
      </c>
      <c r="G42" s="101"/>
      <c r="H42" s="118">
        <f t="shared" si="5"/>
        <v>295561.98000000016</v>
      </c>
      <c r="I42" s="101"/>
      <c r="J42" s="101"/>
      <c r="K42" s="108"/>
      <c r="L42" s="109"/>
    </row>
    <row r="43" spans="1:12" x14ac:dyDescent="0.2">
      <c r="A43" s="124">
        <f>'FERC Interest Rates'!A49</f>
        <v>42490</v>
      </c>
      <c r="B43" s="101"/>
      <c r="C43" s="101"/>
      <c r="D43" s="101">
        <v>24642.5</v>
      </c>
      <c r="E43" s="101"/>
      <c r="F43" s="101">
        <f t="shared" si="6"/>
        <v>840.53</v>
      </c>
      <c r="G43" s="101"/>
      <c r="H43" s="118">
        <f t="shared" si="5"/>
        <v>321045.01000000013</v>
      </c>
      <c r="I43" s="101"/>
      <c r="J43" s="101"/>
      <c r="K43" s="108"/>
      <c r="L43" s="109"/>
    </row>
    <row r="44" spans="1:12" x14ac:dyDescent="0.2">
      <c r="A44" s="124"/>
      <c r="B44" s="101"/>
      <c r="C44" s="101"/>
      <c r="D44" s="101"/>
      <c r="E44" s="101"/>
      <c r="F44" s="101"/>
      <c r="G44" s="101"/>
      <c r="H44" s="118"/>
      <c r="I44" s="101"/>
      <c r="J44" s="101"/>
      <c r="K44" s="108"/>
      <c r="L44" s="109"/>
    </row>
    <row r="45" spans="1:12" x14ac:dyDescent="0.2">
      <c r="A45" s="124"/>
      <c r="B45" s="101"/>
      <c r="C45" s="101"/>
      <c r="D45" s="101"/>
      <c r="E45" s="101"/>
      <c r="F45" s="101"/>
      <c r="G45" s="101"/>
      <c r="H45" s="118"/>
      <c r="I45" s="101"/>
      <c r="J45" s="101"/>
      <c r="K45" s="108"/>
      <c r="L45" s="109"/>
    </row>
    <row r="46" spans="1:12" x14ac:dyDescent="0.2">
      <c r="A46" s="124"/>
      <c r="B46" s="101"/>
      <c r="C46" s="101"/>
      <c r="D46" s="101"/>
      <c r="E46" s="101"/>
      <c r="F46" s="101"/>
      <c r="G46" s="101"/>
      <c r="H46" s="118"/>
      <c r="I46" s="101"/>
      <c r="J46" s="101"/>
      <c r="K46" s="108"/>
      <c r="L46" s="109"/>
    </row>
    <row r="47" spans="1:12" x14ac:dyDescent="0.2">
      <c r="A47" s="124"/>
      <c r="B47" s="101"/>
      <c r="C47" s="101"/>
      <c r="D47" s="101"/>
      <c r="E47" s="101"/>
      <c r="F47" s="101"/>
      <c r="G47" s="101"/>
      <c r="H47" s="118"/>
      <c r="I47" s="101"/>
      <c r="J47" s="101"/>
      <c r="K47" s="108"/>
      <c r="L47" s="109"/>
    </row>
    <row r="48" spans="1:12" x14ac:dyDescent="0.2">
      <c r="A48" s="124"/>
      <c r="B48" s="101"/>
      <c r="C48" s="101"/>
      <c r="D48" s="101"/>
      <c r="E48" s="101"/>
      <c r="F48" s="101"/>
      <c r="G48" s="101"/>
      <c r="H48" s="118"/>
      <c r="I48" s="101"/>
      <c r="J48" s="101"/>
      <c r="K48" s="108"/>
      <c r="L48" s="109"/>
    </row>
    <row r="49" spans="1:12" x14ac:dyDescent="0.2">
      <c r="A49" s="124"/>
      <c r="B49" s="101"/>
      <c r="C49" s="101"/>
      <c r="D49" s="101"/>
      <c r="E49" s="101"/>
      <c r="F49" s="101"/>
      <c r="G49" s="101"/>
      <c r="H49" s="118"/>
      <c r="I49" s="101"/>
      <c r="J49" s="101"/>
      <c r="K49" s="108"/>
      <c r="L49" s="109"/>
    </row>
    <row r="50" spans="1:12" x14ac:dyDescent="0.2">
      <c r="A50" s="124"/>
      <c r="B50" s="101"/>
      <c r="C50" s="101"/>
      <c r="D50" s="101"/>
      <c r="E50" s="101"/>
      <c r="F50" s="101"/>
      <c r="G50" s="101"/>
      <c r="H50" s="118"/>
      <c r="I50" s="101"/>
      <c r="J50" s="101"/>
      <c r="K50" s="108"/>
      <c r="L50" s="109"/>
    </row>
  </sheetData>
  <mergeCells count="18">
    <mergeCell ref="A38:F38"/>
    <mergeCell ref="D9:F9"/>
    <mergeCell ref="A24:F24"/>
    <mergeCell ref="A7:B7"/>
    <mergeCell ref="C7:H7"/>
    <mergeCell ref="A11:G11"/>
    <mergeCell ref="A6:B6"/>
    <mergeCell ref="C1:H1"/>
    <mergeCell ref="C2:H2"/>
    <mergeCell ref="C3:H3"/>
    <mergeCell ref="C4:H4"/>
    <mergeCell ref="C5:H5"/>
    <mergeCell ref="C6:H6"/>
    <mergeCell ref="A1:B1"/>
    <mergeCell ref="A2:B2"/>
    <mergeCell ref="A3:B3"/>
    <mergeCell ref="A4:B4"/>
    <mergeCell ref="A5:B5"/>
  </mergeCells>
  <phoneticPr fontId="0" type="noConversion"/>
  <printOptions horizontalCentered="1"/>
  <pageMargins left="0.5" right="0.25" top="0.5" bottom="0.75" header="0.5" footer="0.5"/>
  <pageSetup scale="85" orientation="portrait" r:id="rId1"/>
  <headerFooter alignWithMargins="0">
    <oddFooter>&amp;L&amp;"-,Bold"&amp;10Cascade Natural Gas Corporation&amp;C&amp;"-,Bold"&amp;10Page &amp;P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0"/>
  <sheetViews>
    <sheetView view="pageLayout" topLeftCell="A15" zoomScaleNormal="100" zoomScaleSheetLayoutView="100" workbookViewId="0">
      <selection activeCell="J37" sqref="J37"/>
    </sheetView>
  </sheetViews>
  <sheetFormatPr defaultRowHeight="12.75" x14ac:dyDescent="0.2"/>
  <cols>
    <col min="1" max="1" width="9" style="1" bestFit="1" customWidth="1"/>
    <col min="2" max="2" width="8.88671875" style="1"/>
    <col min="3" max="3" width="9.33203125" style="1" bestFit="1" customWidth="1"/>
    <col min="4" max="4" width="8.88671875" style="1"/>
    <col min="5" max="5" width="10.109375" style="1" bestFit="1" customWidth="1"/>
    <col min="6" max="6" width="9.21875" style="1" bestFit="1" customWidth="1"/>
    <col min="7" max="7" width="10.6640625" style="1" customWidth="1"/>
    <col min="8" max="8" width="11.21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230" t="s">
        <v>13</v>
      </c>
      <c r="B1" s="231"/>
      <c r="C1" s="251" t="s">
        <v>14</v>
      </c>
      <c r="D1" s="251"/>
      <c r="E1" s="251"/>
      <c r="F1" s="251"/>
      <c r="G1" s="251"/>
      <c r="H1" s="252"/>
      <c r="I1" s="7"/>
    </row>
    <row r="2" spans="1:12" x14ac:dyDescent="0.2">
      <c r="A2" s="219" t="s">
        <v>16</v>
      </c>
      <c r="B2" s="210"/>
      <c r="C2" s="239" t="s">
        <v>71</v>
      </c>
      <c r="D2" s="239"/>
      <c r="E2" s="239"/>
      <c r="F2" s="239"/>
      <c r="G2" s="239"/>
      <c r="H2" s="240"/>
      <c r="I2" s="7"/>
    </row>
    <row r="3" spans="1:12" x14ac:dyDescent="0.2">
      <c r="A3" s="219" t="s">
        <v>17</v>
      </c>
      <c r="B3" s="210"/>
      <c r="C3" s="239" t="s">
        <v>35</v>
      </c>
      <c r="D3" s="239"/>
      <c r="E3" s="239"/>
      <c r="F3" s="239"/>
      <c r="G3" s="239"/>
      <c r="H3" s="240"/>
      <c r="I3" s="7"/>
    </row>
    <row r="4" spans="1:12" x14ac:dyDescent="0.2">
      <c r="A4" s="219" t="s">
        <v>18</v>
      </c>
      <c r="B4" s="210"/>
      <c r="C4" s="235" t="s">
        <v>25</v>
      </c>
      <c r="D4" s="235"/>
      <c r="E4" s="235"/>
      <c r="F4" s="235"/>
      <c r="G4" s="235"/>
      <c r="H4" s="236"/>
      <c r="I4" s="7"/>
    </row>
    <row r="5" spans="1:12" x14ac:dyDescent="0.2">
      <c r="A5" s="219" t="s">
        <v>20</v>
      </c>
      <c r="B5" s="210"/>
      <c r="C5" s="235" t="s">
        <v>33</v>
      </c>
      <c r="D5" s="235"/>
      <c r="E5" s="235"/>
      <c r="F5" s="235"/>
      <c r="G5" s="235"/>
      <c r="H5" s="236"/>
      <c r="I5" s="7"/>
    </row>
    <row r="6" spans="1:12" x14ac:dyDescent="0.2">
      <c r="A6" s="219" t="s">
        <v>21</v>
      </c>
      <c r="B6" s="210"/>
      <c r="C6" s="235" t="s">
        <v>87</v>
      </c>
      <c r="D6" s="235"/>
      <c r="E6" s="235"/>
      <c r="F6" s="235"/>
      <c r="G6" s="235"/>
      <c r="H6" s="236"/>
      <c r="I6" s="7"/>
    </row>
    <row r="7" spans="1:12" ht="13.5" thickBot="1" x14ac:dyDescent="0.25">
      <c r="A7" s="223" t="s">
        <v>22</v>
      </c>
      <c r="B7" s="224"/>
      <c r="C7" s="233" t="s">
        <v>68</v>
      </c>
      <c r="D7" s="233"/>
      <c r="E7" s="233"/>
      <c r="F7" s="233"/>
      <c r="G7" s="233"/>
      <c r="H7" s="234"/>
      <c r="I7" s="7"/>
    </row>
    <row r="8" spans="1:12" x14ac:dyDescent="0.2">
      <c r="A8" s="2"/>
      <c r="B8" s="2"/>
      <c r="C8" s="3"/>
      <c r="D8" s="3"/>
      <c r="E8" s="3"/>
      <c r="F8" s="3"/>
      <c r="G8" s="3"/>
      <c r="H8" s="3"/>
      <c r="J8" s="8"/>
    </row>
    <row r="9" spans="1:12" x14ac:dyDescent="0.2">
      <c r="A9" s="4"/>
      <c r="D9" s="203" t="s">
        <v>39</v>
      </c>
      <c r="E9" s="203"/>
      <c r="F9" s="203"/>
    </row>
    <row r="10" spans="1:12" s="5" customFormat="1" x14ac:dyDescent="0.2">
      <c r="A10" s="6" t="s">
        <v>40</v>
      </c>
      <c r="B10" s="6" t="s">
        <v>4</v>
      </c>
      <c r="C10" s="6" t="s">
        <v>12</v>
      </c>
      <c r="D10" s="6" t="s">
        <v>23</v>
      </c>
      <c r="E10" s="6" t="s">
        <v>24</v>
      </c>
      <c r="F10" s="6" t="s">
        <v>2</v>
      </c>
      <c r="G10" s="6" t="s">
        <v>0</v>
      </c>
      <c r="H10" s="6" t="s">
        <v>1</v>
      </c>
      <c r="I10" s="27"/>
      <c r="J10" s="27"/>
      <c r="K10" s="27"/>
      <c r="L10" s="27"/>
    </row>
    <row r="11" spans="1:12" x14ac:dyDescent="0.2">
      <c r="A11" s="208" t="s">
        <v>85</v>
      </c>
      <c r="B11" s="208"/>
      <c r="C11" s="208"/>
      <c r="D11" s="208"/>
      <c r="E11" s="208"/>
      <c r="F11" s="208"/>
      <c r="G11" s="208"/>
      <c r="H11" s="62">
        <v>-107004.07</v>
      </c>
      <c r="K11" s="61"/>
      <c r="L11" s="73"/>
    </row>
    <row r="12" spans="1:12" x14ac:dyDescent="0.2">
      <c r="A12" s="83">
        <f>'FERC Interest Rates'!A20</f>
        <v>41608</v>
      </c>
      <c r="B12" s="82" t="s">
        <v>34</v>
      </c>
      <c r="C12" s="71">
        <f>'Therm Sales'!N5</f>
        <v>49623897</v>
      </c>
      <c r="E12" s="84">
        <f>(1447*-0.00064)+(49622450*0.00001)</f>
        <v>495.29842000000002</v>
      </c>
      <c r="F12" s="70">
        <f t="shared" ref="F12:F13" si="0">ROUND(H11*VLOOKUP(A12,FERCINT13,2)/365*VLOOKUP(A12,FERCINT13,3),2)</f>
        <v>-285.83</v>
      </c>
      <c r="H12" s="62">
        <f t="shared" ref="H12:H36" si="1">H11+SUM(D12:G12)</f>
        <v>-106794.60158</v>
      </c>
      <c r="I12" s="61"/>
      <c r="J12" s="61"/>
      <c r="K12" s="61"/>
      <c r="L12" s="73"/>
    </row>
    <row r="13" spans="1:12" x14ac:dyDescent="0.2">
      <c r="A13" s="83">
        <f>'FERC Interest Rates'!A21</f>
        <v>41639</v>
      </c>
      <c r="B13" s="80">
        <v>1.0000000000000001E-5</v>
      </c>
      <c r="C13" s="71">
        <f>'Therm Sales'!N6</f>
        <v>60581077</v>
      </c>
      <c r="E13" s="62">
        <f t="shared" ref="E13:E23" si="2">ROUND(C13*B13,2)</f>
        <v>605.80999999999995</v>
      </c>
      <c r="F13" s="70">
        <f t="shared" si="0"/>
        <v>-294.77999999999997</v>
      </c>
      <c r="H13" s="62">
        <f t="shared" si="1"/>
        <v>-106483.57158</v>
      </c>
      <c r="J13" s="61"/>
      <c r="K13" s="61"/>
      <c r="L13" s="73"/>
    </row>
    <row r="14" spans="1:12" x14ac:dyDescent="0.2">
      <c r="A14" s="83">
        <f>'FERC Interest Rates'!A22</f>
        <v>41670</v>
      </c>
      <c r="B14" s="80">
        <v>1.0000000000000001E-5</v>
      </c>
      <c r="C14" s="71">
        <f>'Therm Sales'!N7</f>
        <v>57326161</v>
      </c>
      <c r="E14" s="62">
        <f t="shared" si="2"/>
        <v>573.26</v>
      </c>
      <c r="F14" s="70">
        <f t="shared" ref="F14:F26" si="3">ROUND(H13*VLOOKUP(A14,FERCINT14,2)/365*VLOOKUP(A14,FERCINT14,3),2)</f>
        <v>-293.92</v>
      </c>
      <c r="H14" s="62">
        <f t="shared" si="1"/>
        <v>-106204.23158000001</v>
      </c>
      <c r="J14" s="61"/>
      <c r="K14" s="61"/>
      <c r="L14" s="73"/>
    </row>
    <row r="15" spans="1:12" x14ac:dyDescent="0.2">
      <c r="A15" s="83">
        <f>'FERC Interest Rates'!A23</f>
        <v>41698</v>
      </c>
      <c r="B15" s="80">
        <v>1.0000000000000001E-5</v>
      </c>
      <c r="C15" s="71">
        <f>'Therm Sales'!N8</f>
        <v>47048399</v>
      </c>
      <c r="E15" s="62">
        <f t="shared" si="2"/>
        <v>470.48</v>
      </c>
      <c r="F15" s="70">
        <f t="shared" si="3"/>
        <v>-264.77999999999997</v>
      </c>
      <c r="H15" s="62">
        <f t="shared" si="1"/>
        <v>-105998.53158000001</v>
      </c>
      <c r="J15" s="61"/>
      <c r="K15" s="61"/>
      <c r="L15" s="73"/>
    </row>
    <row r="16" spans="1:12" x14ac:dyDescent="0.2">
      <c r="A16" s="83">
        <f>'FERC Interest Rates'!A24</f>
        <v>41729</v>
      </c>
      <c r="B16" s="80">
        <v>1.0000000000000001E-5</v>
      </c>
      <c r="C16" s="71">
        <f>'Therm Sales'!N9</f>
        <v>31459098</v>
      </c>
      <c r="E16" s="62">
        <f t="shared" si="2"/>
        <v>314.58999999999997</v>
      </c>
      <c r="F16" s="70">
        <f t="shared" si="3"/>
        <v>-292.58</v>
      </c>
      <c r="H16" s="62">
        <f t="shared" si="1"/>
        <v>-105976.52158000002</v>
      </c>
      <c r="J16" s="61"/>
      <c r="K16" s="61"/>
      <c r="L16" s="73"/>
    </row>
    <row r="17" spans="1:12" x14ac:dyDescent="0.2">
      <c r="A17" s="83">
        <f>'FERC Interest Rates'!A25</f>
        <v>41759</v>
      </c>
      <c r="B17" s="80">
        <v>1.0000000000000001E-5</v>
      </c>
      <c r="C17" s="71">
        <f>'Therm Sales'!N10</f>
        <v>28943531</v>
      </c>
      <c r="E17" s="62">
        <f t="shared" si="2"/>
        <v>289.44</v>
      </c>
      <c r="F17" s="70">
        <f t="shared" si="3"/>
        <v>-283.08999999999997</v>
      </c>
      <c r="H17" s="62">
        <f t="shared" si="1"/>
        <v>-105970.17158000001</v>
      </c>
      <c r="J17" s="61"/>
      <c r="K17" s="61"/>
      <c r="L17" s="73"/>
    </row>
    <row r="18" spans="1:12" x14ac:dyDescent="0.2">
      <c r="A18" s="83">
        <f>'FERC Interest Rates'!A26</f>
        <v>41790</v>
      </c>
      <c r="B18" s="80">
        <v>1.0000000000000001E-5</v>
      </c>
      <c r="C18" s="71">
        <f>'Therm Sales'!N11</f>
        <v>31179964</v>
      </c>
      <c r="E18" s="62">
        <f t="shared" si="2"/>
        <v>311.8</v>
      </c>
      <c r="F18" s="70">
        <f t="shared" si="3"/>
        <v>-292.51</v>
      </c>
      <c r="H18" s="62">
        <f t="shared" si="1"/>
        <v>-105950.88158000002</v>
      </c>
      <c r="J18" s="61"/>
      <c r="K18" s="61"/>
      <c r="L18" s="73"/>
    </row>
    <row r="19" spans="1:12" x14ac:dyDescent="0.2">
      <c r="A19" s="83">
        <f>'FERC Interest Rates'!A27</f>
        <v>41820</v>
      </c>
      <c r="B19" s="80">
        <v>1.0000000000000001E-5</v>
      </c>
      <c r="C19" s="71">
        <f>'Therm Sales'!N12</f>
        <v>29742903</v>
      </c>
      <c r="E19" s="62">
        <f t="shared" si="2"/>
        <v>297.43</v>
      </c>
      <c r="F19" s="70">
        <f t="shared" si="3"/>
        <v>-283.02</v>
      </c>
      <c r="H19" s="62">
        <f t="shared" si="1"/>
        <v>-105936.47158000001</v>
      </c>
      <c r="J19" s="61"/>
      <c r="K19" s="61"/>
      <c r="L19" s="73"/>
    </row>
    <row r="20" spans="1:12" x14ac:dyDescent="0.2">
      <c r="A20" s="83">
        <f>'FERC Interest Rates'!A28</f>
        <v>41851</v>
      </c>
      <c r="B20" s="80">
        <v>1.0000000000000001E-5</v>
      </c>
      <c r="C20" s="71">
        <f>'Therm Sales'!N13</f>
        <v>45068388</v>
      </c>
      <c r="E20" s="62">
        <f t="shared" si="2"/>
        <v>450.68</v>
      </c>
      <c r="F20" s="70">
        <f t="shared" si="3"/>
        <v>-292.41000000000003</v>
      </c>
      <c r="H20" s="62">
        <f t="shared" si="1"/>
        <v>-105778.20158000001</v>
      </c>
      <c r="J20" s="61"/>
      <c r="K20" s="61"/>
      <c r="L20" s="73"/>
    </row>
    <row r="21" spans="1:12" x14ac:dyDescent="0.2">
      <c r="A21" s="83">
        <f>'FERC Interest Rates'!A29</f>
        <v>41882</v>
      </c>
      <c r="B21" s="80">
        <v>1.0000000000000001E-5</v>
      </c>
      <c r="C21" s="71">
        <f>'Therm Sales'!N14</f>
        <v>58240050</v>
      </c>
      <c r="E21" s="62">
        <f t="shared" si="2"/>
        <v>582.4</v>
      </c>
      <c r="F21" s="70">
        <f t="shared" si="3"/>
        <v>-291.98</v>
      </c>
      <c r="H21" s="62">
        <f t="shared" si="1"/>
        <v>-105487.78158000001</v>
      </c>
      <c r="J21" s="61"/>
      <c r="K21" s="61"/>
      <c r="L21" s="73"/>
    </row>
    <row r="22" spans="1:12" x14ac:dyDescent="0.2">
      <c r="A22" s="83">
        <f>'FERC Interest Rates'!A30</f>
        <v>41912</v>
      </c>
      <c r="B22" s="80">
        <v>1.0000000000000001E-5</v>
      </c>
      <c r="C22" s="71">
        <f>'Therm Sales'!N15</f>
        <v>57050907</v>
      </c>
      <c r="E22" s="62">
        <f t="shared" si="2"/>
        <v>570.51</v>
      </c>
      <c r="F22" s="70">
        <f t="shared" si="3"/>
        <v>-281.77999999999997</v>
      </c>
      <c r="H22" s="62">
        <f t="shared" si="1"/>
        <v>-105199.05158000001</v>
      </c>
      <c r="J22" s="61"/>
      <c r="K22" s="61"/>
      <c r="L22" s="73"/>
    </row>
    <row r="23" spans="1:12" x14ac:dyDescent="0.2">
      <c r="A23" s="83">
        <f>'FERC Interest Rates'!A31</f>
        <v>41943</v>
      </c>
      <c r="B23" s="80">
        <v>1.0000000000000001E-5</v>
      </c>
      <c r="C23" s="71">
        <f>'Therm Sales'!N16</f>
        <v>53240234</v>
      </c>
      <c r="E23" s="62">
        <f t="shared" si="2"/>
        <v>532.4</v>
      </c>
      <c r="F23" s="70">
        <f t="shared" si="3"/>
        <v>-290.38</v>
      </c>
      <c r="H23" s="62">
        <f t="shared" si="1"/>
        <v>-104957.03158000001</v>
      </c>
      <c r="J23" s="61"/>
      <c r="K23" s="61"/>
      <c r="L23" s="73"/>
    </row>
    <row r="24" spans="1:12" x14ac:dyDescent="0.2">
      <c r="A24" s="232" t="s">
        <v>86</v>
      </c>
      <c r="B24" s="232"/>
      <c r="C24" s="232"/>
      <c r="D24" s="232"/>
      <c r="E24" s="232"/>
      <c r="F24" s="232"/>
      <c r="G24" s="1">
        <v>2195.33</v>
      </c>
      <c r="H24" s="62">
        <f t="shared" si="1"/>
        <v>-102761.70158000001</v>
      </c>
    </row>
    <row r="25" spans="1:12" x14ac:dyDescent="0.2">
      <c r="A25" s="124">
        <f>'FERC Interest Rates'!A32</f>
        <v>41973</v>
      </c>
      <c r="B25" s="82" t="s">
        <v>34</v>
      </c>
      <c r="C25" s="114">
        <f>'Therm Sales'!N17</f>
        <v>45272865</v>
      </c>
      <c r="D25" s="101"/>
      <c r="E25" s="84">
        <f>(-1167*0.00001)+(45274032*0.00019)</f>
        <v>8602.0544100000006</v>
      </c>
      <c r="F25" s="112">
        <f>ROUND(H24*VLOOKUP(A25,FERCINT14,2)/365*VLOOKUP(A25,FERCINT14,3),2)</f>
        <v>-274.5</v>
      </c>
      <c r="H25" s="62">
        <f t="shared" si="1"/>
        <v>-94434.147170000011</v>
      </c>
      <c r="J25" s="101"/>
      <c r="K25" s="101"/>
      <c r="L25" s="115"/>
    </row>
    <row r="26" spans="1:12" x14ac:dyDescent="0.2">
      <c r="A26" s="124">
        <f>'FERC Interest Rates'!A33</f>
        <v>42004</v>
      </c>
      <c r="B26" s="120">
        <v>1.9000000000000001E-4</v>
      </c>
      <c r="C26" s="114">
        <f>'Therm Sales'!N18</f>
        <v>44477359</v>
      </c>
      <c r="D26" s="101"/>
      <c r="E26" s="107">
        <f t="shared" ref="E26:E36" si="4">ROUND(C26*B26,2)</f>
        <v>8450.7000000000007</v>
      </c>
      <c r="F26" s="112">
        <f t="shared" si="3"/>
        <v>-260.66000000000003</v>
      </c>
      <c r="H26" s="62">
        <f t="shared" si="1"/>
        <v>-86244.107170000003</v>
      </c>
      <c r="J26" s="101"/>
      <c r="K26" s="101"/>
      <c r="L26" s="115"/>
    </row>
    <row r="27" spans="1:12" x14ac:dyDescent="0.2">
      <c r="A27" s="124">
        <f>'FERC Interest Rates'!A34</f>
        <v>42035</v>
      </c>
      <c r="B27" s="120">
        <v>1.9000000000000001E-4</v>
      </c>
      <c r="C27" s="114">
        <f>'Therm Sales'!N19</f>
        <v>43008045</v>
      </c>
      <c r="D27" s="101"/>
      <c r="E27" s="107">
        <f t="shared" si="4"/>
        <v>8171.53</v>
      </c>
      <c r="F27" s="112">
        <f t="shared" ref="F27:F36" si="5">ROUND(H26*VLOOKUP(A27,FERCINT15,2)/365*VLOOKUP(A27,FERCINT15,3),2)</f>
        <v>-238.06</v>
      </c>
      <c r="H27" s="62">
        <f t="shared" si="1"/>
        <v>-78310.637170000002</v>
      </c>
      <c r="J27" s="101"/>
      <c r="K27" s="101"/>
      <c r="L27" s="115"/>
    </row>
    <row r="28" spans="1:12" x14ac:dyDescent="0.2">
      <c r="A28" s="124">
        <f>'FERC Interest Rates'!A35</f>
        <v>42063</v>
      </c>
      <c r="B28" s="120">
        <v>1.9000000000000001E-4</v>
      </c>
      <c r="C28" s="114">
        <f>'Therm Sales'!N20</f>
        <v>33127030</v>
      </c>
      <c r="D28" s="101"/>
      <c r="E28" s="107">
        <f t="shared" si="4"/>
        <v>6294.14</v>
      </c>
      <c r="F28" s="112">
        <f t="shared" si="5"/>
        <v>-195.24</v>
      </c>
      <c r="H28" s="62">
        <f t="shared" si="1"/>
        <v>-72211.737170000008</v>
      </c>
      <c r="J28" s="101"/>
      <c r="K28" s="101"/>
      <c r="L28" s="115"/>
    </row>
    <row r="29" spans="1:12" x14ac:dyDescent="0.2">
      <c r="A29" s="124">
        <f>'FERC Interest Rates'!A36</f>
        <v>42094</v>
      </c>
      <c r="B29" s="120">
        <v>1.9000000000000001E-4</v>
      </c>
      <c r="C29" s="114">
        <f>'Therm Sales'!N21</f>
        <v>42929967</v>
      </c>
      <c r="D29" s="101"/>
      <c r="E29" s="107">
        <f t="shared" si="4"/>
        <v>8156.69</v>
      </c>
      <c r="F29" s="112">
        <f t="shared" si="5"/>
        <v>-199.32</v>
      </c>
      <c r="H29" s="62">
        <f t="shared" si="1"/>
        <v>-64254.367170000005</v>
      </c>
      <c r="J29" s="101"/>
      <c r="K29" s="101"/>
      <c r="L29" s="115"/>
    </row>
    <row r="30" spans="1:12" x14ac:dyDescent="0.2">
      <c r="A30" s="124">
        <f>'FERC Interest Rates'!A37</f>
        <v>42124</v>
      </c>
      <c r="B30" s="120">
        <v>1.9000000000000001E-4</v>
      </c>
      <c r="C30" s="114">
        <f>'Therm Sales'!N22</f>
        <v>39171768</v>
      </c>
      <c r="D30" s="101"/>
      <c r="E30" s="107">
        <f t="shared" si="4"/>
        <v>7442.64</v>
      </c>
      <c r="F30" s="112">
        <f t="shared" si="5"/>
        <v>-171.64</v>
      </c>
      <c r="H30" s="62">
        <f t="shared" si="1"/>
        <v>-56983.367170000005</v>
      </c>
      <c r="J30" s="101"/>
      <c r="K30" s="101"/>
      <c r="L30" s="115"/>
    </row>
    <row r="31" spans="1:12" x14ac:dyDescent="0.2">
      <c r="A31" s="124">
        <f>'FERC Interest Rates'!A38</f>
        <v>42155</v>
      </c>
      <c r="B31" s="120">
        <v>1.9000000000000001E-4</v>
      </c>
      <c r="C31" s="114">
        <f>'Therm Sales'!N23</f>
        <v>44923157</v>
      </c>
      <c r="D31" s="101"/>
      <c r="E31" s="107">
        <f t="shared" si="4"/>
        <v>8535.4</v>
      </c>
      <c r="F31" s="112">
        <f t="shared" si="5"/>
        <v>-157.29</v>
      </c>
      <c r="H31" s="62">
        <f t="shared" si="1"/>
        <v>-48605.257170000004</v>
      </c>
      <c r="J31" s="101"/>
      <c r="K31" s="101"/>
      <c r="L31" s="115"/>
    </row>
    <row r="32" spans="1:12" x14ac:dyDescent="0.2">
      <c r="A32" s="124">
        <f>'FERC Interest Rates'!A39</f>
        <v>42185</v>
      </c>
      <c r="B32" s="120">
        <v>1.9000000000000001E-4</v>
      </c>
      <c r="C32" s="114">
        <f>'Therm Sales'!N24</f>
        <v>41289749</v>
      </c>
      <c r="D32" s="101"/>
      <c r="E32" s="107">
        <f t="shared" si="4"/>
        <v>7845.05</v>
      </c>
      <c r="F32" s="112">
        <f t="shared" si="5"/>
        <v>-129.84</v>
      </c>
      <c r="H32" s="62">
        <f t="shared" si="1"/>
        <v>-40890.047170000005</v>
      </c>
      <c r="J32" s="101"/>
      <c r="K32" s="101"/>
      <c r="L32" s="115"/>
    </row>
    <row r="33" spans="1:12" x14ac:dyDescent="0.2">
      <c r="A33" s="124">
        <f>'FERC Interest Rates'!A40</f>
        <v>42216</v>
      </c>
      <c r="B33" s="120">
        <v>1.9000000000000001E-4</v>
      </c>
      <c r="C33" s="114">
        <f>'Therm Sales'!N25</f>
        <v>50011541</v>
      </c>
      <c r="D33" s="101"/>
      <c r="E33" s="107">
        <f t="shared" si="4"/>
        <v>9502.19</v>
      </c>
      <c r="F33" s="112">
        <f t="shared" si="5"/>
        <v>-112.87</v>
      </c>
      <c r="H33" s="62">
        <f t="shared" si="1"/>
        <v>-31500.727170000006</v>
      </c>
      <c r="J33" s="101"/>
      <c r="K33" s="101"/>
      <c r="L33" s="115"/>
    </row>
    <row r="34" spans="1:12" x14ac:dyDescent="0.2">
      <c r="A34" s="124">
        <f>'FERC Interest Rates'!A41</f>
        <v>42247</v>
      </c>
      <c r="B34" s="120">
        <v>1.9000000000000001E-4</v>
      </c>
      <c r="C34" s="114">
        <f>'Therm Sales'!N26</f>
        <v>50921171</v>
      </c>
      <c r="D34" s="101"/>
      <c r="E34" s="107">
        <f t="shared" si="4"/>
        <v>9675.02</v>
      </c>
      <c r="F34" s="112">
        <f t="shared" si="5"/>
        <v>-86.95</v>
      </c>
      <c r="H34" s="62">
        <f t="shared" si="1"/>
        <v>-21912.657170000006</v>
      </c>
      <c r="J34" s="101"/>
      <c r="K34" s="101"/>
      <c r="L34" s="115"/>
    </row>
    <row r="35" spans="1:12" x14ac:dyDescent="0.2">
      <c r="A35" s="124">
        <f>'FERC Interest Rates'!A42</f>
        <v>42277</v>
      </c>
      <c r="B35" s="120">
        <v>6.0000000000000002E-5</v>
      </c>
      <c r="C35" s="114">
        <f>'Therm Sales'!N27</f>
        <v>50517461</v>
      </c>
      <c r="D35" s="101"/>
      <c r="E35" s="107">
        <f t="shared" si="4"/>
        <v>3031.05</v>
      </c>
      <c r="F35" s="112">
        <f>ROUND(H34*VLOOKUP(A35,FERCINT15,2)/365*VLOOKUP(A35,FERCINT15,3),2)</f>
        <v>-58.53</v>
      </c>
      <c r="H35" s="62">
        <f>H34+SUM(D35:G35)</f>
        <v>-18940.137170000005</v>
      </c>
      <c r="J35" s="101"/>
      <c r="K35" s="101"/>
      <c r="L35" s="115"/>
    </row>
    <row r="36" spans="1:12" x14ac:dyDescent="0.2">
      <c r="A36" s="124">
        <f>'FERC Interest Rates'!A43</f>
        <v>42308</v>
      </c>
      <c r="B36" s="120">
        <v>6.0000000000000002E-5</v>
      </c>
      <c r="C36" s="114">
        <f>'Therm Sales'!N28</f>
        <v>54464985</v>
      </c>
      <c r="D36" s="101"/>
      <c r="E36" s="107">
        <f t="shared" si="4"/>
        <v>3267.9</v>
      </c>
      <c r="F36" s="112">
        <f t="shared" si="5"/>
        <v>-52.28</v>
      </c>
      <c r="H36" s="62">
        <f t="shared" si="1"/>
        <v>-15724.517170000006</v>
      </c>
      <c r="J36" s="101"/>
      <c r="K36" s="101"/>
      <c r="L36" s="115"/>
    </row>
    <row r="37" spans="1:12" x14ac:dyDescent="0.2">
      <c r="A37" s="124">
        <f>'FERC Interest Rates'!A44</f>
        <v>42338</v>
      </c>
      <c r="B37" s="120">
        <v>6.0000000000000002E-5</v>
      </c>
      <c r="C37" s="114">
        <f>'Therm Sales'!N29</f>
        <v>54726691</v>
      </c>
      <c r="D37" s="101"/>
      <c r="E37" s="107">
        <f t="shared" ref="E37:E42" si="6">ROUND(C37*B37,2)</f>
        <v>3283.6</v>
      </c>
      <c r="F37" s="112">
        <f t="shared" ref="F37:F38" si="7">ROUND(H36*VLOOKUP(A37,FERCINT15,2)/365*VLOOKUP(A37,FERCINT15,3),2)</f>
        <v>-42</v>
      </c>
      <c r="G37" s="101"/>
      <c r="H37" s="107">
        <f t="shared" ref="H37:H42" si="8">H36+SUM(D37:G37)</f>
        <v>-12482.917170000006</v>
      </c>
      <c r="I37" s="101"/>
      <c r="J37" s="101"/>
      <c r="K37" s="101"/>
      <c r="L37" s="115"/>
    </row>
    <row r="38" spans="1:12" x14ac:dyDescent="0.2">
      <c r="A38" s="124">
        <f>'FERC Interest Rates'!A45</f>
        <v>42369</v>
      </c>
      <c r="B38" s="120">
        <v>6.0000000000000002E-5</v>
      </c>
      <c r="C38" s="114">
        <f>'Therm Sales'!N30</f>
        <v>52456518</v>
      </c>
      <c r="D38" s="101"/>
      <c r="E38" s="107">
        <f t="shared" si="6"/>
        <v>3147.39</v>
      </c>
      <c r="F38" s="112">
        <f t="shared" si="7"/>
        <v>-34.46</v>
      </c>
      <c r="G38" s="101"/>
      <c r="H38" s="107">
        <f t="shared" si="8"/>
        <v>-9369.9871700000058</v>
      </c>
      <c r="I38" s="101"/>
      <c r="J38" s="101"/>
      <c r="K38" s="101"/>
      <c r="L38" s="115"/>
    </row>
    <row r="39" spans="1:12" x14ac:dyDescent="0.2">
      <c r="A39" s="124">
        <f>'FERC Interest Rates'!A46</f>
        <v>42400</v>
      </c>
      <c r="B39" s="120">
        <v>6.0000000000000002E-5</v>
      </c>
      <c r="C39" s="114">
        <f>'Therm Sales'!N31</f>
        <v>54326594</v>
      </c>
      <c r="D39" s="101"/>
      <c r="E39" s="107">
        <f t="shared" si="6"/>
        <v>3259.6</v>
      </c>
      <c r="F39" s="112">
        <f t="shared" ref="F39:F42" si="9">ROUND(H38*VLOOKUP(A39,FERCINT16,2)/365*VLOOKUP(A39,FERCINT16,3),2)</f>
        <v>-25.86</v>
      </c>
      <c r="G39" s="101"/>
      <c r="H39" s="107">
        <f t="shared" si="8"/>
        <v>-6136.247170000006</v>
      </c>
      <c r="I39" s="101"/>
      <c r="J39" s="101"/>
      <c r="K39" s="101"/>
      <c r="L39" s="115"/>
    </row>
    <row r="40" spans="1:12" x14ac:dyDescent="0.2">
      <c r="A40" s="124">
        <f>'FERC Interest Rates'!A47</f>
        <v>42429</v>
      </c>
      <c r="B40" s="120">
        <v>6.0000000000000002E-5</v>
      </c>
      <c r="C40" s="114">
        <f>'Therm Sales'!N32</f>
        <v>46533795</v>
      </c>
      <c r="D40" s="101"/>
      <c r="E40" s="107">
        <f t="shared" si="6"/>
        <v>2792.03</v>
      </c>
      <c r="F40" s="112">
        <f t="shared" si="9"/>
        <v>-15.84</v>
      </c>
      <c r="G40" s="101"/>
      <c r="H40" s="107">
        <f t="shared" si="8"/>
        <v>-3360.057170000006</v>
      </c>
      <c r="I40" s="101"/>
      <c r="J40" s="101"/>
      <c r="K40" s="101"/>
      <c r="L40" s="115"/>
    </row>
    <row r="41" spans="1:12" x14ac:dyDescent="0.2">
      <c r="A41" s="124">
        <f>'FERC Interest Rates'!A48</f>
        <v>42460</v>
      </c>
      <c r="B41" s="120">
        <v>6.0000000000000002E-5</v>
      </c>
      <c r="C41" s="114">
        <f>'Therm Sales'!N33</f>
        <v>30865837</v>
      </c>
      <c r="D41" s="101"/>
      <c r="E41" s="107">
        <f t="shared" si="6"/>
        <v>1851.95</v>
      </c>
      <c r="F41" s="112">
        <f t="shared" si="9"/>
        <v>-9.27</v>
      </c>
      <c r="G41" s="101"/>
      <c r="H41" s="107">
        <f t="shared" si="8"/>
        <v>-1517.3771700000059</v>
      </c>
      <c r="I41" s="101"/>
      <c r="J41" s="101"/>
      <c r="K41" s="101"/>
      <c r="L41" s="115"/>
    </row>
    <row r="42" spans="1:12" x14ac:dyDescent="0.2">
      <c r="A42" s="124">
        <f>'FERC Interest Rates'!A49</f>
        <v>42490</v>
      </c>
      <c r="B42" s="120">
        <v>6.0000000000000002E-5</v>
      </c>
      <c r="C42" s="114">
        <f>'Therm Sales'!N34</f>
        <v>28397293</v>
      </c>
      <c r="D42" s="101"/>
      <c r="E42" s="107">
        <f t="shared" si="6"/>
        <v>1703.84</v>
      </c>
      <c r="F42" s="112">
        <f t="shared" si="9"/>
        <v>-4.32</v>
      </c>
      <c r="G42" s="101"/>
      <c r="H42" s="107">
        <f t="shared" si="8"/>
        <v>182.14282999999409</v>
      </c>
      <c r="I42" s="101"/>
      <c r="J42" s="101"/>
      <c r="K42" s="101"/>
      <c r="L42" s="115"/>
    </row>
    <row r="43" spans="1:12" x14ac:dyDescent="0.2">
      <c r="A43" s="124"/>
      <c r="B43" s="120"/>
      <c r="C43" s="114"/>
      <c r="D43" s="101"/>
      <c r="E43" s="107"/>
      <c r="F43" s="112"/>
      <c r="G43" s="101"/>
      <c r="H43" s="107"/>
      <c r="I43" s="101"/>
      <c r="J43" s="101"/>
      <c r="K43" s="101"/>
      <c r="L43" s="115"/>
    </row>
    <row r="44" spans="1:12" x14ac:dyDescent="0.2">
      <c r="A44" s="124"/>
      <c r="B44" s="120"/>
      <c r="C44" s="114"/>
      <c r="D44" s="101"/>
      <c r="E44" s="107"/>
      <c r="F44" s="112"/>
      <c r="G44" s="101"/>
      <c r="H44" s="107"/>
      <c r="I44" s="101"/>
      <c r="J44" s="101"/>
      <c r="K44" s="101"/>
      <c r="L44" s="115"/>
    </row>
    <row r="45" spans="1:12" x14ac:dyDescent="0.2">
      <c r="A45" s="124"/>
      <c r="B45" s="120"/>
      <c r="C45" s="114"/>
      <c r="D45" s="101"/>
      <c r="E45" s="107"/>
      <c r="F45" s="112"/>
      <c r="G45" s="101"/>
      <c r="H45" s="107"/>
      <c r="I45" s="101"/>
      <c r="J45" s="101"/>
      <c r="K45" s="101"/>
      <c r="L45" s="115"/>
    </row>
    <row r="46" spans="1:12" x14ac:dyDescent="0.2">
      <c r="A46" s="124"/>
      <c r="B46" s="120"/>
      <c r="C46" s="114"/>
      <c r="D46" s="101"/>
      <c r="E46" s="107"/>
      <c r="F46" s="112"/>
      <c r="G46" s="101"/>
      <c r="H46" s="107"/>
      <c r="I46" s="101"/>
      <c r="J46" s="101"/>
      <c r="K46" s="101"/>
      <c r="L46" s="115"/>
    </row>
    <row r="47" spans="1:12" x14ac:dyDescent="0.2">
      <c r="A47" s="124"/>
      <c r="B47" s="120"/>
      <c r="C47" s="114"/>
      <c r="D47" s="101"/>
      <c r="E47" s="107"/>
      <c r="F47" s="112"/>
      <c r="G47" s="101"/>
      <c r="H47" s="107"/>
      <c r="I47" s="101"/>
      <c r="J47" s="101"/>
      <c r="K47" s="101"/>
      <c r="L47" s="115"/>
    </row>
    <row r="48" spans="1:12" x14ac:dyDescent="0.2">
      <c r="A48" s="124"/>
      <c r="B48" s="120"/>
      <c r="C48" s="114"/>
      <c r="D48" s="101"/>
      <c r="E48" s="107"/>
      <c r="F48" s="112"/>
      <c r="G48" s="101"/>
      <c r="H48" s="107"/>
      <c r="I48" s="101"/>
      <c r="J48" s="101"/>
      <c r="K48" s="101"/>
      <c r="L48" s="115"/>
    </row>
    <row r="49" spans="1:12" x14ac:dyDescent="0.2">
      <c r="A49" s="124"/>
      <c r="B49" s="120"/>
      <c r="C49" s="114"/>
      <c r="D49" s="101"/>
      <c r="E49" s="107"/>
      <c r="F49" s="112"/>
      <c r="G49" s="101"/>
      <c r="H49" s="107"/>
      <c r="I49" s="101"/>
      <c r="J49" s="101"/>
      <c r="K49" s="101"/>
      <c r="L49" s="115"/>
    </row>
    <row r="60" spans="1:12" x14ac:dyDescent="0.2">
      <c r="A60" s="1" t="s">
        <v>125</v>
      </c>
      <c r="E60" s="1" t="s">
        <v>127</v>
      </c>
      <c r="G60" s="1" t="s">
        <v>126</v>
      </c>
    </row>
  </sheetData>
  <mergeCells count="17">
    <mergeCell ref="A11:G11"/>
    <mergeCell ref="A24:F24"/>
    <mergeCell ref="A7:B7"/>
    <mergeCell ref="C7:H7"/>
    <mergeCell ref="D9:F9"/>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2265E98CC3DD04AB2D08077C62EAB4B" ma:contentTypeVersion="104" ma:contentTypeDescription="" ma:contentTypeScope="" ma:versionID="2bb10b6a1e26d6342f7f8305dcd9615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2016-05-13T07:00:00+00:00</OpenedDate>
    <Date1 xmlns="dc463f71-b30c-4ab2-9473-d307f9d35888">2016-05-13T07:00:00+00:00</Date1>
    <IsDocumentOrder xmlns="dc463f71-b30c-4ab2-9473-d307f9d35888" xsi:nil="true"/>
    <IsHighlyConfidential xmlns="dc463f71-b30c-4ab2-9473-d307f9d35888">false</IsHighlyConfidential>
    <CaseCompanyNames xmlns="dc463f71-b30c-4ab2-9473-d307f9d35888">Cascade Natural Gas Corporation</CaseCompanyNames>
    <DocketNumber xmlns="dc463f71-b30c-4ab2-9473-d307f9d35888">160498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665D5F44-FCBF-44C9-9418-705D5C3D8A17}"/>
</file>

<file path=customXml/itemProps2.xml><?xml version="1.0" encoding="utf-8"?>
<ds:datastoreItem xmlns:ds="http://schemas.openxmlformats.org/officeDocument/2006/customXml" ds:itemID="{DCB60A76-CC78-4FA8-8DE4-0D1D35EFAF54}"/>
</file>

<file path=customXml/itemProps3.xml><?xml version="1.0" encoding="utf-8"?>
<ds:datastoreItem xmlns:ds="http://schemas.openxmlformats.org/officeDocument/2006/customXml" ds:itemID="{C9B80EF5-1372-4B7F-812B-D453664BF64D}"/>
</file>

<file path=customXml/itemProps4.xml><?xml version="1.0" encoding="utf-8"?>
<ds:datastoreItem xmlns:ds="http://schemas.openxmlformats.org/officeDocument/2006/customXml" ds:itemID="{9D2F29DB-4301-4BDD-8A31-88EA29096A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DG 01253</vt:lpstr>
      <vt:lpstr>DG 01254</vt:lpstr>
      <vt:lpstr>DG 01284</vt:lpstr>
      <vt:lpstr>WA PGA Deferrals</vt:lpstr>
      <vt:lpstr>RA 20430</vt:lpstr>
      <vt:lpstr>RA 20431</vt:lpstr>
      <vt:lpstr>RA 20444</vt:lpstr>
      <vt:lpstr>RA 20449</vt:lpstr>
      <vt:lpstr>RA 20458N</vt:lpstr>
      <vt:lpstr>RA 20470</vt:lpstr>
      <vt:lpstr>RA 1862.20475</vt:lpstr>
      <vt:lpstr>FERC Interest Rates</vt:lpstr>
      <vt:lpstr>Therm Sales</vt:lpstr>
      <vt:lpstr>FERCINT13</vt:lpstr>
      <vt:lpstr>FERCINT14</vt:lpstr>
      <vt:lpstr>FERCINT15</vt:lpstr>
      <vt:lpstr>FERCINT16</vt:lpstr>
      <vt:lpstr>'DG 01253'!Print_Area</vt:lpstr>
      <vt:lpstr>'DG 01254'!Print_Area</vt:lpstr>
      <vt:lpstr>'DG 01284'!Print_Area</vt:lpstr>
      <vt:lpstr>'FERC Interest Rates'!Print_Area</vt:lpstr>
      <vt:lpstr>'RA 1862.20475'!Print_Area</vt:lpstr>
      <vt:lpstr>'RA 20430'!Print_Area</vt:lpstr>
      <vt:lpstr>'RA 20431'!Print_Area</vt:lpstr>
      <vt:lpstr>'RA 20444'!Print_Area</vt:lpstr>
      <vt:lpstr>'RA 20449'!Print_Area</vt:lpstr>
      <vt:lpstr>'RA 20458N'!Print_Area</vt:lpstr>
      <vt:lpstr>'RA 20470'!Print_Area</vt:lpstr>
      <vt:lpstr>'Therm Sales'!Print_Area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Cascade Natural Gas</cp:lastModifiedBy>
  <cp:lastPrinted>2016-05-12T16:34:51Z</cp:lastPrinted>
  <dcterms:created xsi:type="dcterms:W3CDTF">1998-11-07T00:14:43Z</dcterms:created>
  <dcterms:modified xsi:type="dcterms:W3CDTF">2016-05-13T15:25:20Z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0x0101006E56B4D1795A2E4DB2F0B01679ED314A0012265E98CC3DD04AB2D08077C62EAB4B</vt:lpwstr>
  </property>
  <property fmtid="{D5CDD505-2E9C-101B-9397-08002B2CF9AE}" pid="3" name="_docset_NoMedatataSyncRequired">
    <vt:lpwstr>False</vt:lpwstr>
  </property>
</Properties>
</file>