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6.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75" yWindow="615" windowWidth="16815" windowHeight="11130" tabRatio="833"/>
  </bookViews>
  <sheets>
    <sheet name="DG 01253" sheetId="230" r:id="rId1"/>
    <sheet name="DG 01254" sheetId="231" r:id="rId2"/>
    <sheet name="DG 01284" sheetId="279" r:id="rId3"/>
    <sheet name="WA PGA Deferrals" sheetId="280" r:id="rId4"/>
    <sheet name="RA 20430" sheetId="200" r:id="rId5"/>
    <sheet name="RA 20431" sheetId="201" r:id="rId6"/>
    <sheet name="RA 20444" sheetId="164" r:id="rId7"/>
    <sheet name="RA 20449" sheetId="224" r:id="rId8"/>
    <sheet name="RA 20458N" sheetId="258" r:id="rId9"/>
    <sheet name="RA 20470" sheetId="264" r:id="rId10"/>
    <sheet name="RA 1862.20472" sheetId="277"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01253'!$A$1:$H$38</definedName>
    <definedName name="_xlnm.Print_Area" localSheetId="1">'DG 01254'!$A$1:$H$38</definedName>
    <definedName name="_xlnm.Print_Area" localSheetId="2">'DG 01284'!$A$1:$H$19</definedName>
    <definedName name="_xlnm.Print_Area" localSheetId="11">'FERC Interest Rates'!$A$1:$D$57</definedName>
    <definedName name="_xlnm.Print_Area" localSheetId="10">'RA 1862.20472'!$A$1:$H$30</definedName>
    <definedName name="_xlnm.Print_Area" localSheetId="4">'RA 20430'!$A$1:$H$37</definedName>
    <definedName name="_xlnm.Print_Area" localSheetId="5">'RA 20431'!$A$1:$H$37</definedName>
    <definedName name="_xlnm.Print_Area" localSheetId="6">'RA 20444'!$A$1:$H$37</definedName>
    <definedName name="_xlnm.Print_Area" localSheetId="7">'RA 20449'!$A$1:$H$37</definedName>
    <definedName name="_xlnm.Print_Area" localSheetId="8">'RA 20458N'!$A$1:$H$37</definedName>
    <definedName name="_xlnm.Print_Area" localSheetId="9">'RA 20470'!$A$1:$H$37</definedName>
    <definedName name="_xlnm.Print_Area" localSheetId="12">'Therm Sales'!$A$1:$P$29</definedName>
  </definedNames>
  <calcPr calcId="145621"/>
</workbook>
</file>

<file path=xl/calcChain.xml><?xml version="1.0" encoding="utf-8"?>
<calcChain xmlns="http://schemas.openxmlformats.org/spreadsheetml/2006/main">
  <c r="E11" i="280" l="1"/>
  <c r="D11" i="280"/>
  <c r="G11" i="280" s="1"/>
  <c r="F9" i="280"/>
  <c r="F10" i="280" s="1"/>
  <c r="E9" i="280"/>
  <c r="E10" i="280" s="1"/>
  <c r="E12" i="280" s="1"/>
  <c r="D9" i="280"/>
  <c r="G9" i="280" s="1"/>
  <c r="G8" i="280"/>
  <c r="G10" i="280" s="1"/>
  <c r="G12" i="280" s="1"/>
  <c r="G15" i="280" s="1"/>
  <c r="B2" i="280"/>
  <c r="F15" i="280" l="1"/>
  <c r="F21" i="280" s="1"/>
  <c r="F12" i="280"/>
  <c r="E15" i="280"/>
  <c r="E21" i="280" s="1"/>
  <c r="D10" i="280"/>
  <c r="D15" i="280" l="1"/>
  <c r="D21" i="280" s="1"/>
  <c r="G21" i="280" s="1"/>
  <c r="D12" i="280"/>
  <c r="P29" i="3" l="1"/>
  <c r="M29" i="3"/>
  <c r="J29" i="3"/>
  <c r="G29" i="3"/>
  <c r="F29" i="3"/>
  <c r="M28" i="3" l="1"/>
  <c r="P28" i="3"/>
  <c r="J28" i="3"/>
  <c r="G28" i="3"/>
  <c r="F28" i="3"/>
  <c r="C28" i="3"/>
  <c r="D28" i="3"/>
  <c r="M27" i="3" l="1"/>
  <c r="P27" i="3"/>
  <c r="J27" i="3"/>
  <c r="G27" i="3" l="1"/>
  <c r="C27" i="3"/>
  <c r="D27" i="3"/>
  <c r="F27" i="3"/>
  <c r="A31" i="3" l="1"/>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H35" i="3"/>
  <c r="E35" i="3"/>
  <c r="A35" i="3"/>
  <c r="N34" i="3"/>
  <c r="H34" i="3"/>
  <c r="E34" i="3"/>
  <c r="I34" i="3" s="1"/>
  <c r="K34" i="3" s="1"/>
  <c r="O34" i="3" s="1"/>
  <c r="A34" i="3"/>
  <c r="N33" i="3"/>
  <c r="H33" i="3"/>
  <c r="E33" i="3"/>
  <c r="N32" i="3"/>
  <c r="H32" i="3"/>
  <c r="E32" i="3"/>
  <c r="A32" i="3"/>
  <c r="N31" i="3"/>
  <c r="H31" i="3"/>
  <c r="E31" i="3"/>
  <c r="N30" i="3"/>
  <c r="H30" i="3"/>
  <c r="E30" i="3"/>
  <c r="A30" i="3"/>
  <c r="N29" i="3"/>
  <c r="H29" i="3"/>
  <c r="E29" i="3"/>
  <c r="A29" i="3"/>
  <c r="A33" i="3" l="1"/>
  <c r="I35" i="3"/>
  <c r="K35" i="3" s="1"/>
  <c r="O35" i="3" s="1"/>
  <c r="I31" i="3"/>
  <c r="K31" i="3" s="1"/>
  <c r="O31" i="3" s="1"/>
  <c r="I33" i="3"/>
  <c r="K33" i="3" s="1"/>
  <c r="O33" i="3" s="1"/>
  <c r="I37" i="3"/>
  <c r="K37" i="3" s="1"/>
  <c r="O37" i="3" s="1"/>
  <c r="I32" i="3"/>
  <c r="K32" i="3" s="1"/>
  <c r="O32" i="3" s="1"/>
  <c r="I30" i="3"/>
  <c r="K30" i="3" s="1"/>
  <c r="O30" i="3" s="1"/>
  <c r="I29" i="3"/>
  <c r="K29" i="3" l="1"/>
  <c r="O29" i="3" s="1"/>
  <c r="P26" i="3" l="1"/>
  <c r="M26" i="3"/>
  <c r="J26" i="3"/>
  <c r="G26" i="3"/>
  <c r="F26" i="3"/>
  <c r="M25" i="3" l="1"/>
  <c r="P25" i="3"/>
  <c r="J25" i="3"/>
  <c r="G25" i="3"/>
  <c r="F25" i="3"/>
  <c r="N25" i="3" l="1"/>
  <c r="P24" i="3" l="1"/>
  <c r="M24" i="3"/>
  <c r="J24" i="3"/>
  <c r="G24" i="3"/>
  <c r="F24" i="3"/>
  <c r="P23" i="3" l="1"/>
  <c r="M23" i="3"/>
  <c r="J23" i="3"/>
  <c r="G23" i="3"/>
  <c r="F23" i="3"/>
  <c r="P22" i="3" l="1"/>
  <c r="M22" i="3"/>
  <c r="J22" i="3"/>
  <c r="G22" i="3"/>
  <c r="F22" i="3"/>
  <c r="M21" i="3" l="1"/>
  <c r="P21" i="3"/>
  <c r="J21" i="3"/>
  <c r="G21" i="3"/>
  <c r="F21" i="3"/>
  <c r="P20" i="3" l="1"/>
  <c r="M20" i="3"/>
  <c r="J20" i="3"/>
  <c r="G20" i="3"/>
  <c r="P19" i="3" l="1"/>
  <c r="M19" i="3"/>
  <c r="J19" i="3"/>
  <c r="G19" i="3"/>
  <c r="F19" i="3"/>
  <c r="M18" i="3" l="1"/>
  <c r="P18" i="3"/>
  <c r="J18" i="3"/>
  <c r="G18" i="3"/>
  <c r="F18" i="3"/>
  <c r="P17" i="3" l="1"/>
  <c r="M17" i="3"/>
  <c r="J17" i="3"/>
  <c r="G17" i="3"/>
  <c r="F17" i="3"/>
  <c r="H19" i="3" l="1"/>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I27" i="3" l="1"/>
  <c r="I26" i="3"/>
  <c r="K26" i="3" s="1"/>
  <c r="O26" i="3" s="1"/>
  <c r="I28" i="3"/>
  <c r="I25" i="3"/>
  <c r="I24" i="3"/>
  <c r="I23" i="3"/>
  <c r="I22" i="3"/>
  <c r="I21" i="3"/>
  <c r="K21" i="3" s="1"/>
  <c r="O21" i="3" s="1"/>
  <c r="I20" i="3"/>
  <c r="K20" i="3" s="1"/>
  <c r="O20" i="3" s="1"/>
  <c r="I19" i="3"/>
  <c r="K27" i="3" l="1"/>
  <c r="O27" i="3" s="1"/>
  <c r="K28" i="3"/>
  <c r="O28" i="3" s="1"/>
  <c r="O25" i="3"/>
  <c r="K25" i="3"/>
  <c r="K23" i="3"/>
  <c r="O23" i="3" s="1"/>
  <c r="K24" i="3"/>
  <c r="O24" i="3" s="1"/>
  <c r="K22" i="3"/>
  <c r="O22" i="3" s="1"/>
  <c r="K19" i="3"/>
  <c r="O19" i="3" s="1"/>
  <c r="A7" i="3"/>
  <c r="A17" i="3"/>
  <c r="A18" i="3"/>
  <c r="J16" i="3"/>
  <c r="N16" i="3" s="1"/>
  <c r="M16" i="3"/>
  <c r="P16" i="3"/>
  <c r="G16" i="3"/>
  <c r="F16" i="3"/>
  <c r="H16" i="3" s="1"/>
  <c r="P15" i="3"/>
  <c r="M15" i="3"/>
  <c r="J15" i="3"/>
  <c r="G15" i="3"/>
  <c r="F15" i="3"/>
  <c r="M14" i="3"/>
  <c r="N14" i="3" s="1"/>
  <c r="P14" i="3"/>
  <c r="J14" i="3"/>
  <c r="G14" i="3"/>
  <c r="F14" i="3"/>
  <c r="M13" i="3"/>
  <c r="P13" i="3"/>
  <c r="J13" i="3"/>
  <c r="G13" i="3"/>
  <c r="F13" i="3"/>
  <c r="P12" i="3"/>
  <c r="M12" i="3"/>
  <c r="J12" i="3"/>
  <c r="G12" i="3"/>
  <c r="F12" i="3"/>
  <c r="M11" i="3"/>
  <c r="P11" i="3"/>
  <c r="J11" i="3"/>
  <c r="G11" i="3"/>
  <c r="H11" i="3" s="1"/>
  <c r="F11" i="3"/>
  <c r="J10" i="3"/>
  <c r="N10" i="3" s="1"/>
  <c r="M10" i="3"/>
  <c r="P10" i="3"/>
  <c r="G10" i="3"/>
  <c r="F10" i="3"/>
  <c r="P9" i="3"/>
  <c r="M9" i="3"/>
  <c r="J9" i="3"/>
  <c r="G9" i="3"/>
  <c r="F9" i="3"/>
  <c r="P8" i="3"/>
  <c r="M8" i="3"/>
  <c r="J8" i="3"/>
  <c r="G8" i="3"/>
  <c r="F8" i="3"/>
  <c r="M7" i="3"/>
  <c r="P7" i="3"/>
  <c r="J7" i="3"/>
  <c r="G7" i="3"/>
  <c r="F7" i="3"/>
  <c r="M6" i="3"/>
  <c r="P6" i="3"/>
  <c r="J6" i="3"/>
  <c r="G6" i="3"/>
  <c r="F6" i="3"/>
  <c r="P5" i="3"/>
  <c r="M5" i="3"/>
  <c r="J5" i="3"/>
  <c r="G5" i="3"/>
  <c r="F5" i="3"/>
  <c r="H5" i="3" s="1"/>
  <c r="A16" i="3"/>
  <c r="A15" i="3"/>
  <c r="A14" i="3"/>
  <c r="A13" i="3"/>
  <c r="A12" i="3"/>
  <c r="A11" i="3"/>
  <c r="A10" i="3"/>
  <c r="A9" i="3"/>
  <c r="A8" i="3"/>
  <c r="N15" i="3"/>
  <c r="N17" i="3"/>
  <c r="N18" i="3"/>
  <c r="H17" i="3"/>
  <c r="H18" i="3"/>
  <c r="E7" i="3"/>
  <c r="E8" i="3"/>
  <c r="E9" i="3"/>
  <c r="E10" i="3"/>
  <c r="E11" i="3"/>
  <c r="E12" i="3"/>
  <c r="E13" i="3"/>
  <c r="E14" i="3"/>
  <c r="E15" i="3"/>
  <c r="E16" i="3"/>
  <c r="E17" i="3"/>
  <c r="E18" i="3"/>
  <c r="I18" i="3" s="1"/>
  <c r="A6" i="3"/>
  <c r="H6" i="3"/>
  <c r="E6" i="3"/>
  <c r="E5" i="3"/>
  <c r="B11" i="132"/>
  <c r="A5" i="3"/>
  <c r="B12" i="132" l="1"/>
  <c r="B13" i="132" s="1"/>
  <c r="B14" i="132" s="1"/>
  <c r="B15" i="132" s="1"/>
  <c r="H15" i="3"/>
  <c r="I16" i="3"/>
  <c r="N11" i="3"/>
  <c r="N13" i="3"/>
  <c r="H7" i="3"/>
  <c r="I7" i="3" s="1"/>
  <c r="H10" i="3"/>
  <c r="I10" i="3" s="1"/>
  <c r="K18" i="3"/>
  <c r="O18" i="3" s="1"/>
  <c r="I17" i="3"/>
  <c r="K17" i="3" s="1"/>
  <c r="O17" i="3" s="1"/>
  <c r="I11" i="3"/>
  <c r="H12" i="3"/>
  <c r="I5" i="3"/>
  <c r="K5" i="3" s="1"/>
  <c r="O5" i="3" s="1"/>
  <c r="N7" i="3"/>
  <c r="I6" i="3"/>
  <c r="H8" i="3"/>
  <c r="I8" i="3" s="1"/>
  <c r="I12" i="3"/>
  <c r="H14" i="3"/>
  <c r="I14" i="3" s="1"/>
  <c r="K14" i="3" s="1"/>
  <c r="O14" i="3" s="1"/>
  <c r="N5" i="3"/>
  <c r="H9" i="3"/>
  <c r="I9" i="3" s="1"/>
  <c r="N12" i="3"/>
  <c r="H13" i="3"/>
  <c r="I13" i="3" s="1"/>
  <c r="K16" i="3"/>
  <c r="O16" i="3" s="1"/>
  <c r="N6" i="3"/>
  <c r="K11" i="3"/>
  <c r="O11" i="3" s="1"/>
  <c r="I15" i="3"/>
  <c r="N8" i="3"/>
  <c r="N9" i="3"/>
  <c r="K7" i="3" l="1"/>
  <c r="O7" i="3" s="1"/>
  <c r="B16" i="132"/>
  <c r="B17" i="132" s="1"/>
  <c r="B18" i="132" s="1"/>
  <c r="K10" i="3"/>
  <c r="O10" i="3" s="1"/>
  <c r="K12" i="3"/>
  <c r="O12" i="3" s="1"/>
  <c r="K9" i="3"/>
  <c r="O9" i="3" s="1"/>
  <c r="K6" i="3"/>
  <c r="O6" i="3" s="1"/>
  <c r="K13" i="3"/>
  <c r="O13" i="3" s="1"/>
  <c r="K8" i="3"/>
  <c r="O8" i="3" s="1"/>
  <c r="K15" i="3"/>
  <c r="O15" i="3" s="1"/>
  <c r="B19" i="132" l="1"/>
  <c r="B20" i="132" s="1"/>
  <c r="B21" i="132" s="1"/>
  <c r="B22" i="132" l="1"/>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s="1"/>
  <c r="B44" i="132" s="1"/>
  <c r="B45" i="132" s="1"/>
  <c r="B46" i="132" s="1"/>
  <c r="B47" i="132" s="1"/>
  <c r="B48" i="132" s="1"/>
  <c r="B49" i="132" s="1"/>
  <c r="B50" i="132" s="1"/>
  <c r="B51" i="132" s="1"/>
  <c r="B52" i="132" s="1"/>
  <c r="B53" i="132" s="1"/>
  <c r="B54" i="132" s="1"/>
  <c r="B55" i="132" s="1"/>
  <c r="B56" i="132" s="1"/>
  <c r="B57" i="132" s="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E14" author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F21" authorId="1">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<sst xmlns="http://schemas.openxmlformats.org/spreadsheetml/2006/main" count="353" uniqueCount="120">
  <si>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</si>
  <si>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</si>
  <si>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</si>
  <si>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</si>
  <si>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</si>
  <si>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</si>
  <si>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</si>
  <si>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</si>
  <si>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</si>
  <si>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</si>
  <si>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</si>
  <si>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</si>
  <si>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</si>
  <si>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</si>
  <si>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</si>
  <si>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</si>
  <si>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</si>
  <si>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</si>
  <si>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</si>
  <si>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</si>
  <si>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</si>
  <si>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</si>
  <si>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</si>
  <si>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</si>
  <si>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</si>
  <si>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</si>
  <si>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</si>
  <si>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</si>
  <si>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</si>
  <si>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</si>
  <si>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</si>
  <si>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</si>
  <si>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</si>
  <si>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</si>
  <si>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</si>
  <si>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</si>
  <si>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</si>
  <si>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</si>
  <si>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</si>
  <si>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</si>
  <si>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</si>
  <si>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</si>
  <si>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</si>
  <si>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</si>
  <si>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</si>
  <si>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</si>
  <si>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</si>
  <si>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</si>
  <si>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</si>
  <si>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</si>
  <si>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</si>
  <si>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</si>
  <si>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</si>
  <si>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</si>
  <si>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</si>
  <si>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</si>
  <si>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</si>
  <si>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</si>
  <si>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</si>
  <si>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</si>
  <si>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</si>
  <si>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</si>
  <si>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</si>
  <si>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</si>
  <si>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</si>
  <si>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</si>
  <si>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</si>
  <si>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</si>
  <si>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</si>
  <si>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</si>
  <si>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</si>
  <si>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</si>
  <si>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</si>
  <si>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</si>
  <si>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</si>
  <si>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</si>
  <si>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</si>
  <si>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</si>
  <si>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</si>
  <si>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</si>
  <si>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</si>
  <si>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</si>
  <si>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</si>
  <si>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</si>
  <si>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</si>
  <si>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11/01/2014 - 10/31/2015</t>
  </si>
  <si>
    <t>Balance forward 10/31/2013</t>
  </si>
  <si>
    <t>Balance transferred from DG01241</t>
  </si>
  <si>
    <t>11/1/2014 through 10/31/2015</t>
  </si>
  <si>
    <t>11/01/2014 through 10/31/2015</t>
  </si>
  <si>
    <t>SOURCE(S):  CA1501 &amp; CA1501A</t>
  </si>
  <si>
    <t>FERCINT15</t>
  </si>
  <si>
    <t>Balance transferred to RA20472</t>
  </si>
  <si>
    <t>47WA.1862.20472</t>
  </si>
  <si>
    <t>11/01/2014 WA Consolidated Technical Adjustments - Conservation</t>
  </si>
  <si>
    <t>Consolidation of Core Conservation deferral balances per the 11/1/2014 tracker filing</t>
  </si>
  <si>
    <t>Balance transferred from RA20470</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</si>
  <si>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</si>
  <si>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</si>
  <si>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</si>
  <si>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</si>
  <si>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</si>
  <si>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</si>
  <si>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</si>
  <si>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</si>
  <si>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Washington Deferrals</t>
  </si>
  <si>
    <t>Month of</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</si>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</sst>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6" formatCode="#,##0.00000_);\(#,##0.00000\)"/>
    <numFmt numFmtId="168" formatCode="_(* #,##0.00000_);_(* \(#,##0.00000\);_(* &quot;-&quot;??_);_(@_)"/>
    <numFmt numFmtId="169" formatCode="_(* #,##0_);_(* \(#,##0\);_(* &quot;-&quot;??_);_(@_)"/>
    <numFmt numFmtId="171" formatCode="[$-409]mmm\-yy;@"/>
  </numFmts>
  <fonts count="28"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b/>
      <sz val="12"/>
      <name val="Times New Roman"/>
      <family val="1"/>
    </font>
    <font>
      <u/>
      <sz val="12"/>
      <name val="Times New Roman"/>
      <family val="1"/>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8">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43">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Font="1" applyBorder="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21" fillId="0" borderId="0" xfId="0" applyFont="1"/>
    <xf numFmtId="39" fontId="22" fillId="0" borderId="15" xfId="0" applyNumberFormat="1" applyFont="1" applyBorder="1" applyAlignment="1" applyProtection="1">
      <alignment horizontal="center" wrapText="1"/>
    </xf>
    <xf numFmtId="169" fontId="21" fillId="0" borderId="0" xfId="1" applyNumberFormat="1" applyFont="1" applyAlignment="1">
      <alignment horizontal="center"/>
    </xf>
    <xf numFmtId="169"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9"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71"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9" fontId="12" fillId="0" borderId="0" xfId="1" applyNumberFormat="1" applyFont="1"/>
    <xf numFmtId="0" fontId="16" fillId="0" borderId="0" xfId="9" applyFont="1"/>
    <xf numFmtId="39" fontId="12" fillId="0" borderId="0" xfId="9" applyNumberFormat="1" applyFont="1" applyAlignment="1" applyProtection="1">
      <alignment horizontal="fill"/>
    </xf>
    <xf numFmtId="169"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6" fontId="12" fillId="0" borderId="0" xfId="0" applyNumberFormat="1" applyFont="1"/>
    <xf numFmtId="39" fontId="12" fillId="0" borderId="0" xfId="0" applyFont="1" applyBorder="1"/>
    <xf numFmtId="166"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71"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3" fillId="0" borderId="1" xfId="0" applyNumberFormat="1" applyFont="1" applyBorder="1" applyAlignment="1" applyProtection="1">
      <alignment horizontal="center" wrapText="1"/>
    </xf>
    <xf numFmtId="43" fontId="16" fillId="0" borderId="0" xfId="1" applyFont="1"/>
    <xf numFmtId="168" fontId="16" fillId="0" borderId="0" xfId="1" applyNumberFormat="1" applyFont="1"/>
    <xf numFmtId="169" fontId="12" fillId="0" borderId="0" xfId="1"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6" fontId="12" fillId="0" borderId="0" xfId="0" applyNumberFormat="1" applyFont="1"/>
    <xf numFmtId="39" fontId="12" fillId="2" borderId="0" xfId="0" applyFont="1" applyFill="1"/>
    <xf numFmtId="169" fontId="12" fillId="0" borderId="0" xfId="1" applyNumberFormat="1" applyFont="1" applyBorder="1"/>
    <xf numFmtId="39" fontId="12" fillId="0" borderId="0" xfId="0" applyFont="1" applyBorder="1"/>
    <xf numFmtId="17" fontId="12" fillId="0" borderId="0" xfId="0" applyNumberFormat="1" applyFont="1" applyBorder="1"/>
    <xf numFmtId="169" fontId="16" fillId="0" borderId="0" xfId="1" applyNumberFormat="1" applyFont="1"/>
    <xf numFmtId="171" fontId="12" fillId="0" borderId="5" xfId="11" applyNumberFormat="1" applyFont="1" applyBorder="1" applyAlignment="1">
      <alignment horizontal="center" vertical="top"/>
    </xf>
    <xf numFmtId="171" fontId="12" fillId="0" borderId="7" xfId="11" applyNumberFormat="1" applyFont="1" applyBorder="1" applyAlignment="1">
      <alignment horizontal="center" vertical="top"/>
    </xf>
    <xf numFmtId="171"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9" fontId="14" fillId="0" borderId="1" xfId="1" applyNumberFormat="1" applyFont="1" applyBorder="1"/>
    <xf numFmtId="37" fontId="14" fillId="0" borderId="10" xfId="0" applyNumberFormat="1" applyFont="1" applyBorder="1"/>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9" fontId="19" fillId="0" borderId="0" xfId="0" applyFont="1" applyAlignment="1">
      <alignment horizontal="center"/>
    </xf>
    <xf numFmtId="39" fontId="2" fillId="0" borderId="0" xfId="0" applyFont="1" applyFill="1" applyAlignment="1"/>
    <xf numFmtId="39" fontId="2" fillId="0" borderId="0" xfId="0" applyFont="1" applyFill="1"/>
    <xf numFmtId="49" fontId="2" fillId="0" borderId="0" xfId="0" applyNumberFormat="1" applyFont="1" applyFill="1" applyBorder="1" applyAlignment="1">
      <alignment horizontal="left"/>
    </xf>
    <xf numFmtId="39" fontId="2" fillId="0" borderId="1" xfId="0" applyFont="1" applyFill="1" applyBorder="1" applyAlignment="1">
      <alignment horizontal="center"/>
    </xf>
    <xf numFmtId="39" fontId="2" fillId="0" borderId="17" xfId="0" applyFont="1" applyFill="1" applyBorder="1" applyAlignment="1">
      <alignment horizontal="center"/>
    </xf>
    <xf numFmtId="39" fontId="2" fillId="0" borderId="1" xfId="0" applyFont="1" applyFill="1" applyBorder="1" applyAlignment="1">
      <alignment horizontal="center"/>
    </xf>
    <xf numFmtId="39" fontId="2" fillId="0" borderId="0" xfId="0" applyFont="1" applyFill="1" applyAlignment="1">
      <alignment horizontal="left" indent="1"/>
    </xf>
    <xf numFmtId="44" fontId="2" fillId="0" borderId="1" xfId="6" applyFont="1" applyFill="1" applyBorder="1"/>
    <xf numFmtId="44" fontId="2" fillId="0" borderId="31" xfId="6" applyFont="1" applyFill="1" applyBorder="1"/>
    <xf numFmtId="44" fontId="2" fillId="0" borderId="30" xfId="6" applyFont="1" applyFill="1" applyBorder="1"/>
    <xf numFmtId="44" fontId="2" fillId="0" borderId="1" xfId="0" applyNumberFormat="1" applyFont="1" applyFill="1" applyBorder="1"/>
    <xf numFmtId="44" fontId="2" fillId="0" borderId="0" xfId="6" applyFont="1" applyFill="1"/>
    <xf numFmtId="44" fontId="2" fillId="0" borderId="32" xfId="6" applyFont="1" applyFill="1" applyBorder="1"/>
    <xf numFmtId="44" fontId="2" fillId="0" borderId="3" xfId="6" applyFont="1" applyFill="1" applyBorder="1"/>
    <xf numFmtId="44" fontId="2" fillId="0" borderId="0" xfId="0" applyNumberFormat="1" applyFont="1" applyFill="1"/>
    <xf numFmtId="39" fontId="2" fillId="0" borderId="1" xfId="0" applyFont="1" applyFill="1" applyBorder="1"/>
    <xf numFmtId="44" fontId="2" fillId="0" borderId="29" xfId="6" applyFont="1" applyFill="1" applyBorder="1"/>
    <xf numFmtId="39" fontId="2" fillId="0" borderId="29" xfId="0" applyFont="1" applyFill="1" applyBorder="1"/>
    <xf numFmtId="39" fontId="2" fillId="0" borderId="0" xfId="0" applyFont="1" applyFill="1" applyAlignment="1">
      <alignment horizontal="center"/>
    </xf>
    <xf numFmtId="39" fontId="26" fillId="0" borderId="0" xfId="0" applyFont="1" applyFill="1" applyAlignment="1">
      <alignment horizontal="center" vertical="center"/>
    </xf>
    <xf numFmtId="39" fontId="26" fillId="0" borderId="0" xfId="0" applyFont="1" applyFill="1" applyBorder="1"/>
    <xf numFmtId="39" fontId="27" fillId="0" borderId="0" xfId="0" applyFont="1" applyFill="1" applyBorder="1" applyAlignment="1">
      <alignment horizontal="center"/>
    </xf>
    <xf numFmtId="39" fontId="27" fillId="0" borderId="29" xfId="0" applyFont="1" applyFill="1" applyBorder="1" applyAlignment="1">
      <alignment horizontal="center"/>
    </xf>
    <xf numFmtId="39" fontId="26" fillId="0" borderId="1" xfId="0" applyFont="1" applyFill="1" applyBorder="1"/>
    <xf numFmtId="39" fontId="2" fillId="0" borderId="30" xfId="0" applyFont="1" applyFill="1" applyBorder="1" applyAlignment="1">
      <alignment horizontal="center"/>
    </xf>
    <xf numFmtId="39" fontId="27" fillId="0" borderId="0" xfId="0" applyFont="1" applyFill="1" applyAlignment="1">
      <alignment horizontal="center"/>
    </xf>
    <xf numFmtId="44" fontId="2" fillId="0" borderId="0" xfId="0" applyNumberFormat="1" applyFont="1" applyFill="1" applyBorder="1" applyAlignment="1">
      <alignment horizontal="center"/>
    </xf>
    <xf numFmtId="44" fontId="2" fillId="0" borderId="29" xfId="0" applyNumberFormat="1" applyFont="1" applyFill="1" applyBorder="1" applyAlignment="1">
      <alignment horizontal="center"/>
    </xf>
    <xf numFmtId="44" fontId="2" fillId="0" borderId="0" xfId="0" applyNumberFormat="1" applyFont="1" applyFill="1" applyBorder="1"/>
    <xf numFmtId="44" fontId="2" fillId="0" borderId="1" xfId="0" applyNumberFormat="1" applyFont="1" applyFill="1" applyBorder="1" applyAlignment="1">
      <alignment horizontal="center"/>
    </xf>
    <xf numFmtId="44" fontId="2" fillId="0" borderId="30" xfId="0" applyNumberFormat="1" applyFont="1" applyFill="1" applyBorder="1" applyAlignment="1">
      <alignment horizontal="center"/>
    </xf>
    <xf numFmtId="49" fontId="26" fillId="0" borderId="0" xfId="0" applyNumberFormat="1" applyFont="1" applyFill="1" applyAlignment="1">
      <alignment horizontal="center"/>
    </xf>
    <xf numFmtId="39" fontId="2" fillId="0" borderId="1" xfId="0" applyFont="1" applyFill="1" applyBorder="1" applyAlignment="1">
      <alignment horizontal="left" indent="1"/>
    </xf>
    <xf numFmtId="39" fontId="26" fillId="0" borderId="15" xfId="0" applyFont="1" applyFill="1" applyBorder="1" applyAlignment="1">
      <alignment horizontal="left" indent="1"/>
    </xf>
    <xf numFmtId="39" fontId="26" fillId="0" borderId="15" xfId="0" applyFont="1" applyFill="1" applyBorder="1"/>
    <xf numFmtId="44" fontId="26" fillId="0" borderId="15" xfId="0" applyNumberFormat="1" applyFont="1" applyFill="1" applyBorder="1"/>
    <xf numFmtId="44" fontId="26" fillId="0" borderId="33" xfId="0" applyNumberFormat="1" applyFont="1" applyFill="1" applyBorder="1"/>
    <xf numFmtId="169" fontId="2" fillId="0" borderId="0" xfId="4" applyNumberFormat="1" applyFont="1" applyFill="1"/>
    <xf numFmtId="44" fontId="2" fillId="0" borderId="0" xfId="0" applyNumberFormat="1" applyFont="1" applyFill="1" applyAlignment="1">
      <alignment horizontal="center"/>
    </xf>
    <xf numFmtId="49" fontId="27" fillId="0" borderId="0" xfId="0" applyNumberFormat="1" applyFont="1" applyFill="1" applyAlignment="1">
      <alignment horizontal="center"/>
    </xf>
    <xf numFmtId="49" fontId="27" fillId="0" borderId="29" xfId="0" applyNumberFormat="1" applyFont="1" applyFill="1" applyBorder="1" applyAlignment="1">
      <alignment horizontal="center"/>
    </xf>
    <xf numFmtId="44" fontId="2" fillId="0" borderId="29" xfId="0" applyNumberFormat="1" applyFont="1" applyFill="1" applyBorder="1"/>
    <xf numFmtId="44" fontId="2" fillId="0" borderId="0" xfId="0" applyNumberFormat="1" applyFont="1" applyFill="1" applyAlignment="1">
      <alignment horizontal="right"/>
    </xf>
    <xf numFmtId="39" fontId="2" fillId="0" borderId="0" xfId="0" applyFont="1" applyFill="1" applyAlignment="1">
      <alignment horizontal="right"/>
    </xf>
    <xf numFmtId="39" fontId="2" fillId="0" borderId="34" xfId="0" applyFont="1" applyFill="1" applyBorder="1" applyAlignment="1">
      <alignment horizontal="center"/>
    </xf>
    <xf numFmtId="39" fontId="2" fillId="0" borderId="0" xfId="0" applyFont="1" applyFill="1" applyBorder="1"/>
  </cellXfs>
  <cellStyles count="18">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e%20GC%20Allocations%2011-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09-2015 Rates"/>
      <sheetName val="OR 11-2014 Rates"/>
      <sheetName val="OR 11-2015 Rates"/>
      <sheetName val="Core Cost Incurred"/>
      <sheetName val="WA PGA Deferrals"/>
      <sheetName val="OR Deferrals Incl true-up"/>
      <sheetName val="JE"/>
    </sheetNames>
    <sheetDataSet>
      <sheetData sheetId="0" refreshError="1"/>
      <sheetData sheetId="1" refreshError="1"/>
      <sheetData sheetId="2" refreshError="1"/>
      <sheetData sheetId="3">
        <row r="48">
          <cell r="J48">
            <v>9279278.8599999994</v>
          </cell>
          <cell r="K48">
            <v>4904532.1900000004</v>
          </cell>
          <cell r="L48">
            <v>-81394.31</v>
          </cell>
        </row>
      </sheetData>
      <sheetData sheetId="4" refreshError="1"/>
      <sheetData sheetId="5" refreshError="1"/>
      <sheetData sheetId="6">
        <row r="2">
          <cell r="D2" t="str">
            <v>Nov 2015</v>
          </cell>
        </row>
        <row r="42">
          <cell r="J42">
            <v>7734435.5200000005</v>
          </cell>
        </row>
        <row r="43">
          <cell r="J43">
            <v>3749877.5399999996</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BreakPreview" zoomScaleNormal="75" zoomScaleSheetLayoutView="100" workbookViewId="0">
      <pane xSplit="1" ySplit="10" topLeftCell="B11"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16384" width="8.88671875" style="1"/>
  </cols>
  <sheetData>
    <row r="1" spans="1:8" x14ac:dyDescent="0.2">
      <c r="A1" s="147" t="s">
        <v>13</v>
      </c>
      <c r="B1" s="148"/>
      <c r="C1" s="141" t="s">
        <v>14</v>
      </c>
      <c r="D1" s="141"/>
      <c r="E1" s="141"/>
      <c r="F1" s="141"/>
      <c r="G1" s="141"/>
      <c r="H1" s="142"/>
    </row>
    <row r="2" spans="1:8" x14ac:dyDescent="0.2">
      <c r="A2" s="139" t="s">
        <v>16</v>
      </c>
      <c r="B2" s="140"/>
      <c r="C2" s="143" t="s">
        <v>41</v>
      </c>
      <c r="D2" s="143"/>
      <c r="E2" s="143"/>
      <c r="F2" s="143"/>
      <c r="G2" s="143"/>
      <c r="H2" s="144"/>
    </row>
    <row r="3" spans="1:8" x14ac:dyDescent="0.2">
      <c r="A3" s="139" t="s">
        <v>17</v>
      </c>
      <c r="B3" s="140"/>
      <c r="C3" s="143" t="s">
        <v>28</v>
      </c>
      <c r="D3" s="143"/>
      <c r="E3" s="143"/>
      <c r="F3" s="143"/>
      <c r="G3" s="143"/>
      <c r="H3" s="144"/>
    </row>
    <row r="4" spans="1:8" x14ac:dyDescent="0.2">
      <c r="A4" s="139" t="s">
        <v>18</v>
      </c>
      <c r="B4" s="140"/>
      <c r="C4" s="145" t="s">
        <v>19</v>
      </c>
      <c r="D4" s="145"/>
      <c r="E4" s="145"/>
      <c r="F4" s="145"/>
      <c r="G4" s="145"/>
      <c r="H4" s="146"/>
    </row>
    <row r="5" spans="1:8" x14ac:dyDescent="0.2">
      <c r="A5" s="139" t="s">
        <v>20</v>
      </c>
      <c r="B5" s="140"/>
      <c r="C5" s="143" t="s">
        <v>88</v>
      </c>
      <c r="D5" s="143"/>
      <c r="E5" s="143"/>
      <c r="F5" s="143"/>
      <c r="G5" s="143"/>
      <c r="H5" s="144"/>
    </row>
    <row r="6" spans="1:8" x14ac:dyDescent="0.2">
      <c r="A6" s="139" t="s">
        <v>21</v>
      </c>
      <c r="B6" s="140"/>
      <c r="C6" s="143" t="s">
        <v>33</v>
      </c>
      <c r="D6" s="143"/>
      <c r="E6" s="143"/>
      <c r="F6" s="143"/>
      <c r="G6" s="143"/>
      <c r="H6" s="144"/>
    </row>
    <row r="7" spans="1:8" ht="29.25" customHeight="1" x14ac:dyDescent="0.2">
      <c r="A7" s="151" t="s">
        <v>22</v>
      </c>
      <c r="B7" s="152"/>
      <c r="C7" s="153" t="s">
        <v>43</v>
      </c>
      <c r="D7" s="153"/>
      <c r="E7" s="153"/>
      <c r="F7" s="153"/>
      <c r="G7" s="153"/>
      <c r="H7" s="154"/>
    </row>
    <row r="8" spans="1:8" x14ac:dyDescent="0.2">
      <c r="B8" s="9"/>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54">
        <v>-1120659.83</v>
      </c>
    </row>
    <row r="12" spans="1:8" x14ac:dyDescent="0.2">
      <c r="A12" s="53">
        <v>41608</v>
      </c>
      <c r="B12" s="32"/>
      <c r="C12" s="32"/>
      <c r="D12" s="32">
        <v>93596.04</v>
      </c>
      <c r="E12" s="32"/>
      <c r="F12" s="70">
        <v>-2993.54</v>
      </c>
      <c r="G12" s="32"/>
      <c r="H12" s="54">
        <v>-1030057.3300000001</v>
      </c>
    </row>
    <row r="13" spans="1:8" x14ac:dyDescent="0.2">
      <c r="A13" s="53">
        <v>41639</v>
      </c>
      <c r="D13" s="1">
        <v>-302560.25</v>
      </c>
      <c r="F13" s="70">
        <v>-2843.24</v>
      </c>
      <c r="H13" s="54">
        <v>-1335460.82</v>
      </c>
    </row>
    <row r="14" spans="1:8" x14ac:dyDescent="0.2">
      <c r="A14" s="53">
        <v>41670</v>
      </c>
      <c r="D14" s="1">
        <v>192476.01</v>
      </c>
      <c r="F14" s="70">
        <v>-3686.24</v>
      </c>
      <c r="H14" s="54">
        <v>-1146671.05</v>
      </c>
    </row>
    <row r="15" spans="1:8" x14ac:dyDescent="0.2">
      <c r="A15" s="53">
        <v>41698</v>
      </c>
      <c r="D15" s="1">
        <v>1883159.68</v>
      </c>
      <c r="F15" s="70">
        <v>-2858.82</v>
      </c>
      <c r="H15" s="54">
        <v>733629.80999999982</v>
      </c>
    </row>
    <row r="16" spans="1:8" x14ac:dyDescent="0.2">
      <c r="A16" s="53">
        <v>41729</v>
      </c>
      <c r="D16" s="1">
        <v>1966862.04</v>
      </c>
      <c r="F16" s="70">
        <v>2025.02</v>
      </c>
      <c r="H16" s="54">
        <v>2702516.87</v>
      </c>
    </row>
    <row r="17" spans="1:8" x14ac:dyDescent="0.2">
      <c r="A17" s="53">
        <v>41759</v>
      </c>
      <c r="D17" s="1">
        <v>-284999.94</v>
      </c>
      <c r="F17" s="70">
        <v>7219.05</v>
      </c>
      <c r="H17" s="54">
        <v>2424735.98</v>
      </c>
    </row>
    <row r="18" spans="1:8" x14ac:dyDescent="0.2">
      <c r="A18" s="53">
        <v>41790</v>
      </c>
      <c r="D18" s="1">
        <v>1506.11</v>
      </c>
      <c r="F18" s="70">
        <v>6692.94</v>
      </c>
      <c r="H18" s="54">
        <v>2432935.0299999998</v>
      </c>
    </row>
    <row r="19" spans="1:8" x14ac:dyDescent="0.2">
      <c r="A19" s="53">
        <v>41820</v>
      </c>
      <c r="D19" s="1">
        <v>152709.69</v>
      </c>
      <c r="F19" s="70">
        <v>6498.94</v>
      </c>
      <c r="H19" s="54">
        <v>2592143.6599999997</v>
      </c>
    </row>
    <row r="20" spans="1:8" x14ac:dyDescent="0.2">
      <c r="A20" s="53">
        <v>41851</v>
      </c>
      <c r="D20" s="1">
        <v>167726.51</v>
      </c>
      <c r="F20" s="70">
        <v>7155.03</v>
      </c>
      <c r="H20" s="54">
        <v>2767025.1999999997</v>
      </c>
    </row>
    <row r="21" spans="1:8" x14ac:dyDescent="0.2">
      <c r="A21" s="53">
        <v>41882</v>
      </c>
      <c r="D21" s="1">
        <v>-467001.19</v>
      </c>
      <c r="F21" s="70">
        <v>7637.75</v>
      </c>
      <c r="H21" s="54">
        <v>2307661.7599999998</v>
      </c>
    </row>
    <row r="22" spans="1:8" x14ac:dyDescent="0.2">
      <c r="A22" s="53">
        <v>41912</v>
      </c>
      <c r="D22" s="1">
        <v>-76065.69</v>
      </c>
      <c r="F22" s="70">
        <v>6164.3</v>
      </c>
      <c r="H22" s="54">
        <v>2237760.3699999996</v>
      </c>
    </row>
    <row r="23" spans="1:8" x14ac:dyDescent="0.2">
      <c r="A23" s="53">
        <v>41943</v>
      </c>
      <c r="D23" s="1">
        <v>-41866.550000000003</v>
      </c>
      <c r="F23" s="70">
        <v>6176.83</v>
      </c>
      <c r="H23" s="55">
        <v>2202070.6499999994</v>
      </c>
    </row>
    <row r="24" spans="1:8" x14ac:dyDescent="0.2">
      <c r="A24" s="149" t="s">
        <v>81</v>
      </c>
      <c r="B24" s="149"/>
      <c r="C24" s="149"/>
      <c r="D24" s="149"/>
      <c r="E24" s="149"/>
      <c r="F24" s="149"/>
      <c r="G24" s="86">
        <v>-2789754.01</v>
      </c>
      <c r="H24" s="55">
        <v>-587683.36000000034</v>
      </c>
    </row>
    <row r="25" spans="1:8" x14ac:dyDescent="0.2">
      <c r="A25" s="53">
        <v>41973</v>
      </c>
      <c r="D25" s="1">
        <v>-388093.17</v>
      </c>
      <c r="F25" s="70">
        <v>-1569.84</v>
      </c>
      <c r="G25" s="54"/>
      <c r="H25" s="55">
        <v>-977346.37000000034</v>
      </c>
    </row>
    <row r="26" spans="1:8" x14ac:dyDescent="0.2">
      <c r="A26" s="53">
        <v>42004</v>
      </c>
      <c r="D26" s="1">
        <v>50810.48</v>
      </c>
      <c r="F26" s="70">
        <v>-2697.74</v>
      </c>
      <c r="G26" s="54"/>
      <c r="H26" s="55">
        <v>-929233.63000000035</v>
      </c>
    </row>
    <row r="27" spans="1:8" x14ac:dyDescent="0.2">
      <c r="A27" s="53">
        <v>42035</v>
      </c>
      <c r="D27" s="1">
        <v>-1925336.63</v>
      </c>
      <c r="F27" s="70">
        <v>-2564.94</v>
      </c>
      <c r="G27" s="54"/>
      <c r="H27" s="55">
        <v>-2857135.2</v>
      </c>
    </row>
    <row r="28" spans="1:8" x14ac:dyDescent="0.2">
      <c r="A28" s="53">
        <v>42063</v>
      </c>
      <c r="D28" s="1">
        <v>-1353526.41</v>
      </c>
      <c r="F28" s="70">
        <v>-7123.27</v>
      </c>
      <c r="G28" s="54"/>
      <c r="H28" s="55">
        <v>-4217784.88</v>
      </c>
    </row>
    <row r="29" spans="1:8" x14ac:dyDescent="0.2">
      <c r="A29" s="53">
        <v>42094</v>
      </c>
      <c r="D29" s="1">
        <v>-1683298.68</v>
      </c>
      <c r="F29" s="70">
        <v>-11642.24</v>
      </c>
      <c r="G29" s="54"/>
      <c r="H29" s="55">
        <v>-5912725.7999999998</v>
      </c>
    </row>
    <row r="30" spans="1:8" x14ac:dyDescent="0.2">
      <c r="A30" s="53">
        <v>42124</v>
      </c>
      <c r="D30" s="1">
        <v>-1792191.55</v>
      </c>
      <c r="F30" s="70">
        <v>-15794.27</v>
      </c>
      <c r="G30" s="54"/>
      <c r="H30" s="55">
        <v>-7720711.6200000001</v>
      </c>
    </row>
    <row r="31" spans="1:8" x14ac:dyDescent="0.2">
      <c r="A31" s="53">
        <v>42155</v>
      </c>
      <c r="D31" s="1">
        <v>-1388193.03</v>
      </c>
      <c r="F31" s="70">
        <v>-21311.279999999999</v>
      </c>
      <c r="G31" s="54"/>
      <c r="H31" s="55">
        <v>-9130215.9299999997</v>
      </c>
    </row>
    <row r="32" spans="1:8" x14ac:dyDescent="0.2">
      <c r="A32" s="53">
        <v>42185</v>
      </c>
      <c r="D32" s="1">
        <v>26234.13</v>
      </c>
      <c r="F32" s="70">
        <v>-24388.93</v>
      </c>
      <c r="G32" s="54"/>
      <c r="H32" s="55">
        <v>-9128370.7300000004</v>
      </c>
    </row>
    <row r="33" spans="1:8" x14ac:dyDescent="0.2">
      <c r="A33" s="53">
        <v>42216</v>
      </c>
      <c r="D33" s="1">
        <v>-864942.07999999996</v>
      </c>
      <c r="F33" s="70">
        <v>-25196.799999999999</v>
      </c>
      <c r="G33" s="54"/>
      <c r="H33" s="55">
        <v>-10018509.610000001</v>
      </c>
    </row>
    <row r="34" spans="1:8" x14ac:dyDescent="0.2">
      <c r="A34" s="53">
        <v>42247</v>
      </c>
      <c r="D34" s="1">
        <v>-127139.21</v>
      </c>
      <c r="F34" s="70">
        <v>-27653.83</v>
      </c>
      <c r="G34" s="54"/>
      <c r="H34" s="55">
        <v>-10173302.65</v>
      </c>
    </row>
    <row r="35" spans="1:8" s="86" customFormat="1" x14ac:dyDescent="0.2">
      <c r="A35" s="149" t="s">
        <v>98</v>
      </c>
      <c r="B35" s="149"/>
      <c r="C35" s="149"/>
      <c r="D35" s="149"/>
      <c r="E35" s="149"/>
      <c r="F35" s="149"/>
      <c r="G35" s="86">
        <v>9178833.8800000008</v>
      </c>
      <c r="H35" s="91">
        <v>-994468.76999999955</v>
      </c>
    </row>
    <row r="36" spans="1:8" x14ac:dyDescent="0.2">
      <c r="A36" s="53">
        <v>42277</v>
      </c>
      <c r="D36" s="1">
        <v>-585536.48</v>
      </c>
      <c r="F36" s="70">
        <v>-2656.46</v>
      </c>
      <c r="G36" s="54"/>
      <c r="H36" s="91">
        <v>-1582661.7099999995</v>
      </c>
    </row>
    <row r="37" spans="1:8" x14ac:dyDescent="0.2">
      <c r="A37" s="53">
        <v>42308</v>
      </c>
      <c r="D37" s="1">
        <v>-465803</v>
      </c>
      <c r="F37" s="70">
        <v>-4368.58</v>
      </c>
      <c r="G37" s="54"/>
      <c r="H37" s="91">
        <v>-2052833.2899999996</v>
      </c>
    </row>
    <row r="38" spans="1:8" x14ac:dyDescent="0.2">
      <c r="A38" s="53">
        <v>42338</v>
      </c>
      <c r="D38" s="1">
        <v>-1544843.34</v>
      </c>
      <c r="F38" s="103">
        <v>-5483.6</v>
      </c>
      <c r="H38" s="91">
        <v>-3603160.2299999995</v>
      </c>
    </row>
    <row r="39" spans="1:8" x14ac:dyDescent="0.2">
      <c r="A39" s="53"/>
    </row>
    <row r="40" spans="1:8" x14ac:dyDescent="0.2">
      <c r="A40" s="53"/>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view="pageBreakPreview" zoomScaleNormal="100" zoomScaleSheetLayoutView="100" workbookViewId="0">
      <selection sqref="A1:B1"/>
    </sheetView>
  </sheetViews>
  <sheetFormatPr defaultRowHeight="12.75" x14ac:dyDescent="0.2"/>
  <cols>
    <col min="1" max="2" width="8.88671875" style="32"/>
    <col min="3" max="3" width="10.44140625" style="32" bestFit="1" customWidth="1"/>
    <col min="4" max="4" width="8.88671875" style="32"/>
    <col min="5" max="5" width="10" style="32" customWidth="1"/>
    <col min="6" max="6" width="8.88671875" style="32"/>
    <col min="7" max="8" width="11.44140625" style="32" customWidth="1"/>
    <col min="9" max="16384" width="8.88671875" style="32"/>
  </cols>
  <sheetData>
    <row r="1" spans="1:8" x14ac:dyDescent="0.2">
      <c r="A1" s="160" t="s">
        <v>13</v>
      </c>
      <c r="B1" s="161"/>
      <c r="C1" s="186" t="s">
        <v>14</v>
      </c>
      <c r="D1" s="186"/>
      <c r="E1" s="186"/>
      <c r="F1" s="186"/>
      <c r="G1" s="186"/>
      <c r="H1" s="187"/>
    </row>
    <row r="2" spans="1:8" x14ac:dyDescent="0.2">
      <c r="A2" s="162" t="s">
        <v>16</v>
      </c>
      <c r="B2" s="140"/>
      <c r="C2" s="188" t="s">
        <v>80</v>
      </c>
      <c r="D2" s="188"/>
      <c r="E2" s="188"/>
      <c r="F2" s="188"/>
      <c r="G2" s="188"/>
      <c r="H2" s="189"/>
    </row>
    <row r="3" spans="1:8" x14ac:dyDescent="0.2">
      <c r="A3" s="162" t="s">
        <v>17</v>
      </c>
      <c r="B3" s="140"/>
      <c r="C3" s="190" t="s">
        <v>72</v>
      </c>
      <c r="D3" s="190"/>
      <c r="E3" s="190"/>
      <c r="F3" s="190"/>
      <c r="G3" s="190"/>
      <c r="H3" s="191"/>
    </row>
    <row r="4" spans="1:8" x14ac:dyDescent="0.2">
      <c r="A4" s="162" t="s">
        <v>18</v>
      </c>
      <c r="B4" s="140"/>
      <c r="C4" s="190" t="s">
        <v>45</v>
      </c>
      <c r="D4" s="190"/>
      <c r="E4" s="190"/>
      <c r="F4" s="190"/>
      <c r="G4" s="190"/>
      <c r="H4" s="191"/>
    </row>
    <row r="5" spans="1:8" x14ac:dyDescent="0.2">
      <c r="A5" s="162" t="s">
        <v>20</v>
      </c>
      <c r="B5" s="140"/>
      <c r="C5" s="190" t="s">
        <v>33</v>
      </c>
      <c r="D5" s="190"/>
      <c r="E5" s="190"/>
      <c r="F5" s="190"/>
      <c r="G5" s="190"/>
      <c r="H5" s="191"/>
    </row>
    <row r="6" spans="1:8" x14ac:dyDescent="0.2">
      <c r="A6" s="162" t="s">
        <v>21</v>
      </c>
      <c r="B6" s="140"/>
      <c r="C6" s="188" t="s">
        <v>88</v>
      </c>
      <c r="D6" s="188"/>
      <c r="E6" s="188"/>
      <c r="F6" s="188"/>
      <c r="G6" s="188"/>
      <c r="H6" s="189"/>
    </row>
    <row r="7" spans="1:8" ht="13.5" thickBot="1" x14ac:dyDescent="0.25">
      <c r="A7" s="173" t="s">
        <v>22</v>
      </c>
      <c r="B7" s="174"/>
      <c r="C7" s="192" t="s">
        <v>69</v>
      </c>
      <c r="D7" s="192"/>
      <c r="E7" s="192"/>
      <c r="F7" s="192"/>
      <c r="G7" s="192"/>
      <c r="H7" s="193"/>
    </row>
    <row r="8" spans="1:8" x14ac:dyDescent="0.2">
      <c r="A8" s="23"/>
      <c r="B8" s="23"/>
      <c r="C8" s="24"/>
      <c r="D8" s="24"/>
      <c r="E8" s="24"/>
      <c r="F8" s="24"/>
      <c r="G8" s="24"/>
      <c r="H8" s="24"/>
    </row>
    <row r="9" spans="1:8" x14ac:dyDescent="0.2">
      <c r="A9" s="25"/>
      <c r="D9" s="150" t="s">
        <v>39</v>
      </c>
      <c r="E9" s="150"/>
      <c r="F9" s="150"/>
    </row>
    <row r="10" spans="1:8" s="26" customFormat="1" x14ac:dyDescent="0.2">
      <c r="A10" s="27" t="s">
        <v>40</v>
      </c>
      <c r="B10" s="27" t="s">
        <v>4</v>
      </c>
      <c r="C10" s="27" t="s">
        <v>12</v>
      </c>
      <c r="D10" s="27" t="s">
        <v>23</v>
      </c>
      <c r="E10" s="27" t="s">
        <v>24</v>
      </c>
      <c r="F10" s="27" t="s">
        <v>2</v>
      </c>
      <c r="G10" s="27" t="s">
        <v>0</v>
      </c>
      <c r="H10" s="27" t="s">
        <v>1</v>
      </c>
    </row>
    <row r="11" spans="1:8" x14ac:dyDescent="0.2">
      <c r="A11" s="155" t="s">
        <v>86</v>
      </c>
      <c r="B11" s="155"/>
      <c r="C11" s="155"/>
      <c r="D11" s="155"/>
      <c r="E11" s="155"/>
      <c r="F11" s="155"/>
      <c r="G11" s="155"/>
      <c r="H11" s="65">
        <v>2557.65</v>
      </c>
    </row>
    <row r="12" spans="1:8" x14ac:dyDescent="0.2">
      <c r="A12" s="72">
        <v>41608</v>
      </c>
      <c r="B12" s="71" t="s">
        <v>34</v>
      </c>
      <c r="C12" s="64">
        <v>66572240</v>
      </c>
      <c r="E12" s="73">
        <v>-2757.2967800000001</v>
      </c>
      <c r="F12" s="60">
        <v>6.83</v>
      </c>
      <c r="H12" s="65">
        <v>-192.81678000000011</v>
      </c>
    </row>
    <row r="13" spans="1:8" x14ac:dyDescent="0.2">
      <c r="A13" s="72">
        <v>41639</v>
      </c>
      <c r="B13" s="69">
        <v>-3.0000000000000001E-5</v>
      </c>
      <c r="C13" s="64">
        <v>93810799</v>
      </c>
      <c r="E13" s="66">
        <v>-2814.32</v>
      </c>
      <c r="F13" s="60">
        <v>-0.53</v>
      </c>
      <c r="H13" s="65">
        <v>-3007.6667800000005</v>
      </c>
    </row>
    <row r="14" spans="1:8" x14ac:dyDescent="0.2">
      <c r="A14" s="72">
        <v>41670</v>
      </c>
      <c r="B14" s="69">
        <v>-3.0000000000000001E-5</v>
      </c>
      <c r="C14" s="64">
        <v>95982364</v>
      </c>
      <c r="E14" s="66">
        <v>-2879.47</v>
      </c>
      <c r="F14" s="60">
        <v>-8.3000000000000007</v>
      </c>
      <c r="H14" s="65">
        <v>-5895.43678</v>
      </c>
    </row>
    <row r="15" spans="1:8" x14ac:dyDescent="0.2">
      <c r="A15" s="72">
        <v>41698</v>
      </c>
      <c r="B15" s="69">
        <v>-3.0000000000000001E-5</v>
      </c>
      <c r="C15" s="64">
        <v>81703536</v>
      </c>
      <c r="E15" s="66">
        <v>-2451.11</v>
      </c>
      <c r="F15" s="60">
        <v>-14.7</v>
      </c>
      <c r="H15" s="65">
        <v>-8361.2467799999995</v>
      </c>
    </row>
    <row r="16" spans="1:8" x14ac:dyDescent="0.2">
      <c r="A16" s="72">
        <v>41729</v>
      </c>
      <c r="B16" s="69">
        <v>-3.0000000000000001E-5</v>
      </c>
      <c r="C16" s="64">
        <v>61653494</v>
      </c>
      <c r="E16" s="66">
        <v>-1849.6</v>
      </c>
      <c r="F16" s="60">
        <v>-23.08</v>
      </c>
      <c r="H16" s="65">
        <v>-10233.92678</v>
      </c>
    </row>
    <row r="17" spans="1:8" x14ac:dyDescent="0.2">
      <c r="A17" s="72">
        <v>41759</v>
      </c>
      <c r="B17" s="69">
        <v>-3.0000000000000001E-5</v>
      </c>
      <c r="C17" s="64">
        <v>48544888</v>
      </c>
      <c r="E17" s="66">
        <v>-1456.35</v>
      </c>
      <c r="F17" s="60">
        <v>-27.34</v>
      </c>
      <c r="H17" s="65">
        <v>-11717.61678</v>
      </c>
    </row>
    <row r="18" spans="1:8" x14ac:dyDescent="0.2">
      <c r="A18" s="72">
        <v>41790</v>
      </c>
      <c r="B18" s="69">
        <v>-3.0000000000000001E-5</v>
      </c>
      <c r="C18" s="64">
        <v>43767115</v>
      </c>
      <c r="E18" s="66">
        <v>-1313.01</v>
      </c>
      <c r="F18" s="60">
        <v>-32.340000000000003</v>
      </c>
      <c r="H18" s="65">
        <v>-13062.966780000001</v>
      </c>
    </row>
    <row r="19" spans="1:8" x14ac:dyDescent="0.2">
      <c r="A19" s="72">
        <v>41820</v>
      </c>
      <c r="B19" s="69">
        <v>-3.0000000000000001E-5</v>
      </c>
      <c r="C19" s="64">
        <v>37887997</v>
      </c>
      <c r="E19" s="66">
        <v>-1136.6400000000001</v>
      </c>
      <c r="F19" s="60">
        <v>-34.89</v>
      </c>
      <c r="H19" s="65">
        <v>-14234.496780000001</v>
      </c>
    </row>
    <row r="20" spans="1:8" x14ac:dyDescent="0.2">
      <c r="A20" s="72">
        <v>41851</v>
      </c>
      <c r="B20" s="69">
        <v>-3.0000000000000001E-5</v>
      </c>
      <c r="C20" s="64">
        <v>52230833</v>
      </c>
      <c r="E20" s="66">
        <v>-1566.92</v>
      </c>
      <c r="F20" s="60">
        <v>-39.29</v>
      </c>
      <c r="H20" s="65">
        <v>-15840.70678</v>
      </c>
    </row>
    <row r="21" spans="1:8" x14ac:dyDescent="0.2">
      <c r="A21" s="72">
        <v>41882</v>
      </c>
      <c r="B21" s="69">
        <v>-3.0000000000000001E-5</v>
      </c>
      <c r="C21" s="64">
        <v>63958956</v>
      </c>
      <c r="E21" s="66">
        <v>-1918.77</v>
      </c>
      <c r="F21" s="60">
        <v>-43.72</v>
      </c>
      <c r="H21" s="65">
        <v>-17803.196780000002</v>
      </c>
    </row>
    <row r="22" spans="1:8" x14ac:dyDescent="0.2">
      <c r="A22" s="72">
        <v>41912</v>
      </c>
      <c r="B22" s="69">
        <v>-3.0000000000000001E-5</v>
      </c>
      <c r="C22" s="64">
        <v>63420222</v>
      </c>
      <c r="E22" s="66">
        <v>-1902.61</v>
      </c>
      <c r="F22" s="60">
        <v>-47.56</v>
      </c>
      <c r="H22" s="65">
        <v>-19753.36678</v>
      </c>
    </row>
    <row r="23" spans="1:8" x14ac:dyDescent="0.2">
      <c r="A23" s="72">
        <v>41943</v>
      </c>
      <c r="B23" s="69">
        <v>-3.0000000000000001E-5</v>
      </c>
      <c r="C23" s="64">
        <v>62247096</v>
      </c>
      <c r="E23" s="66">
        <v>-1867.41</v>
      </c>
      <c r="F23" s="60">
        <v>-54.52</v>
      </c>
      <c r="H23" s="65">
        <v>-21675.296780000001</v>
      </c>
    </row>
    <row r="25" spans="1:8" x14ac:dyDescent="0.2">
      <c r="A25" s="104">
        <v>41973</v>
      </c>
      <c r="B25" s="71" t="s">
        <v>34</v>
      </c>
      <c r="C25" s="105">
        <v>58406357</v>
      </c>
      <c r="D25" s="86"/>
      <c r="E25" s="73">
        <v>1284.3699899999999</v>
      </c>
      <c r="F25" s="93">
        <v>-57.9</v>
      </c>
      <c r="G25" s="86"/>
      <c r="H25" s="65">
        <v>-20448.826789999999</v>
      </c>
    </row>
    <row r="26" spans="1:8" x14ac:dyDescent="0.2">
      <c r="A26" s="104">
        <v>42004</v>
      </c>
      <c r="B26" s="100">
        <v>3.0000000000000001E-5</v>
      </c>
      <c r="C26" s="105">
        <v>75515164</v>
      </c>
      <c r="E26" s="97">
        <v>2265.4499999999998</v>
      </c>
      <c r="F26" s="93">
        <v>-56.44</v>
      </c>
      <c r="G26" s="86"/>
      <c r="H26" s="65">
        <v>-18239.816790000001</v>
      </c>
    </row>
    <row r="27" spans="1:8" x14ac:dyDescent="0.2">
      <c r="A27" s="104">
        <v>42035</v>
      </c>
      <c r="B27" s="100">
        <v>3.0000000000000001E-5</v>
      </c>
      <c r="C27" s="105">
        <v>75502777</v>
      </c>
      <c r="E27" s="97">
        <v>2265.08</v>
      </c>
      <c r="F27" s="93">
        <v>-50.35</v>
      </c>
      <c r="G27" s="86"/>
      <c r="H27" s="65">
        <v>-16025.086790000001</v>
      </c>
    </row>
    <row r="28" spans="1:8" x14ac:dyDescent="0.2">
      <c r="A28" s="104">
        <v>42063</v>
      </c>
      <c r="B28" s="100">
        <v>3.0000000000000001E-5</v>
      </c>
      <c r="C28" s="105">
        <v>61676628</v>
      </c>
      <c r="E28" s="97">
        <v>1850.3</v>
      </c>
      <c r="F28" s="93">
        <v>-39.950000000000003</v>
      </c>
      <c r="G28" s="86"/>
      <c r="H28" s="65">
        <v>-14214.736790000001</v>
      </c>
    </row>
    <row r="29" spans="1:8" x14ac:dyDescent="0.2">
      <c r="A29" s="104">
        <v>42094</v>
      </c>
      <c r="B29" s="100">
        <v>3.0000000000000001E-5</v>
      </c>
      <c r="C29" s="105">
        <v>66701912</v>
      </c>
      <c r="E29" s="97">
        <v>2001.06</v>
      </c>
      <c r="F29" s="93">
        <v>-39.24</v>
      </c>
      <c r="G29" s="86"/>
      <c r="H29" s="65">
        <v>-12252.916790000001</v>
      </c>
    </row>
    <row r="30" spans="1:8" x14ac:dyDescent="0.2">
      <c r="A30" s="104">
        <v>42124</v>
      </c>
      <c r="B30" s="100">
        <v>3.0000000000000001E-5</v>
      </c>
      <c r="C30" s="105">
        <v>56458088</v>
      </c>
      <c r="E30" s="97">
        <v>1693.74</v>
      </c>
      <c r="F30" s="93">
        <v>-32.729999999999997</v>
      </c>
      <c r="G30" s="86"/>
      <c r="H30" s="65">
        <v>-10591.906790000001</v>
      </c>
    </row>
    <row r="31" spans="1:8" x14ac:dyDescent="0.2">
      <c r="A31" s="104">
        <v>42155</v>
      </c>
      <c r="B31" s="100">
        <v>3.0000000000000001E-5</v>
      </c>
      <c r="C31" s="105">
        <v>57170777</v>
      </c>
      <c r="E31" s="97">
        <v>1715.12</v>
      </c>
      <c r="F31" s="93">
        <v>-29.24</v>
      </c>
      <c r="G31" s="86"/>
      <c r="H31" s="65">
        <v>-8906.0267900000017</v>
      </c>
    </row>
    <row r="32" spans="1:8" x14ac:dyDescent="0.2">
      <c r="A32" s="104">
        <v>42185</v>
      </c>
      <c r="B32" s="100">
        <v>3.0000000000000001E-5</v>
      </c>
      <c r="C32" s="105">
        <v>49803685</v>
      </c>
      <c r="E32" s="97">
        <v>1494.11</v>
      </c>
      <c r="F32" s="93">
        <v>-23.79</v>
      </c>
      <c r="G32" s="86"/>
      <c r="H32" s="65">
        <v>-7435.706790000002</v>
      </c>
    </row>
    <row r="33" spans="1:8" x14ac:dyDescent="0.2">
      <c r="A33" s="104">
        <v>42216</v>
      </c>
      <c r="B33" s="100">
        <v>3.0000000000000001E-5</v>
      </c>
      <c r="C33" s="105">
        <v>55982821</v>
      </c>
      <c r="E33" s="97">
        <v>1679.48</v>
      </c>
      <c r="F33" s="93">
        <v>-20.52</v>
      </c>
      <c r="G33" s="86"/>
      <c r="H33" s="65">
        <v>-5776.746790000002</v>
      </c>
    </row>
    <row r="34" spans="1:8" x14ac:dyDescent="0.2">
      <c r="A34" s="104">
        <v>42247</v>
      </c>
      <c r="B34" s="100">
        <v>3.0000000000000001E-5</v>
      </c>
      <c r="C34" s="105">
        <v>56970592</v>
      </c>
      <c r="E34" s="97">
        <v>1709.12</v>
      </c>
      <c r="F34" s="93">
        <v>-15.95</v>
      </c>
      <c r="G34" s="86"/>
      <c r="H34" s="65">
        <v>-4083.5767900000019</v>
      </c>
    </row>
    <row r="35" spans="1:8" x14ac:dyDescent="0.2">
      <c r="A35" s="104">
        <v>42277</v>
      </c>
      <c r="B35" s="100">
        <v>0</v>
      </c>
      <c r="C35" s="105">
        <v>57724527</v>
      </c>
      <c r="D35" s="86"/>
      <c r="E35" s="73">
        <v>132.82</v>
      </c>
      <c r="F35" s="93">
        <v>-10.91</v>
      </c>
      <c r="G35" s="86"/>
      <c r="H35" s="65">
        <v>-3961.666790000002</v>
      </c>
    </row>
    <row r="36" spans="1:8" x14ac:dyDescent="0.2">
      <c r="A36" s="104">
        <v>42308</v>
      </c>
      <c r="B36" s="100">
        <v>0</v>
      </c>
      <c r="C36" s="105">
        <v>64440203</v>
      </c>
      <c r="E36" s="97">
        <v>0</v>
      </c>
      <c r="F36" s="93">
        <v>-10.94</v>
      </c>
      <c r="G36" s="86"/>
      <c r="H36" s="65">
        <v>-3972.6067900000021</v>
      </c>
    </row>
    <row r="37" spans="1:8" x14ac:dyDescent="0.2">
      <c r="A37" s="104">
        <v>42338</v>
      </c>
      <c r="B37" s="100">
        <v>0</v>
      </c>
      <c r="C37" s="105">
        <v>68269835</v>
      </c>
      <c r="D37" s="86"/>
      <c r="E37" s="97">
        <v>0</v>
      </c>
      <c r="F37" s="93">
        <v>-10.61</v>
      </c>
      <c r="G37" s="86"/>
      <c r="H37" s="65">
        <v>-3983.2167900000022</v>
      </c>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view="pageBreakPreview" zoomScaleNormal="100" zoomScaleSheetLayoutView="100" workbookViewId="0">
      <selection activeCell="A11" sqref="A11:G11"/>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60" t="s">
        <v>13</v>
      </c>
      <c r="B1" s="161"/>
      <c r="C1" s="177" t="s">
        <v>14</v>
      </c>
      <c r="D1" s="177"/>
      <c r="E1" s="177"/>
      <c r="F1" s="177"/>
      <c r="G1" s="177"/>
      <c r="H1" s="178"/>
    </row>
    <row r="2" spans="1:8" x14ac:dyDescent="0.2">
      <c r="A2" s="162" t="s">
        <v>16</v>
      </c>
      <c r="B2" s="140"/>
      <c r="C2" s="179" t="s">
        <v>94</v>
      </c>
      <c r="D2" s="179"/>
      <c r="E2" s="179"/>
      <c r="F2" s="179"/>
      <c r="G2" s="179"/>
      <c r="H2" s="180"/>
    </row>
    <row r="3" spans="1:8" x14ac:dyDescent="0.2">
      <c r="A3" s="162" t="s">
        <v>17</v>
      </c>
      <c r="B3" s="140"/>
      <c r="C3" s="179" t="s">
        <v>93</v>
      </c>
      <c r="D3" s="179"/>
      <c r="E3" s="179"/>
      <c r="F3" s="179"/>
      <c r="G3" s="179"/>
      <c r="H3" s="180"/>
    </row>
    <row r="4" spans="1:8" x14ac:dyDescent="0.2">
      <c r="A4" s="162" t="s">
        <v>18</v>
      </c>
      <c r="B4" s="140"/>
      <c r="C4" s="181" t="s">
        <v>19</v>
      </c>
      <c r="D4" s="181"/>
      <c r="E4" s="181"/>
      <c r="F4" s="181"/>
      <c r="G4" s="181"/>
      <c r="H4" s="182"/>
    </row>
    <row r="5" spans="1:8" x14ac:dyDescent="0.2">
      <c r="A5" s="162" t="s">
        <v>20</v>
      </c>
      <c r="B5" s="140"/>
      <c r="C5" s="181" t="s">
        <v>33</v>
      </c>
      <c r="D5" s="181"/>
      <c r="E5" s="181"/>
      <c r="F5" s="181"/>
      <c r="G5" s="181"/>
      <c r="H5" s="182"/>
    </row>
    <row r="6" spans="1:8" x14ac:dyDescent="0.2">
      <c r="A6" s="162" t="s">
        <v>21</v>
      </c>
      <c r="B6" s="140"/>
      <c r="C6" s="181" t="s">
        <v>85</v>
      </c>
      <c r="D6" s="181"/>
      <c r="E6" s="181"/>
      <c r="F6" s="181"/>
      <c r="G6" s="181"/>
      <c r="H6" s="182"/>
    </row>
    <row r="7" spans="1:8" ht="13.5" thickBot="1" x14ac:dyDescent="0.25">
      <c r="A7" s="165" t="s">
        <v>22</v>
      </c>
      <c r="B7" s="166"/>
      <c r="C7" s="184" t="s">
        <v>95</v>
      </c>
      <c r="D7" s="184"/>
      <c r="E7" s="184"/>
      <c r="F7" s="184"/>
      <c r="G7" s="184"/>
      <c r="H7" s="185"/>
    </row>
    <row r="8" spans="1:8" x14ac:dyDescent="0.2">
      <c r="A8" s="87"/>
      <c r="B8" s="87"/>
      <c r="C8" s="88"/>
      <c r="D8" s="88"/>
      <c r="E8" s="88"/>
      <c r="F8" s="88"/>
      <c r="G8" s="88"/>
      <c r="H8" s="88"/>
    </row>
    <row r="9" spans="1:8" x14ac:dyDescent="0.2">
      <c r="A9" s="89"/>
      <c r="D9" s="150" t="s">
        <v>39</v>
      </c>
      <c r="E9" s="150"/>
      <c r="F9" s="150"/>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83" t="s">
        <v>75</v>
      </c>
      <c r="B12" s="183"/>
      <c r="C12" s="183"/>
      <c r="D12" s="183"/>
      <c r="E12" s="183"/>
      <c r="F12" s="183"/>
      <c r="G12" s="57">
        <v>483282.64</v>
      </c>
      <c r="H12" s="59"/>
    </row>
    <row r="13" spans="1:8" x14ac:dyDescent="0.2">
      <c r="A13" s="183" t="s">
        <v>76</v>
      </c>
      <c r="B13" s="183"/>
      <c r="C13" s="183"/>
      <c r="D13" s="183"/>
      <c r="E13" s="183"/>
      <c r="F13" s="183"/>
      <c r="G13" s="57">
        <v>74479.05</v>
      </c>
      <c r="H13" s="59"/>
    </row>
    <row r="14" spans="1:8" x14ac:dyDescent="0.2">
      <c r="A14" s="183" t="s">
        <v>77</v>
      </c>
      <c r="B14" s="183"/>
      <c r="C14" s="183"/>
      <c r="D14" s="183"/>
      <c r="E14" s="183"/>
      <c r="F14" s="183"/>
      <c r="G14" s="57">
        <v>1206319.4099999999</v>
      </c>
      <c r="H14" s="59"/>
    </row>
    <row r="15" spans="1:8" x14ac:dyDescent="0.2">
      <c r="A15" s="183" t="s">
        <v>78</v>
      </c>
      <c r="B15" s="183"/>
      <c r="C15" s="183"/>
      <c r="D15" s="183"/>
      <c r="E15" s="183"/>
      <c r="F15" s="183"/>
      <c r="G15" s="57">
        <v>612793.23</v>
      </c>
      <c r="H15" s="59"/>
    </row>
    <row r="16" spans="1:8" x14ac:dyDescent="0.2">
      <c r="A16" s="183" t="s">
        <v>96</v>
      </c>
      <c r="B16" s="183"/>
      <c r="C16" s="183"/>
      <c r="D16" s="183"/>
      <c r="E16" s="183"/>
      <c r="F16" s="183"/>
      <c r="G16" s="109">
        <v>270445.84999999998</v>
      </c>
      <c r="H16" s="59"/>
    </row>
    <row r="17" spans="1:8" x14ac:dyDescent="0.2">
      <c r="A17" s="56"/>
      <c r="B17" s="57"/>
      <c r="C17" s="57"/>
      <c r="D17" s="57"/>
      <c r="E17" s="58"/>
      <c r="F17" s="57"/>
      <c r="G17" s="57"/>
      <c r="H17" s="59">
        <v>2647320.1800000002</v>
      </c>
    </row>
    <row r="18" spans="1:8" s="103" customFormat="1" x14ac:dyDescent="0.2">
      <c r="A18" s="104">
        <v>41973</v>
      </c>
      <c r="B18" s="71" t="s">
        <v>34</v>
      </c>
      <c r="C18" s="102">
        <v>13133492</v>
      </c>
      <c r="D18" s="77"/>
      <c r="E18" s="73">
        <v>-157199.86901999998</v>
      </c>
      <c r="F18" s="93">
        <v>7071.61</v>
      </c>
      <c r="G18" s="74"/>
      <c r="H18" s="75">
        <v>2497191.9209799999</v>
      </c>
    </row>
    <row r="19" spans="1:8" x14ac:dyDescent="0.2">
      <c r="A19" s="104">
        <v>42004</v>
      </c>
      <c r="B19" s="94">
        <v>-1.1339999999999999E-2</v>
      </c>
      <c r="C19" s="102">
        <v>31037805</v>
      </c>
      <c r="D19" s="76"/>
      <c r="E19" s="96">
        <v>-351968.69</v>
      </c>
      <c r="F19" s="93">
        <v>6892.93</v>
      </c>
      <c r="G19" s="62"/>
      <c r="H19" s="65">
        <v>2152116.1609800002</v>
      </c>
    </row>
    <row r="20" spans="1:8" x14ac:dyDescent="0.2">
      <c r="A20" s="104">
        <v>42035</v>
      </c>
      <c r="B20" s="94">
        <v>-1.1339999999999999E-2</v>
      </c>
      <c r="C20" s="102">
        <v>32494732</v>
      </c>
      <c r="D20" s="76"/>
      <c r="E20" s="96">
        <v>-368490.23999999999</v>
      </c>
      <c r="F20" s="93">
        <v>5940.43</v>
      </c>
      <c r="G20" s="62"/>
      <c r="H20" s="65">
        <v>1789566.3509800001</v>
      </c>
    </row>
    <row r="21" spans="1:8" x14ac:dyDescent="0.2">
      <c r="A21" s="104">
        <v>42063</v>
      </c>
      <c r="B21" s="94">
        <v>-1.1339999999999999E-2</v>
      </c>
      <c r="C21" s="102">
        <v>28549598</v>
      </c>
      <c r="D21" s="76"/>
      <c r="E21" s="96">
        <v>-323752.45</v>
      </c>
      <c r="F21" s="93">
        <v>4461.66</v>
      </c>
      <c r="G21" s="62"/>
      <c r="H21" s="65">
        <v>1470275.5609800001</v>
      </c>
    </row>
    <row r="22" spans="1:8" x14ac:dyDescent="0.2">
      <c r="A22" s="104">
        <v>42094</v>
      </c>
      <c r="B22" s="94">
        <v>-1.1339999999999999E-2</v>
      </c>
      <c r="C22" s="102">
        <v>23771945</v>
      </c>
      <c r="D22" s="76"/>
      <c r="E22" s="96">
        <v>-269573.84999999998</v>
      </c>
      <c r="F22" s="93">
        <v>4058.36</v>
      </c>
      <c r="G22" s="62"/>
      <c r="H22" s="65">
        <v>1204760.0709800001</v>
      </c>
    </row>
    <row r="23" spans="1:8" x14ac:dyDescent="0.2">
      <c r="A23" s="104">
        <v>42124</v>
      </c>
      <c r="B23" s="94">
        <v>-1.1339999999999999E-2</v>
      </c>
      <c r="C23" s="102">
        <v>17286320</v>
      </c>
      <c r="D23" s="76"/>
      <c r="E23" s="96">
        <v>-196026.87</v>
      </c>
      <c r="F23" s="93">
        <v>3218.19</v>
      </c>
      <c r="G23" s="62"/>
      <c r="H23" s="65">
        <v>1011951.3909800001</v>
      </c>
    </row>
    <row r="24" spans="1:8" x14ac:dyDescent="0.2">
      <c r="A24" s="104">
        <v>42155</v>
      </c>
      <c r="B24" s="94">
        <v>-1.1339999999999999E-2</v>
      </c>
      <c r="C24" s="102">
        <v>12247620</v>
      </c>
      <c r="D24" s="76"/>
      <c r="E24" s="96">
        <v>-138888.03</v>
      </c>
      <c r="F24" s="93">
        <v>2793.26</v>
      </c>
      <c r="G24" s="62"/>
      <c r="H24" s="65">
        <v>875856.62098000012</v>
      </c>
    </row>
    <row r="25" spans="1:8" x14ac:dyDescent="0.2">
      <c r="A25" s="104">
        <v>42185</v>
      </c>
      <c r="B25" s="94">
        <v>-1.1339999999999999E-2</v>
      </c>
      <c r="C25" s="102">
        <v>8513936</v>
      </c>
      <c r="D25" s="101"/>
      <c r="E25" s="96">
        <v>-96548.02</v>
      </c>
      <c r="F25" s="93">
        <v>2339.62</v>
      </c>
      <c r="H25" s="65">
        <v>781648.2209800001</v>
      </c>
    </row>
    <row r="26" spans="1:8" x14ac:dyDescent="0.2">
      <c r="A26" s="104">
        <v>42216</v>
      </c>
      <c r="B26" s="94">
        <v>-1.1339999999999999E-2</v>
      </c>
      <c r="C26" s="102">
        <v>5971280</v>
      </c>
      <c r="D26" s="101"/>
      <c r="E26" s="96">
        <v>-67714.310000000012</v>
      </c>
      <c r="F26" s="93">
        <v>2157.56</v>
      </c>
      <c r="H26" s="65">
        <v>716091.4709800001</v>
      </c>
    </row>
    <row r="27" spans="1:8" x14ac:dyDescent="0.2">
      <c r="A27" s="104">
        <v>42247</v>
      </c>
      <c r="B27" s="94">
        <v>-1.1339999999999999E-2</v>
      </c>
      <c r="C27" s="102">
        <v>6049421</v>
      </c>
      <c r="D27" s="101"/>
      <c r="E27" s="96">
        <v>-68600.439999999988</v>
      </c>
      <c r="F27" s="93">
        <v>1976.61</v>
      </c>
      <c r="H27" s="65">
        <v>649467.64098000014</v>
      </c>
    </row>
    <row r="28" spans="1:8" x14ac:dyDescent="0.2">
      <c r="A28" s="104">
        <v>42277</v>
      </c>
      <c r="B28" s="94">
        <v>-1.1339999999999999E-2</v>
      </c>
      <c r="C28" s="102">
        <v>7207066</v>
      </c>
      <c r="D28" s="101"/>
      <c r="E28" s="96">
        <v>-81728.11</v>
      </c>
      <c r="F28" s="93">
        <v>1734.88</v>
      </c>
      <c r="H28" s="65">
        <v>569474.41098000016</v>
      </c>
    </row>
    <row r="29" spans="1:8" x14ac:dyDescent="0.2">
      <c r="A29" s="104">
        <v>42308</v>
      </c>
      <c r="B29" s="94">
        <v>-1.1339999999999999E-2</v>
      </c>
      <c r="C29" s="102">
        <v>9975218</v>
      </c>
      <c r="D29" s="101"/>
      <c r="E29" s="96">
        <v>-113118.97</v>
      </c>
      <c r="F29" s="93">
        <v>1571.91</v>
      </c>
      <c r="H29" s="65">
        <v>457927.35098000016</v>
      </c>
    </row>
    <row r="30" spans="1:8" x14ac:dyDescent="0.2">
      <c r="A30" s="104">
        <v>42338</v>
      </c>
      <c r="B30" s="94">
        <v>-1.1339999999999999E-2</v>
      </c>
      <c r="C30" s="102">
        <v>13543144</v>
      </c>
      <c r="D30" s="101"/>
      <c r="E30" s="96">
        <v>-153579.24</v>
      </c>
      <c r="F30" s="93">
        <v>1223.23</v>
      </c>
      <c r="H30" s="65">
        <v>305571.34098000021</v>
      </c>
    </row>
    <row r="31" spans="1:8" x14ac:dyDescent="0.2">
      <c r="A31" s="149"/>
      <c r="B31" s="149"/>
      <c r="C31" s="149"/>
      <c r="D31" s="149"/>
      <c r="E31" s="149"/>
      <c r="F31" s="149"/>
      <c r="H31" s="65"/>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0"/>
  <dimension ref="A1:E65"/>
  <sheetViews>
    <sheetView showGridLines="0" view="pageBreakPreview" zoomScaleNormal="60" zoomScaleSheetLayoutView="100" workbookViewId="0">
      <selection activeCell="D9" sqref="D9"/>
    </sheetView>
  </sheetViews>
  <sheetFormatPr defaultColWidth="12.77734375" defaultRowHeight="12.75" x14ac:dyDescent="0.2"/>
  <cols>
    <col min="1" max="3" width="13.77734375" style="1" customWidth="1"/>
    <col min="4" max="4" width="2.5546875" style="19"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196" t="s">
        <v>51</v>
      </c>
      <c r="B1" s="196"/>
      <c r="C1" s="196"/>
      <c r="D1" s="196"/>
    </row>
    <row r="2" spans="1:5" s="10" customFormat="1" ht="15.75" x14ac:dyDescent="0.25">
      <c r="A2" s="196" t="s">
        <v>52</v>
      </c>
      <c r="B2" s="196"/>
      <c r="C2" s="196"/>
      <c r="D2" s="196"/>
    </row>
    <row r="3" spans="1:5" s="10" customFormat="1" ht="15.75" x14ac:dyDescent="0.25">
      <c r="A3" s="196" t="s">
        <v>53</v>
      </c>
      <c r="B3" s="196"/>
      <c r="C3" s="196"/>
      <c r="D3" s="196"/>
    </row>
    <row r="4" spans="1:5" x14ac:dyDescent="0.2">
      <c r="A4" s="8"/>
      <c r="B4" s="8"/>
      <c r="C4" s="8"/>
      <c r="D4" s="21"/>
    </row>
    <row r="5" spans="1:5" ht="15.75" customHeight="1" x14ac:dyDescent="0.2">
      <c r="A5" s="8" t="s">
        <v>54</v>
      </c>
      <c r="B5" s="8"/>
      <c r="C5" s="8"/>
      <c r="D5" s="21"/>
    </row>
    <row r="6" spans="1:5" ht="15.75" customHeight="1" x14ac:dyDescent="0.2">
      <c r="A6" s="8" t="s">
        <v>57</v>
      </c>
      <c r="B6" s="8"/>
      <c r="C6" s="8"/>
      <c r="D6" s="21"/>
    </row>
    <row r="7" spans="1:5" ht="15.75" customHeight="1" x14ac:dyDescent="0.2">
      <c r="A7" s="84" t="s">
        <v>84</v>
      </c>
      <c r="B7" s="15"/>
      <c r="C7" s="15"/>
      <c r="D7" s="15"/>
    </row>
    <row r="8" spans="1:5" x14ac:dyDescent="0.2">
      <c r="A8" s="8"/>
      <c r="B8" s="8"/>
      <c r="C8" s="8"/>
      <c r="D8" s="21"/>
    </row>
    <row r="9" spans="1:5" x14ac:dyDescent="0.2">
      <c r="A9" s="6" t="s">
        <v>40</v>
      </c>
      <c r="B9" s="6" t="s">
        <v>55</v>
      </c>
      <c r="C9" s="6" t="s">
        <v>56</v>
      </c>
      <c r="D9" s="20"/>
      <c r="E9" s="11"/>
    </row>
    <row r="10" spans="1:5" x14ac:dyDescent="0.2">
      <c r="A10" s="106">
        <v>41305</v>
      </c>
      <c r="B10" s="12">
        <v>3.2500000000000001E-2</v>
      </c>
      <c r="C10" s="18">
        <v>31</v>
      </c>
      <c r="D10" s="113" t="s">
        <v>74</v>
      </c>
    </row>
    <row r="11" spans="1:5" x14ac:dyDescent="0.2">
      <c r="A11" s="107">
        <v>41333</v>
      </c>
      <c r="B11" s="13">
        <f>B10</f>
        <v>3.2500000000000001E-2</v>
      </c>
      <c r="C11" s="17">
        <v>28</v>
      </c>
      <c r="D11" s="114"/>
    </row>
    <row r="12" spans="1:5" x14ac:dyDescent="0.2">
      <c r="A12" s="107">
        <v>41364</v>
      </c>
      <c r="B12" s="13">
        <f>B11</f>
        <v>3.2500000000000001E-2</v>
      </c>
      <c r="C12" s="17">
        <v>31</v>
      </c>
      <c r="D12" s="114"/>
    </row>
    <row r="13" spans="1:5" x14ac:dyDescent="0.2">
      <c r="A13" s="107">
        <v>41394</v>
      </c>
      <c r="B13" s="13">
        <f t="shared" ref="B13:B33" si="0">B12</f>
        <v>3.2500000000000001E-2</v>
      </c>
      <c r="C13" s="17">
        <v>30</v>
      </c>
      <c r="D13" s="114"/>
    </row>
    <row r="14" spans="1:5" x14ac:dyDescent="0.2">
      <c r="A14" s="107">
        <v>41425</v>
      </c>
      <c r="B14" s="13">
        <f t="shared" si="0"/>
        <v>3.2500000000000001E-2</v>
      </c>
      <c r="C14" s="17">
        <v>31</v>
      </c>
      <c r="D14" s="114"/>
    </row>
    <row r="15" spans="1:5" x14ac:dyDescent="0.2">
      <c r="A15" s="107">
        <v>41455</v>
      </c>
      <c r="B15" s="13">
        <f t="shared" si="0"/>
        <v>3.2500000000000001E-2</v>
      </c>
      <c r="C15" s="17">
        <v>30</v>
      </c>
      <c r="D15" s="114"/>
    </row>
    <row r="16" spans="1:5" x14ac:dyDescent="0.2">
      <c r="A16" s="107">
        <v>41486</v>
      </c>
      <c r="B16" s="13">
        <f t="shared" si="0"/>
        <v>3.2500000000000001E-2</v>
      </c>
      <c r="C16" s="17">
        <v>31</v>
      </c>
      <c r="D16" s="114"/>
    </row>
    <row r="17" spans="1:4" x14ac:dyDescent="0.2">
      <c r="A17" s="107">
        <v>41517</v>
      </c>
      <c r="B17" s="13">
        <f t="shared" si="0"/>
        <v>3.2500000000000001E-2</v>
      </c>
      <c r="C17" s="17">
        <v>31</v>
      </c>
      <c r="D17" s="114"/>
    </row>
    <row r="18" spans="1:4" x14ac:dyDescent="0.2">
      <c r="A18" s="107">
        <v>41547</v>
      </c>
      <c r="B18" s="13">
        <f t="shared" si="0"/>
        <v>3.2500000000000001E-2</v>
      </c>
      <c r="C18" s="17">
        <v>30</v>
      </c>
      <c r="D18" s="114"/>
    </row>
    <row r="19" spans="1:4" x14ac:dyDescent="0.2">
      <c r="A19" s="107">
        <v>41578</v>
      </c>
      <c r="B19" s="13">
        <f t="shared" si="0"/>
        <v>3.2500000000000001E-2</v>
      </c>
      <c r="C19" s="17">
        <v>31</v>
      </c>
      <c r="D19" s="114"/>
    </row>
    <row r="20" spans="1:4" x14ac:dyDescent="0.2">
      <c r="A20" s="107">
        <v>41608</v>
      </c>
      <c r="B20" s="13">
        <f t="shared" si="0"/>
        <v>3.2500000000000001E-2</v>
      </c>
      <c r="C20" s="17">
        <v>30</v>
      </c>
      <c r="D20" s="114"/>
    </row>
    <row r="21" spans="1:4" x14ac:dyDescent="0.2">
      <c r="A21" s="108">
        <v>41639</v>
      </c>
      <c r="B21" s="14">
        <f t="shared" si="0"/>
        <v>3.2500000000000001E-2</v>
      </c>
      <c r="C21" s="16">
        <v>31</v>
      </c>
      <c r="D21" s="115"/>
    </row>
    <row r="22" spans="1:4" ht="12.75" customHeight="1" x14ac:dyDescent="0.2">
      <c r="A22" s="106">
        <v>41670</v>
      </c>
      <c r="B22" s="13">
        <f t="shared" si="0"/>
        <v>3.2500000000000001E-2</v>
      </c>
      <c r="C22" s="18">
        <v>31</v>
      </c>
      <c r="D22" s="113" t="s">
        <v>79</v>
      </c>
    </row>
    <row r="23" spans="1:4" x14ac:dyDescent="0.2">
      <c r="A23" s="107">
        <v>41698</v>
      </c>
      <c r="B23" s="13">
        <f t="shared" si="0"/>
        <v>3.2500000000000001E-2</v>
      </c>
      <c r="C23" s="17">
        <v>28</v>
      </c>
      <c r="D23" s="114"/>
    </row>
    <row r="24" spans="1:4" x14ac:dyDescent="0.2">
      <c r="A24" s="107">
        <v>41729</v>
      </c>
      <c r="B24" s="13">
        <f t="shared" si="0"/>
        <v>3.2500000000000001E-2</v>
      </c>
      <c r="C24" s="17">
        <v>31</v>
      </c>
      <c r="D24" s="114"/>
    </row>
    <row r="25" spans="1:4" x14ac:dyDescent="0.2">
      <c r="A25" s="107">
        <v>41759</v>
      </c>
      <c r="B25" s="13">
        <f t="shared" si="0"/>
        <v>3.2500000000000001E-2</v>
      </c>
      <c r="C25" s="17">
        <v>30</v>
      </c>
      <c r="D25" s="114"/>
    </row>
    <row r="26" spans="1:4" x14ac:dyDescent="0.2">
      <c r="A26" s="107">
        <v>41790</v>
      </c>
      <c r="B26" s="13">
        <f t="shared" si="0"/>
        <v>3.2500000000000001E-2</v>
      </c>
      <c r="C26" s="17">
        <v>31</v>
      </c>
      <c r="D26" s="114"/>
    </row>
    <row r="27" spans="1:4" x14ac:dyDescent="0.2">
      <c r="A27" s="107">
        <v>41820</v>
      </c>
      <c r="B27" s="13">
        <f t="shared" si="0"/>
        <v>3.2500000000000001E-2</v>
      </c>
      <c r="C27" s="17">
        <v>30</v>
      </c>
      <c r="D27" s="114"/>
    </row>
    <row r="28" spans="1:4" x14ac:dyDescent="0.2">
      <c r="A28" s="107">
        <v>41851</v>
      </c>
      <c r="B28" s="13">
        <f t="shared" si="0"/>
        <v>3.2500000000000001E-2</v>
      </c>
      <c r="C28" s="17">
        <v>31</v>
      </c>
      <c r="D28" s="114"/>
    </row>
    <row r="29" spans="1:4" x14ac:dyDescent="0.2">
      <c r="A29" s="107">
        <v>41882</v>
      </c>
      <c r="B29" s="13">
        <f t="shared" si="0"/>
        <v>3.2500000000000001E-2</v>
      </c>
      <c r="C29" s="17">
        <v>31</v>
      </c>
      <c r="D29" s="114"/>
    </row>
    <row r="30" spans="1:4" x14ac:dyDescent="0.2">
      <c r="A30" s="107">
        <v>41912</v>
      </c>
      <c r="B30" s="13">
        <f t="shared" si="0"/>
        <v>3.2500000000000001E-2</v>
      </c>
      <c r="C30" s="17">
        <v>30</v>
      </c>
      <c r="D30" s="114"/>
    </row>
    <row r="31" spans="1:4" x14ac:dyDescent="0.2">
      <c r="A31" s="107">
        <v>41943</v>
      </c>
      <c r="B31" s="13">
        <f t="shared" si="0"/>
        <v>3.2500000000000001E-2</v>
      </c>
      <c r="C31" s="17">
        <v>31</v>
      </c>
      <c r="D31" s="114"/>
    </row>
    <row r="32" spans="1:4" x14ac:dyDescent="0.2">
      <c r="A32" s="107">
        <v>41973</v>
      </c>
      <c r="B32" s="13">
        <f t="shared" si="0"/>
        <v>3.2500000000000001E-2</v>
      </c>
      <c r="C32" s="17">
        <v>30</v>
      </c>
      <c r="D32" s="114"/>
    </row>
    <row r="33" spans="1:4" x14ac:dyDescent="0.2">
      <c r="A33" s="108">
        <v>42004</v>
      </c>
      <c r="B33" s="14">
        <f t="shared" si="0"/>
        <v>3.2500000000000001E-2</v>
      </c>
      <c r="C33" s="16">
        <v>31</v>
      </c>
      <c r="D33" s="115"/>
    </row>
    <row r="34" spans="1:4" s="54" customFormat="1" ht="12.75" customHeight="1" x14ac:dyDescent="0.2">
      <c r="A34" s="106">
        <v>42035</v>
      </c>
      <c r="B34" s="13">
        <f>B33</f>
        <v>3.2500000000000001E-2</v>
      </c>
      <c r="C34" s="18">
        <v>31</v>
      </c>
      <c r="D34" s="113" t="s">
        <v>91</v>
      </c>
    </row>
    <row r="35" spans="1:4" s="54" customFormat="1" x14ac:dyDescent="0.2">
      <c r="A35" s="107">
        <v>42063</v>
      </c>
      <c r="B35" s="13">
        <f t="shared" ref="B35:B57" si="1">B34</f>
        <v>3.2500000000000001E-2</v>
      </c>
      <c r="C35" s="17">
        <v>28</v>
      </c>
      <c r="D35" s="114"/>
    </row>
    <row r="36" spans="1:4" s="54" customFormat="1" x14ac:dyDescent="0.2">
      <c r="A36" s="107">
        <v>42094</v>
      </c>
      <c r="B36" s="13">
        <f t="shared" si="1"/>
        <v>3.2500000000000001E-2</v>
      </c>
      <c r="C36" s="17">
        <v>31</v>
      </c>
      <c r="D36" s="114"/>
    </row>
    <row r="37" spans="1:4" s="54" customFormat="1" x14ac:dyDescent="0.2">
      <c r="A37" s="107">
        <v>42124</v>
      </c>
      <c r="B37" s="13">
        <f t="shared" si="1"/>
        <v>3.2500000000000001E-2</v>
      </c>
      <c r="C37" s="17">
        <v>30</v>
      </c>
      <c r="D37" s="114"/>
    </row>
    <row r="38" spans="1:4" s="54" customFormat="1" x14ac:dyDescent="0.2">
      <c r="A38" s="107">
        <v>42155</v>
      </c>
      <c r="B38" s="13">
        <f t="shared" si="1"/>
        <v>3.2500000000000001E-2</v>
      </c>
      <c r="C38" s="17">
        <v>31</v>
      </c>
      <c r="D38" s="114"/>
    </row>
    <row r="39" spans="1:4" s="54" customFormat="1" x14ac:dyDescent="0.2">
      <c r="A39" s="107">
        <v>42185</v>
      </c>
      <c r="B39" s="13">
        <f t="shared" si="1"/>
        <v>3.2500000000000001E-2</v>
      </c>
      <c r="C39" s="17">
        <v>30</v>
      </c>
      <c r="D39" s="114"/>
    </row>
    <row r="40" spans="1:4" s="54" customFormat="1" x14ac:dyDescent="0.2">
      <c r="A40" s="107">
        <v>42216</v>
      </c>
      <c r="B40" s="13">
        <f t="shared" si="1"/>
        <v>3.2500000000000001E-2</v>
      </c>
      <c r="C40" s="17">
        <v>31</v>
      </c>
      <c r="D40" s="114"/>
    </row>
    <row r="41" spans="1:4" s="54" customFormat="1" x14ac:dyDescent="0.2">
      <c r="A41" s="107">
        <v>42247</v>
      </c>
      <c r="B41" s="13">
        <f t="shared" si="1"/>
        <v>3.2500000000000001E-2</v>
      </c>
      <c r="C41" s="17">
        <v>31</v>
      </c>
      <c r="D41" s="114"/>
    </row>
    <row r="42" spans="1:4" s="54" customFormat="1" x14ac:dyDescent="0.2">
      <c r="A42" s="107">
        <v>42277</v>
      </c>
      <c r="B42" s="13">
        <f t="shared" si="1"/>
        <v>3.2500000000000001E-2</v>
      </c>
      <c r="C42" s="17">
        <v>30</v>
      </c>
      <c r="D42" s="114"/>
    </row>
    <row r="43" spans="1:4" s="54" customFormat="1" x14ac:dyDescent="0.2">
      <c r="A43" s="107">
        <v>42308</v>
      </c>
      <c r="B43" s="13">
        <f t="shared" si="1"/>
        <v>3.2500000000000001E-2</v>
      </c>
      <c r="C43" s="17">
        <v>31</v>
      </c>
      <c r="D43" s="114"/>
    </row>
    <row r="44" spans="1:4" s="54" customFormat="1" x14ac:dyDescent="0.2">
      <c r="A44" s="107">
        <v>42338</v>
      </c>
      <c r="B44" s="13">
        <f t="shared" si="1"/>
        <v>3.2500000000000001E-2</v>
      </c>
      <c r="C44" s="17">
        <v>30</v>
      </c>
      <c r="D44" s="114"/>
    </row>
    <row r="45" spans="1:4" s="54" customFormat="1" x14ac:dyDescent="0.2">
      <c r="A45" s="108">
        <v>42369</v>
      </c>
      <c r="B45" s="14">
        <f t="shared" si="1"/>
        <v>3.2500000000000001E-2</v>
      </c>
      <c r="C45" s="16">
        <v>31</v>
      </c>
      <c r="D45" s="115"/>
    </row>
    <row r="46" spans="1:4" s="86" customFormat="1" ht="12.75" customHeight="1" x14ac:dyDescent="0.2">
      <c r="A46" s="107">
        <v>42400</v>
      </c>
      <c r="B46" s="13">
        <f t="shared" si="1"/>
        <v>3.2500000000000001E-2</v>
      </c>
      <c r="C46" s="18">
        <v>31</v>
      </c>
      <c r="D46" s="113" t="s">
        <v>97</v>
      </c>
    </row>
    <row r="47" spans="1:4" s="86" customFormat="1" x14ac:dyDescent="0.2">
      <c r="A47" s="107">
        <v>42429</v>
      </c>
      <c r="B47" s="13">
        <f t="shared" si="1"/>
        <v>3.2500000000000001E-2</v>
      </c>
      <c r="C47" s="17">
        <v>29</v>
      </c>
      <c r="D47" s="114"/>
    </row>
    <row r="48" spans="1:4" s="86" customFormat="1" x14ac:dyDescent="0.2">
      <c r="A48" s="107">
        <v>42460</v>
      </c>
      <c r="B48" s="13">
        <f t="shared" si="1"/>
        <v>3.2500000000000001E-2</v>
      </c>
      <c r="C48" s="17">
        <v>31</v>
      </c>
      <c r="D48" s="114"/>
    </row>
    <row r="49" spans="1:4" s="86" customFormat="1" x14ac:dyDescent="0.2">
      <c r="A49" s="107">
        <v>42490</v>
      </c>
      <c r="B49" s="13">
        <f t="shared" si="1"/>
        <v>3.2500000000000001E-2</v>
      </c>
      <c r="C49" s="17">
        <v>30</v>
      </c>
      <c r="D49" s="114"/>
    </row>
    <row r="50" spans="1:4" s="86" customFormat="1" x14ac:dyDescent="0.2">
      <c r="A50" s="107">
        <v>42521</v>
      </c>
      <c r="B50" s="13">
        <f t="shared" si="1"/>
        <v>3.2500000000000001E-2</v>
      </c>
      <c r="C50" s="17">
        <v>31</v>
      </c>
      <c r="D50" s="114"/>
    </row>
    <row r="51" spans="1:4" s="86" customFormat="1" x14ac:dyDescent="0.2">
      <c r="A51" s="107">
        <v>42551</v>
      </c>
      <c r="B51" s="13">
        <f t="shared" si="1"/>
        <v>3.2500000000000001E-2</v>
      </c>
      <c r="C51" s="17">
        <v>30</v>
      </c>
      <c r="D51" s="114"/>
    </row>
    <row r="52" spans="1:4" s="86" customFormat="1" x14ac:dyDescent="0.2">
      <c r="A52" s="107">
        <v>42582</v>
      </c>
      <c r="B52" s="13">
        <f t="shared" si="1"/>
        <v>3.2500000000000001E-2</v>
      </c>
      <c r="C52" s="17">
        <v>31</v>
      </c>
      <c r="D52" s="114"/>
    </row>
    <row r="53" spans="1:4" s="86" customFormat="1" x14ac:dyDescent="0.2">
      <c r="A53" s="107">
        <v>42613</v>
      </c>
      <c r="B53" s="13">
        <f t="shared" si="1"/>
        <v>3.2500000000000001E-2</v>
      </c>
      <c r="C53" s="17">
        <v>31</v>
      </c>
      <c r="D53" s="114"/>
    </row>
    <row r="54" spans="1:4" s="86" customFormat="1" x14ac:dyDescent="0.2">
      <c r="A54" s="107">
        <v>42643</v>
      </c>
      <c r="B54" s="13">
        <f t="shared" si="1"/>
        <v>3.2500000000000001E-2</v>
      </c>
      <c r="C54" s="17">
        <v>30</v>
      </c>
      <c r="D54" s="114"/>
    </row>
    <row r="55" spans="1:4" s="86" customFormat="1" x14ac:dyDescent="0.2">
      <c r="A55" s="107">
        <v>42674</v>
      </c>
      <c r="B55" s="13">
        <f t="shared" si="1"/>
        <v>3.2500000000000001E-2</v>
      </c>
      <c r="C55" s="17">
        <v>31</v>
      </c>
      <c r="D55" s="114"/>
    </row>
    <row r="56" spans="1:4" s="86" customFormat="1" x14ac:dyDescent="0.2">
      <c r="A56" s="107">
        <v>42704</v>
      </c>
      <c r="B56" s="13">
        <f t="shared" si="1"/>
        <v>3.2500000000000001E-2</v>
      </c>
      <c r="C56" s="17">
        <v>30</v>
      </c>
      <c r="D56" s="114"/>
    </row>
    <row r="57" spans="1:4" s="86" customFormat="1" x14ac:dyDescent="0.2">
      <c r="A57" s="108">
        <v>42735</v>
      </c>
      <c r="B57" s="14">
        <f t="shared" si="1"/>
        <v>3.2500000000000001E-2</v>
      </c>
      <c r="C57" s="16">
        <v>31</v>
      </c>
      <c r="D57" s="115"/>
    </row>
    <row r="65" spans="1:1" x14ac:dyDescent="0.2">
      <c r="A65" s="83"/>
    </row>
  </sheetData>
  <mergeCells count="7">
    <mergeCell ref="D46:D57"/>
    <mergeCell ref="D22:D33"/>
    <mergeCell ref="D34:D45"/>
    <mergeCell ref="D10:D21"/>
    <mergeCell ref="A1:D1"/>
    <mergeCell ref="A2:D2"/>
    <mergeCell ref="A3:D3"/>
  </mergeCells>
  <phoneticPr fontId="0" type="noConversion"/>
  <hyperlinks>
    <hyperlink ref="A7" r:id="rId1"/>
  </hyperlinks>
  <printOptions gridLinesSet="0"/>
  <pageMargins left="0.5" right="0.25" top="0.5" bottom="0.25" header="0.5" footer="0.5"/>
  <pageSetup orientation="portrait" r:id="rId2"/>
  <headerFooter scaleWithDoc="0"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view="pageBreakPreview" zoomScaleNormal="60" zoomScaleSheetLayoutView="100" workbookViewId="0">
      <pane xSplit="1" ySplit="4" topLeftCell="B5"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8.33203125" style="1" bestFit="1" customWidth="1"/>
    <col min="2" max="2" width="11.77734375" style="41" bestFit="1" customWidth="1"/>
    <col min="3" max="3" width="12.33203125" style="41" bestFit="1" customWidth="1"/>
    <col min="4" max="4" width="10.77734375" style="41" bestFit="1" customWidth="1"/>
    <col min="5" max="5" width="8.5546875" style="33" bestFit="1" customWidth="1"/>
    <col min="6" max="6" width="8" style="43" bestFit="1" customWidth="1"/>
    <col min="7" max="7" width="6.88671875" style="41" customWidth="1"/>
    <col min="8" max="8" width="8.6640625" style="33" bestFit="1" customWidth="1"/>
    <col min="9" max="9" width="8.5546875" style="33" bestFit="1" customWidth="1"/>
    <col min="10" max="10" width="11.77734375" style="44" customWidth="1"/>
    <col min="11" max="11" width="10.5546875" style="33" customWidth="1"/>
    <col min="12" max="12" width="7.88671875" style="37" customWidth="1"/>
    <col min="13" max="13" width="8.5546875" style="46" bestFit="1" customWidth="1"/>
    <col min="14" max="14" width="9.6640625" style="33" bestFit="1" customWidth="1"/>
    <col min="15" max="15" width="8.88671875" style="38" customWidth="1"/>
    <col min="16" max="16" width="6.5546875" style="47" customWidth="1"/>
    <col min="17" max="17" width="18.88671875" style="1" bestFit="1" customWidth="1"/>
    <col min="18" max="21" width="12.77734375" style="1" customWidth="1"/>
    <col min="22" max="16384" width="8.88671875" style="1"/>
  </cols>
  <sheetData>
    <row r="1" spans="1:16" ht="15.75" x14ac:dyDescent="0.25">
      <c r="A1" s="118" t="s">
        <v>61</v>
      </c>
      <c r="B1" s="119"/>
      <c r="C1" s="119"/>
      <c r="D1" s="119"/>
      <c r="E1" s="119"/>
      <c r="F1" s="119"/>
      <c r="G1" s="119"/>
      <c r="H1" s="119"/>
      <c r="I1" s="119"/>
      <c r="J1" s="119"/>
      <c r="K1" s="119"/>
      <c r="L1" s="119"/>
      <c r="M1" s="119"/>
      <c r="N1" s="119"/>
      <c r="O1" s="119"/>
      <c r="P1" s="120"/>
    </row>
    <row r="2" spans="1:16" ht="16.5" thickBot="1" x14ac:dyDescent="0.3">
      <c r="A2" s="121" t="s">
        <v>90</v>
      </c>
      <c r="B2" s="122"/>
      <c r="C2" s="122"/>
      <c r="D2" s="122"/>
      <c r="E2" s="122"/>
      <c r="F2" s="122"/>
      <c r="G2" s="122"/>
      <c r="H2" s="122"/>
      <c r="I2" s="122"/>
      <c r="J2" s="122"/>
      <c r="K2" s="122"/>
      <c r="L2" s="122"/>
      <c r="M2" s="122"/>
      <c r="N2" s="122"/>
      <c r="O2" s="122"/>
      <c r="P2" s="123"/>
    </row>
    <row r="3" spans="1:16" s="30" customFormat="1" ht="15.75" customHeight="1" x14ac:dyDescent="0.2">
      <c r="A3" s="124" t="s">
        <v>8</v>
      </c>
      <c r="B3" s="126" t="s">
        <v>5</v>
      </c>
      <c r="C3" s="127"/>
      <c r="D3" s="127"/>
      <c r="E3" s="128"/>
      <c r="F3" s="126" t="s">
        <v>6</v>
      </c>
      <c r="G3" s="127"/>
      <c r="H3" s="128"/>
      <c r="I3" s="129" t="s">
        <v>10</v>
      </c>
      <c r="J3" s="131" t="s">
        <v>62</v>
      </c>
      <c r="K3" s="133" t="s">
        <v>63</v>
      </c>
      <c r="L3" s="135" t="s">
        <v>7</v>
      </c>
      <c r="M3" s="136"/>
      <c r="N3" s="136"/>
      <c r="O3" s="137" t="s">
        <v>66</v>
      </c>
      <c r="P3" s="116" t="s">
        <v>73</v>
      </c>
    </row>
    <row r="4" spans="1:16" s="29" customFormat="1" ht="60" customHeight="1" x14ac:dyDescent="0.2">
      <c r="A4" s="125"/>
      <c r="B4" s="39" t="s">
        <v>37</v>
      </c>
      <c r="C4" s="39" t="s">
        <v>36</v>
      </c>
      <c r="D4" s="39" t="s">
        <v>38</v>
      </c>
      <c r="E4" s="34" t="s">
        <v>9</v>
      </c>
      <c r="F4" s="42" t="s">
        <v>58</v>
      </c>
      <c r="G4" s="39" t="s">
        <v>59</v>
      </c>
      <c r="H4" s="34" t="s">
        <v>60</v>
      </c>
      <c r="I4" s="130"/>
      <c r="J4" s="132"/>
      <c r="K4" s="134"/>
      <c r="L4" s="34" t="s">
        <v>11</v>
      </c>
      <c r="M4" s="45" t="s">
        <v>12</v>
      </c>
      <c r="N4" s="34" t="s">
        <v>65</v>
      </c>
      <c r="O4" s="138"/>
      <c r="P4" s="117"/>
    </row>
    <row r="5" spans="1:16" x14ac:dyDescent="0.2">
      <c r="A5" s="52">
        <f>'FERC Interest Rates'!A20</f>
        <v>41608</v>
      </c>
      <c r="B5" s="48">
        <v>8981544</v>
      </c>
      <c r="C5" s="48">
        <v>6245512</v>
      </c>
      <c r="D5" s="48">
        <v>1246219</v>
      </c>
      <c r="E5" s="78">
        <f t="shared" ref="E5:E28" si="0">SUM(B5:D5)</f>
        <v>16473275</v>
      </c>
      <c r="F5" s="43">
        <f>-3562+4052+1032</f>
        <v>1522</v>
      </c>
      <c r="G5" s="48">
        <f>-391811+391811+473546</f>
        <v>473546</v>
      </c>
      <c r="H5" s="78">
        <f t="shared" ref="H5:H18" si="1">SUM(F5:G5)</f>
        <v>475068</v>
      </c>
      <c r="I5" s="80">
        <f t="shared" ref="I5:I18" si="2">E5+H5</f>
        <v>16948343</v>
      </c>
      <c r="J5" s="48">
        <f>-42876225-32657013+42877182+32657503+39204659+27378417</f>
        <v>66584523</v>
      </c>
      <c r="K5" s="80">
        <f t="shared" ref="K5" si="3">I5+J5</f>
        <v>83532866</v>
      </c>
      <c r="L5" s="35" t="s">
        <v>64</v>
      </c>
      <c r="M5" s="40">
        <f>6694156+496393+160011+2427804+415916+1440127+893391+560544+1022722+273455-(6694156+496393+160011+2427804+415916+1440127+893391+560544+1022722+273455)+6877899+554962+2079912+3071618+306266+1422327+784739+529710+1054644+278549</f>
        <v>16960626</v>
      </c>
      <c r="N5" s="78">
        <f t="shared" ref="N5:N18" si="4">J5-M5</f>
        <v>49623897</v>
      </c>
      <c r="O5" s="80">
        <f t="shared" ref="O5:O18" si="5">K5-M5</f>
        <v>66572240</v>
      </c>
      <c r="P5" s="49">
        <f>-496393+496393+554962</f>
        <v>554962</v>
      </c>
    </row>
    <row r="6" spans="1:16" s="54" customFormat="1" x14ac:dyDescent="0.2">
      <c r="A6" s="52">
        <f>'FERC Interest Rates'!A21</f>
        <v>41639</v>
      </c>
      <c r="B6" s="48">
        <v>18320588</v>
      </c>
      <c r="C6" s="48">
        <v>11226493</v>
      </c>
      <c r="D6" s="48">
        <v>3079194</v>
      </c>
      <c r="E6" s="78">
        <f t="shared" si="0"/>
        <v>32626275</v>
      </c>
      <c r="F6" s="43">
        <f>-1032+1032+9420</f>
        <v>9420</v>
      </c>
      <c r="G6" s="48">
        <f>-473546+473546+594027</f>
        <v>594027</v>
      </c>
      <c r="H6" s="78">
        <f t="shared" si="1"/>
        <v>603447</v>
      </c>
      <c r="I6" s="80">
        <f t="shared" si="2"/>
        <v>33229722</v>
      </c>
      <c r="J6" s="48">
        <f>-39204659-27378417+39042548+27378417+42249626+40077801</f>
        <v>82165316</v>
      </c>
      <c r="K6" s="80">
        <f>I6+J6</f>
        <v>115395038</v>
      </c>
      <c r="L6" s="35" t="s">
        <v>64</v>
      </c>
      <c r="M6" s="40">
        <f>6877899+554962+2079912+2904516+306266+1422327+784739+529710+1054644+278549-(6877899+554962+2079912+3071618+306266+1422327+784739+529710+1054644+278549)+7483576+646377+5363751+3070454+401145+2035761+871026+432080+1151260+295911</f>
        <v>21584239</v>
      </c>
      <c r="N6" s="78">
        <f t="shared" si="4"/>
        <v>60581077</v>
      </c>
      <c r="O6" s="80">
        <f t="shared" si="5"/>
        <v>93810799</v>
      </c>
      <c r="P6" s="49">
        <f>-554962+554962+646377</f>
        <v>646377</v>
      </c>
    </row>
    <row r="7" spans="1:16" s="54" customFormat="1" x14ac:dyDescent="0.2">
      <c r="A7" s="52">
        <f>'FERC Interest Rates'!A22</f>
        <v>41670</v>
      </c>
      <c r="B7" s="48">
        <v>20899551</v>
      </c>
      <c r="C7" s="48">
        <v>15807954</v>
      </c>
      <c r="D7" s="48">
        <v>1390372</v>
      </c>
      <c r="E7" s="78">
        <f t="shared" si="0"/>
        <v>38097877</v>
      </c>
      <c r="F7" s="43">
        <f>-9420+9420+8828</f>
        <v>8828</v>
      </c>
      <c r="G7" s="48">
        <f>-594027+594027+549498</f>
        <v>549498</v>
      </c>
      <c r="H7" s="78">
        <f t="shared" si="1"/>
        <v>558326</v>
      </c>
      <c r="I7" s="80">
        <f t="shared" si="2"/>
        <v>38656203</v>
      </c>
      <c r="J7" s="48">
        <f>-42249626-40077801+42261388+40077801+43482656+31005941</f>
        <v>74500359</v>
      </c>
      <c r="K7" s="80">
        <f t="shared" ref="K7:K18" si="6">I7+J7</f>
        <v>113156562</v>
      </c>
      <c r="L7" s="35" t="s">
        <v>64</v>
      </c>
      <c r="M7" s="40">
        <f>7483576+650345+5363751+3070454+401145+2035761+871026+432080+1151260+295911-(7483576+646377+5363751+3070454+401145+2035761+871026+432080+1151260+295911)+7924631+591555+530261+2952608+274556+1903119+968198+560606+1168015+296681</f>
        <v>17174198</v>
      </c>
      <c r="N7" s="78">
        <f t="shared" si="4"/>
        <v>57326161</v>
      </c>
      <c r="O7" s="80">
        <f t="shared" si="5"/>
        <v>95982364</v>
      </c>
      <c r="P7" s="49">
        <f>-646377+650345+591555</f>
        <v>595523</v>
      </c>
    </row>
    <row r="8" spans="1:16" x14ac:dyDescent="0.2">
      <c r="A8" s="52">
        <f>'FERC Interest Rates'!A23</f>
        <v>41698</v>
      </c>
      <c r="B8" s="48">
        <v>18728366</v>
      </c>
      <c r="C8" s="48">
        <v>13972473</v>
      </c>
      <c r="D8" s="48">
        <v>1430555</v>
      </c>
      <c r="E8" s="78">
        <f t="shared" si="0"/>
        <v>34131394</v>
      </c>
      <c r="F8" s="43">
        <f>-8828+8828+14228</f>
        <v>14228</v>
      </c>
      <c r="G8" s="48">
        <f>-549498+549498+509515</f>
        <v>509515</v>
      </c>
      <c r="H8" s="78">
        <f t="shared" si="1"/>
        <v>523743</v>
      </c>
      <c r="I8" s="80">
        <f t="shared" si="2"/>
        <v>34655137</v>
      </c>
      <c r="J8" s="48">
        <f>-43482656-31005941+43519263+31240262+37914010+26420186</f>
        <v>64605124</v>
      </c>
      <c r="K8" s="80">
        <f t="shared" si="6"/>
        <v>99260261</v>
      </c>
      <c r="L8" s="35" t="s">
        <v>64</v>
      </c>
      <c r="M8" s="40">
        <f>7924631+591555+764582+2952608+274556+1903119+968198+560606+1168015+296681-(7924631+591555+530261+2952608+274556+1903119+968198+560606+1168015+296681)+7052079+530616+2340924+3093441+320341+1568449+697252+430841+1002529+285932</f>
        <v>17556725</v>
      </c>
      <c r="N8" s="78">
        <f t="shared" si="4"/>
        <v>47048399</v>
      </c>
      <c r="O8" s="80">
        <f t="shared" si="5"/>
        <v>81703536</v>
      </c>
      <c r="P8" s="49">
        <f>-591555+591555+530616</f>
        <v>530616</v>
      </c>
    </row>
    <row r="9" spans="1:16" x14ac:dyDescent="0.2">
      <c r="A9" s="52">
        <f>'FERC Interest Rates'!A24</f>
        <v>41729</v>
      </c>
      <c r="B9" s="48">
        <v>16273150</v>
      </c>
      <c r="C9" s="48">
        <v>12143699</v>
      </c>
      <c r="D9" s="48">
        <v>1316970</v>
      </c>
      <c r="E9" s="78">
        <f t="shared" si="0"/>
        <v>29733819</v>
      </c>
      <c r="F9" s="43">
        <f>-14228+14228+13441</f>
        <v>13441</v>
      </c>
      <c r="G9" s="48">
        <f>-509515+509515+447136</f>
        <v>447136</v>
      </c>
      <c r="H9" s="78">
        <f t="shared" si="1"/>
        <v>460577</v>
      </c>
      <c r="I9" s="80">
        <f t="shared" si="2"/>
        <v>30194396</v>
      </c>
      <c r="J9" s="48">
        <f>-37914010-26420186+37923911+26420186+38417588+12622035</f>
        <v>51049524</v>
      </c>
      <c r="K9" s="80">
        <f t="shared" si="6"/>
        <v>81243920</v>
      </c>
      <c r="L9" s="35" t="s">
        <v>64</v>
      </c>
      <c r="M9" s="40">
        <f>7052079+530616+2340924+3093441+320341+1568449+697252+430841+1002529+285932-(7052079+530616+2340924+3093441+320341+1568449+697252+430841+1002529+285932)+10350347+506888+358742+3325061+664366+1689724+886841+442692+1067268+298497</f>
        <v>19590426</v>
      </c>
      <c r="N9" s="78">
        <f t="shared" si="4"/>
        <v>31459098</v>
      </c>
      <c r="O9" s="80">
        <f t="shared" si="5"/>
        <v>61653494</v>
      </c>
      <c r="P9" s="49">
        <f>-530616+530616+506888</f>
        <v>506888</v>
      </c>
    </row>
    <row r="10" spans="1:16" x14ac:dyDescent="0.2">
      <c r="A10" s="52">
        <f>'FERC Interest Rates'!A25</f>
        <v>41759</v>
      </c>
      <c r="B10" s="48">
        <v>10535035</v>
      </c>
      <c r="C10" s="48">
        <v>6890795</v>
      </c>
      <c r="D10" s="48">
        <v>1792618</v>
      </c>
      <c r="E10" s="78">
        <f t="shared" si="0"/>
        <v>19218448</v>
      </c>
      <c r="F10" s="43">
        <f>-13441+13441+13712</f>
        <v>13712</v>
      </c>
      <c r="G10" s="48">
        <f>-447136+447136+369197</f>
        <v>369197</v>
      </c>
      <c r="H10" s="78">
        <f t="shared" si="1"/>
        <v>382909</v>
      </c>
      <c r="I10" s="80">
        <f t="shared" si="2"/>
        <v>19601357</v>
      </c>
      <c r="J10" s="48">
        <f>-38417588-12622035+38424653+12622035+35791910-1689724+12474229</f>
        <v>46583480</v>
      </c>
      <c r="K10" s="80">
        <f t="shared" si="6"/>
        <v>66184837</v>
      </c>
      <c r="L10" s="35" t="s">
        <v>64</v>
      </c>
      <c r="M10" s="40">
        <f>10350347+499489+358742+3325061+664366+1698951+886841+442692+1067268+298497-(10350347+506888+358742+3325061+664366+1689724+886841+442692+1067268+298497)+9796313+429432+80912+2379064+880319+1657442+751000+321536+1050993+291110</f>
        <v>17639949</v>
      </c>
      <c r="N10" s="78">
        <f t="shared" si="4"/>
        <v>28943531</v>
      </c>
      <c r="O10" s="80">
        <f t="shared" si="5"/>
        <v>48544888</v>
      </c>
      <c r="P10" s="49">
        <f>-506888+499489+429432</f>
        <v>422033</v>
      </c>
    </row>
    <row r="11" spans="1:16" x14ac:dyDescent="0.2">
      <c r="A11" s="52">
        <f>'FERC Interest Rates'!A26</f>
        <v>41790</v>
      </c>
      <c r="B11" s="48">
        <v>6529687</v>
      </c>
      <c r="C11" s="48">
        <v>5039544</v>
      </c>
      <c r="D11" s="48">
        <v>730395</v>
      </c>
      <c r="E11" s="78">
        <f t="shared" si="0"/>
        <v>12299626</v>
      </c>
      <c r="F11" s="43">
        <f>-13712+13712+7236</f>
        <v>7236</v>
      </c>
      <c r="G11" s="48">
        <f>-369197+369197+280289</f>
        <v>280289</v>
      </c>
      <c r="H11" s="78">
        <f t="shared" si="1"/>
        <v>287525</v>
      </c>
      <c r="I11" s="80">
        <f t="shared" si="2"/>
        <v>12587151</v>
      </c>
      <c r="J11" s="48">
        <f>-35791910+1689724-12474229+34110077+12473803+33859025+11641045</f>
        <v>45507535</v>
      </c>
      <c r="K11" s="80">
        <f t="shared" si="6"/>
        <v>58094686</v>
      </c>
      <c r="L11" s="35" t="s">
        <v>64</v>
      </c>
      <c r="M11" s="40">
        <f>9796313+429432+80912+2379064+880319+1657442+751000+321536+1050993+291110-(9796313+429432+80912+2379064+880319+1657442+751000+321536+1050993+291110)+6382262+410029+544843+2415879+816156+1521158+508591+363130+1076119+289404</f>
        <v>14327571</v>
      </c>
      <c r="N11" s="78">
        <f t="shared" si="4"/>
        <v>31179964</v>
      </c>
      <c r="O11" s="80">
        <f t="shared" si="5"/>
        <v>43767115</v>
      </c>
      <c r="P11" s="49">
        <f>-429432+429432+410029</f>
        <v>410029</v>
      </c>
    </row>
    <row r="12" spans="1:16" x14ac:dyDescent="0.2">
      <c r="A12" s="52">
        <f>'FERC Interest Rates'!A27</f>
        <v>41820</v>
      </c>
      <c r="B12" s="48">
        <v>3836089</v>
      </c>
      <c r="C12" s="48">
        <v>3473639</v>
      </c>
      <c r="D12" s="48">
        <v>585889</v>
      </c>
      <c r="E12" s="78">
        <f t="shared" si="0"/>
        <v>7895617</v>
      </c>
      <c r="F12" s="43">
        <f>-7236+7236+12495</f>
        <v>12495</v>
      </c>
      <c r="G12" s="48">
        <f>-280289+280289+236982</f>
        <v>236982</v>
      </c>
      <c r="H12" s="78">
        <f t="shared" si="1"/>
        <v>249477</v>
      </c>
      <c r="I12" s="80">
        <f t="shared" si="2"/>
        <v>8145094</v>
      </c>
      <c r="J12" s="48">
        <f>-33859025-11641045+33861261+11641045+33441588+9166991</f>
        <v>42610815</v>
      </c>
      <c r="K12" s="80">
        <f t="shared" si="6"/>
        <v>50755909</v>
      </c>
      <c r="L12" s="35" t="s">
        <v>64</v>
      </c>
      <c r="M12" s="40">
        <f>6382262+410029+544843+2415879+816156+1521158+508591+363130+1076119+289404-(6382262+410029+544843+2415879+816156+1521158+508591+363130+1076119+289404)+5496890+368800+100442+2601535+574764+1429307+631237+325924+1072958+266055</f>
        <v>12867912</v>
      </c>
      <c r="N12" s="78">
        <f t="shared" si="4"/>
        <v>29742903</v>
      </c>
      <c r="O12" s="80">
        <f t="shared" si="5"/>
        <v>37887997</v>
      </c>
      <c r="P12" s="49">
        <f>-410029+410029+368800</f>
        <v>368800</v>
      </c>
    </row>
    <row r="13" spans="1:16" x14ac:dyDescent="0.2">
      <c r="A13" s="52">
        <f>'FERC Interest Rates'!A28</f>
        <v>41851</v>
      </c>
      <c r="B13" s="48">
        <v>3200841</v>
      </c>
      <c r="C13" s="48">
        <v>3132555</v>
      </c>
      <c r="D13" s="48">
        <v>589225</v>
      </c>
      <c r="E13" s="78">
        <f t="shared" si="0"/>
        <v>6922621</v>
      </c>
      <c r="F13" s="43">
        <f>-12495+12495+9729</f>
        <v>9729</v>
      </c>
      <c r="G13" s="48">
        <f>-236982+236982+230095</f>
        <v>230095</v>
      </c>
      <c r="H13" s="78">
        <f t="shared" si="1"/>
        <v>239824</v>
      </c>
      <c r="I13" s="80">
        <f t="shared" si="2"/>
        <v>7162445</v>
      </c>
      <c r="J13" s="48">
        <f>-33441588-9166991+33447225+9166991+34241270+26302235</f>
        <v>60549142</v>
      </c>
      <c r="K13" s="80">
        <f t="shared" si="6"/>
        <v>67711587</v>
      </c>
      <c r="L13" s="35" t="s">
        <v>64</v>
      </c>
      <c r="M13" s="40">
        <f>5496890+371579+100442+2601535+574764+1429307+631237+325924+1072958+266055-(5496890+368800+100442+2601535+574764+1429307+631237+325924+1072958+266055)+6437743+362338+2115355+2428151+719594+1420571+430483+210238+1083197+270305</f>
        <v>15480754</v>
      </c>
      <c r="N13" s="78">
        <f t="shared" si="4"/>
        <v>45068388</v>
      </c>
      <c r="O13" s="80">
        <f t="shared" si="5"/>
        <v>52230833</v>
      </c>
      <c r="P13" s="49">
        <f>-368800+371579+362338</f>
        <v>365117</v>
      </c>
    </row>
    <row r="14" spans="1:16" x14ac:dyDescent="0.2">
      <c r="A14" s="52">
        <f>'FERC Interest Rates'!A29</f>
        <v>41882</v>
      </c>
      <c r="B14" s="48">
        <v>2405032</v>
      </c>
      <c r="C14" s="48">
        <v>2624238</v>
      </c>
      <c r="D14" s="48">
        <v>469407</v>
      </c>
      <c r="E14" s="78">
        <f t="shared" si="0"/>
        <v>5498677</v>
      </c>
      <c r="F14" s="43">
        <f>-9729+9729+11012</f>
        <v>11012</v>
      </c>
      <c r="G14" s="48">
        <f>-230095+230095+209217</f>
        <v>209217</v>
      </c>
      <c r="H14" s="78">
        <f t="shared" si="1"/>
        <v>220229</v>
      </c>
      <c r="I14" s="80">
        <f t="shared" si="2"/>
        <v>5718906</v>
      </c>
      <c r="J14" s="48">
        <f>-34241270-26302235+34190840+26302235+35905732+41041046</f>
        <v>76896348</v>
      </c>
      <c r="K14" s="80">
        <f t="shared" si="6"/>
        <v>82615254</v>
      </c>
      <c r="L14" s="35" t="s">
        <v>64</v>
      </c>
      <c r="M14" s="40">
        <f>6437743+362338+2115355+2428151+719594+1420571+430483+210238+1083197+270305-(6437743+362338+2115355+2428151+719594+1420571+430483+210238+1083197+270305)+6468590+386762+5042350+2333053+500625+1378732+767133+428981+1079807+270265</f>
        <v>18656298</v>
      </c>
      <c r="N14" s="78">
        <f t="shared" si="4"/>
        <v>58240050</v>
      </c>
      <c r="O14" s="80">
        <f t="shared" si="5"/>
        <v>63958956</v>
      </c>
      <c r="P14" s="49">
        <f>-362338+362338+386762</f>
        <v>386762</v>
      </c>
    </row>
    <row r="15" spans="1:16" x14ac:dyDescent="0.2">
      <c r="A15" s="52">
        <f>'FERC Interest Rates'!A30</f>
        <v>41912</v>
      </c>
      <c r="B15" s="48">
        <v>2661734</v>
      </c>
      <c r="C15" s="48">
        <v>2810250</v>
      </c>
      <c r="D15" s="48">
        <v>633602</v>
      </c>
      <c r="E15" s="78">
        <f t="shared" si="0"/>
        <v>6105586</v>
      </c>
      <c r="F15" s="43">
        <f>-11012+11012+12365</f>
        <v>12365</v>
      </c>
      <c r="G15" s="48">
        <f>-209217+209217+251364</f>
        <v>251364</v>
      </c>
      <c r="H15" s="78">
        <f t="shared" si="1"/>
        <v>263729</v>
      </c>
      <c r="I15" s="80">
        <f t="shared" si="2"/>
        <v>6369315</v>
      </c>
      <c r="J15" s="48">
        <f>-35905732-41041046+35905963+41041046+37015948+38913065</f>
        <v>75929244</v>
      </c>
      <c r="K15" s="80">
        <f t="shared" si="6"/>
        <v>82298559</v>
      </c>
      <c r="L15" s="35" t="s">
        <v>64</v>
      </c>
      <c r="M15" s="40">
        <f>6468590+386762+5042350+2333053+500625+1378732+767133+428981+1079807+270265-(6468590+386762+5042350+2333053+500625+1378732+767133+428981+1079807+270265)+6768259+397090+4746980+2796281+172941+1499626+782947+412733+1044404+257076</f>
        <v>18878337</v>
      </c>
      <c r="N15" s="78">
        <f t="shared" si="4"/>
        <v>57050907</v>
      </c>
      <c r="O15" s="80">
        <f t="shared" si="5"/>
        <v>63420222</v>
      </c>
      <c r="P15" s="49">
        <f>-386762+386762+397090</f>
        <v>397090</v>
      </c>
    </row>
    <row r="16" spans="1:16" s="54" customFormat="1" x14ac:dyDescent="0.2">
      <c r="A16" s="31">
        <f>'FERC Interest Rates'!A31</f>
        <v>41943</v>
      </c>
      <c r="B16" s="50">
        <v>3641361</v>
      </c>
      <c r="C16" s="50">
        <v>3597412</v>
      </c>
      <c r="D16" s="50">
        <v>1455055</v>
      </c>
      <c r="E16" s="79">
        <f t="shared" si="0"/>
        <v>8693828</v>
      </c>
      <c r="F16" s="51">
        <f>-12365+12365+12119</f>
        <v>12119</v>
      </c>
      <c r="G16" s="50">
        <f>-251364+251364+300915</f>
        <v>300915</v>
      </c>
      <c r="H16" s="79">
        <f t="shared" si="1"/>
        <v>313034</v>
      </c>
      <c r="I16" s="81">
        <f t="shared" si="2"/>
        <v>9006862</v>
      </c>
      <c r="J16" s="50">
        <f>-37015948-38913065+37019829+38913065+41711206+26835958</f>
        <v>68551045</v>
      </c>
      <c r="K16" s="81">
        <f t="shared" si="6"/>
        <v>77557907</v>
      </c>
      <c r="L16" s="36" t="s">
        <v>64</v>
      </c>
      <c r="M16" s="50">
        <f>6768259+400820+4746980+2796281+172941+1499626+782947+412733+1044404+257076-(6768259+397090+4746980+2796281+172941+1499626+782947+412733+1044404+257076)+7053573+428038+602341+2997600+38078+1574772+801305+400565+1128241+282568</f>
        <v>15310811</v>
      </c>
      <c r="N16" s="79">
        <f t="shared" si="4"/>
        <v>53240234</v>
      </c>
      <c r="O16" s="81">
        <f t="shared" si="5"/>
        <v>62247096</v>
      </c>
      <c r="P16" s="50">
        <f>-397090+400820+428038</f>
        <v>431768</v>
      </c>
    </row>
    <row r="17" spans="1:16" s="54" customFormat="1" x14ac:dyDescent="0.2">
      <c r="A17" s="52">
        <f>'FERC Interest Rates'!A32</f>
        <v>41973</v>
      </c>
      <c r="B17" s="48">
        <v>6851471</v>
      </c>
      <c r="C17" s="48">
        <v>4831845</v>
      </c>
      <c r="D17" s="48">
        <v>977303</v>
      </c>
      <c r="E17" s="78">
        <f t="shared" si="0"/>
        <v>12660619</v>
      </c>
      <c r="F17" s="43">
        <f>-12119+12119+11804</f>
        <v>11804</v>
      </c>
      <c r="G17" s="48">
        <f>-300915+300915+461069</f>
        <v>461069</v>
      </c>
      <c r="H17" s="78">
        <f t="shared" si="1"/>
        <v>472873</v>
      </c>
      <c r="I17" s="80">
        <f t="shared" si="2"/>
        <v>13133492</v>
      </c>
      <c r="J17" s="48">
        <f>-41711206-26835958+41710039+26835958+42244606+21309993</f>
        <v>63553432</v>
      </c>
      <c r="K17" s="80">
        <f t="shared" si="6"/>
        <v>76686924</v>
      </c>
      <c r="L17" s="35" t="s">
        <v>64</v>
      </c>
      <c r="M17" s="40">
        <f>7053573+428038+602341+2997600+38078+1574772+801305+400565+1128241+282568-(7053573+428038+602341+2997600+38078+1574772+801305+400565+1128241+282568)+7251568+535558+2317939+3141571+362918+1926299+824310+457802+1171801+290801</f>
        <v>18280567</v>
      </c>
      <c r="N17" s="78">
        <f t="shared" si="4"/>
        <v>45272865</v>
      </c>
      <c r="O17" s="80">
        <f t="shared" si="5"/>
        <v>58406357</v>
      </c>
      <c r="P17" s="49">
        <f>-428038+428038+535558</f>
        <v>535558</v>
      </c>
    </row>
    <row r="18" spans="1:16" s="54" customFormat="1" x14ac:dyDescent="0.2">
      <c r="A18" s="52">
        <f>'FERC Interest Rates'!A33</f>
        <v>42004</v>
      </c>
      <c r="B18" s="48">
        <v>16768304</v>
      </c>
      <c r="C18" s="48">
        <v>12223769</v>
      </c>
      <c r="D18" s="48">
        <v>1506794</v>
      </c>
      <c r="E18" s="78">
        <f t="shared" si="0"/>
        <v>30498867</v>
      </c>
      <c r="F18" s="43">
        <f>-11804+11804+11017</f>
        <v>11017</v>
      </c>
      <c r="G18" s="48">
        <f>-461069+461069+527921</f>
        <v>527921</v>
      </c>
      <c r="H18" s="78">
        <f t="shared" si="1"/>
        <v>538938</v>
      </c>
      <c r="I18" s="80">
        <f t="shared" si="2"/>
        <v>31037805</v>
      </c>
      <c r="J18" s="48">
        <f>-42244606-21309993+42268246+21245123+42259375+20530964</f>
        <v>62749109</v>
      </c>
      <c r="K18" s="80">
        <f t="shared" si="6"/>
        <v>93786914</v>
      </c>
      <c r="L18" s="35" t="s">
        <v>64</v>
      </c>
      <c r="M18" s="40">
        <f>7251568+535558+2317939+3141571+298048+1926299+824310+457802+1171801+290801-(7251568+535558+2317939+3141571+362918+1926299+824310+457802+1171801+290801)+7671976+596910+1235157+3610898+362819+2082095+831536+448199+1199625+297405</f>
        <v>18271750</v>
      </c>
      <c r="N18" s="78">
        <f t="shared" si="4"/>
        <v>44477359</v>
      </c>
      <c r="O18" s="80">
        <f t="shared" si="5"/>
        <v>75515164</v>
      </c>
      <c r="P18" s="49">
        <f>-535558+535558+596910</f>
        <v>596910</v>
      </c>
    </row>
    <row r="19" spans="1:16" s="54" customFormat="1" x14ac:dyDescent="0.2">
      <c r="A19" s="52">
        <f>'FERC Interest Rates'!A34</f>
        <v>42035</v>
      </c>
      <c r="B19" s="48">
        <v>17578866</v>
      </c>
      <c r="C19" s="48">
        <v>12961800</v>
      </c>
      <c r="D19" s="48">
        <v>1412476</v>
      </c>
      <c r="E19" s="78">
        <f t="shared" si="0"/>
        <v>31953142</v>
      </c>
      <c r="F19" s="43">
        <f>-11017+11017+12204</f>
        <v>12204</v>
      </c>
      <c r="G19" s="48">
        <f>-527921+527921+529386</f>
        <v>529386</v>
      </c>
      <c r="H19" s="78">
        <f t="shared" ref="H19:H28" si="7">SUM(F19:G19)</f>
        <v>541590</v>
      </c>
      <c r="I19" s="80">
        <f t="shared" ref="I19:I30" si="8">E19+H19</f>
        <v>32494732</v>
      </c>
      <c r="J19" s="48">
        <f>-42259375-20530964+42269854+20530964+41276535+19117684</f>
        <v>60404698</v>
      </c>
      <c r="K19" s="80">
        <f t="shared" ref="K19:K30" si="9">I19+J19</f>
        <v>92899430</v>
      </c>
      <c r="L19" s="35" t="s">
        <v>64</v>
      </c>
      <c r="M19" s="40">
        <f>7671976+601614+1235157+3610898+362819+2082095+831536+448199+1199625+297405-(7671976+596910+1235157+3610898+362819+2082095+831536+448199+1199625+297405)+7775240+628657+261306+2998359+565275+2128262+1002064+552389+1164723+315674</f>
        <v>17396653</v>
      </c>
      <c r="N19" s="78">
        <f t="shared" ref="N19:N30" si="10">J19-M19</f>
        <v>43008045</v>
      </c>
      <c r="O19" s="80">
        <f t="shared" ref="O19:O30" si="11">K19-M19</f>
        <v>75502777</v>
      </c>
      <c r="P19" s="49">
        <f>-596910+601614+628657</f>
        <v>633361</v>
      </c>
    </row>
    <row r="20" spans="1:16" s="54" customFormat="1" x14ac:dyDescent="0.2">
      <c r="A20" s="52">
        <f>'FERC Interest Rates'!A35</f>
        <v>42063</v>
      </c>
      <c r="B20" s="48">
        <v>14997100</v>
      </c>
      <c r="C20" s="48">
        <v>11518730</v>
      </c>
      <c r="D20" s="48">
        <v>1613976</v>
      </c>
      <c r="E20" s="78">
        <f t="shared" si="0"/>
        <v>28129806</v>
      </c>
      <c r="F20" s="43">
        <v>14542</v>
      </c>
      <c r="G20" s="48">
        <f>-529386+529366+405270</f>
        <v>405250</v>
      </c>
      <c r="H20" s="78">
        <f t="shared" si="7"/>
        <v>419792</v>
      </c>
      <c r="I20" s="80">
        <f t="shared" si="8"/>
        <v>28549598</v>
      </c>
      <c r="J20" s="48">
        <f>-41276535-19117684+41280723+19117539+34347690+12512992</f>
        <v>46864725</v>
      </c>
      <c r="K20" s="80">
        <f t="shared" si="9"/>
        <v>75414323</v>
      </c>
      <c r="L20" s="35" t="s">
        <v>64</v>
      </c>
      <c r="M20" s="40">
        <f>7775240+628657+261306+2998359+565275+2128262+1002064+552389+1164723+315674-(7775240+628657+261306+2998359+565275+2128262+1002064+552389+1164723+315674)+5552771+509140+113871+2075909+864722+1967544+801800+470618+1096799+284521</f>
        <v>13737695</v>
      </c>
      <c r="N20" s="78">
        <f t="shared" si="10"/>
        <v>33127030</v>
      </c>
      <c r="O20" s="80">
        <f t="shared" si="11"/>
        <v>61676628</v>
      </c>
      <c r="P20" s="49">
        <f>-628657+628657+509140</f>
        <v>509140</v>
      </c>
    </row>
    <row r="21" spans="1:16" s="54" customFormat="1" x14ac:dyDescent="0.2">
      <c r="A21" s="52">
        <f>'FERC Interest Rates'!A36</f>
        <v>42094</v>
      </c>
      <c r="B21" s="48">
        <v>12686420</v>
      </c>
      <c r="C21" s="48">
        <v>9397664</v>
      </c>
      <c r="D21" s="48">
        <v>1284186</v>
      </c>
      <c r="E21" s="78">
        <f t="shared" si="0"/>
        <v>23368270</v>
      </c>
      <c r="F21" s="43">
        <f>-14542+14415+9557</f>
        <v>9430</v>
      </c>
      <c r="G21" s="48">
        <f>-405270+405270+394245</f>
        <v>394245</v>
      </c>
      <c r="H21" s="78">
        <f t="shared" si="7"/>
        <v>403675</v>
      </c>
      <c r="I21" s="80">
        <f t="shared" si="8"/>
        <v>23771945</v>
      </c>
      <c r="J21" s="48">
        <f>-34347690-12512992+34352010+12512992+38005282+20640594</f>
        <v>58650196</v>
      </c>
      <c r="K21" s="80">
        <f t="shared" si="9"/>
        <v>82422141</v>
      </c>
      <c r="L21" s="35" t="s">
        <v>64</v>
      </c>
      <c r="M21" s="40">
        <f>5552771+509140+113871+2075909+864722+1967544+801800+470618+1096799+284521-(5552771+509140+113871+2075909+864722+1967544+801800+470618+1096799+284521)+7235152+531599+201239+2265435+683468+2369837+650095+383330+1085376+314698</f>
        <v>15720229</v>
      </c>
      <c r="N21" s="78">
        <f t="shared" si="10"/>
        <v>42929967</v>
      </c>
      <c r="O21" s="80">
        <f t="shared" si="11"/>
        <v>66701912</v>
      </c>
      <c r="P21" s="49">
        <f>-509140+509140+531599</f>
        <v>531599</v>
      </c>
    </row>
    <row r="22" spans="1:16" s="54" customFormat="1" x14ac:dyDescent="0.2">
      <c r="A22" s="52">
        <f>'FERC Interest Rates'!A37</f>
        <v>42124</v>
      </c>
      <c r="B22" s="48">
        <v>9059678</v>
      </c>
      <c r="C22" s="48">
        <v>6918371</v>
      </c>
      <c r="D22" s="48">
        <v>935256</v>
      </c>
      <c r="E22" s="78">
        <f t="shared" si="0"/>
        <v>16913305</v>
      </c>
      <c r="F22" s="43">
        <f>-9557+9254+12199</f>
        <v>11896</v>
      </c>
      <c r="G22" s="48">
        <f>-394245+394245+361119</f>
        <v>361119</v>
      </c>
      <c r="H22" s="78">
        <f t="shared" si="7"/>
        <v>373015</v>
      </c>
      <c r="I22" s="80">
        <f t="shared" si="8"/>
        <v>17286320</v>
      </c>
      <c r="J22" s="48">
        <f>-38005282-20640594+38009615+20640594+33858981+20115722</f>
        <v>53979036</v>
      </c>
      <c r="K22" s="80">
        <f t="shared" si="9"/>
        <v>71265356</v>
      </c>
      <c r="L22" s="35" t="s">
        <v>64</v>
      </c>
      <c r="M22" s="40">
        <f>7235152+533473+201239+2265435+683468+2369837+650095+383330+1085376+314698-(7235152+531599+201239+2265435+683468+2369837+650095+383330+1085376+314698)+6684964+463039+552050+2607855+93873+1702162+890245+361162+1107762+342282</f>
        <v>14807268</v>
      </c>
      <c r="N22" s="78">
        <f t="shared" si="10"/>
        <v>39171768</v>
      </c>
      <c r="O22" s="80">
        <f t="shared" si="11"/>
        <v>56458088</v>
      </c>
      <c r="P22" s="49">
        <f>-531599+533473+463039</f>
        <v>464913</v>
      </c>
    </row>
    <row r="23" spans="1:16" s="54" customFormat="1" x14ac:dyDescent="0.2">
      <c r="A23" s="52">
        <f>'FERC Interest Rates'!A38</f>
        <v>42155</v>
      </c>
      <c r="B23" s="48">
        <v>6136917</v>
      </c>
      <c r="C23" s="48">
        <v>4971568</v>
      </c>
      <c r="D23" s="48">
        <v>856194</v>
      </c>
      <c r="E23" s="78">
        <f t="shared" si="0"/>
        <v>11964679</v>
      </c>
      <c r="F23" s="43">
        <f>-12199+12199+14905</f>
        <v>14905</v>
      </c>
      <c r="G23" s="48">
        <f>-361119+361119+268036</f>
        <v>268036</v>
      </c>
      <c r="H23" s="78">
        <f t="shared" si="7"/>
        <v>282941</v>
      </c>
      <c r="I23" s="80">
        <f t="shared" si="8"/>
        <v>12247620</v>
      </c>
      <c r="J23" s="48">
        <f>-33858981-20115722+33860743+20115722+33470121+27542200</f>
        <v>61014083</v>
      </c>
      <c r="K23" s="80">
        <f t="shared" si="9"/>
        <v>73261703</v>
      </c>
      <c r="L23" s="35" t="s">
        <v>64</v>
      </c>
      <c r="M23" s="40">
        <f>6684964+463039+552050+2609617+93873+1702162+890245+361162+1107762+342282-(6684964+463039+552050+2607855+93873+1702162+890245+361162+1107762+342282)+7000246+456023+1621381+2652137+524882+1621847+374191+391728+1106384+340345</f>
        <v>16090926</v>
      </c>
      <c r="N23" s="78">
        <f t="shared" si="10"/>
        <v>44923157</v>
      </c>
      <c r="O23" s="80">
        <f t="shared" si="11"/>
        <v>57170777</v>
      </c>
      <c r="P23" s="49">
        <f>-463039+463039+456023</f>
        <v>456023</v>
      </c>
    </row>
    <row r="24" spans="1:16" s="54" customFormat="1" x14ac:dyDescent="0.2">
      <c r="A24" s="52">
        <f>'FERC Interest Rates'!A39</f>
        <v>42185</v>
      </c>
      <c r="B24" s="48">
        <v>3875649</v>
      </c>
      <c r="C24" s="48">
        <v>3719322</v>
      </c>
      <c r="D24" s="48">
        <v>678441</v>
      </c>
      <c r="E24" s="78">
        <f t="shared" si="0"/>
        <v>8273412</v>
      </c>
      <c r="F24" s="43">
        <f>-14905+14905+16538</f>
        <v>16538</v>
      </c>
      <c r="G24" s="48">
        <f>-268036+268036+223986</f>
        <v>223986</v>
      </c>
      <c r="H24" s="78">
        <f t="shared" si="7"/>
        <v>240524</v>
      </c>
      <c r="I24" s="80">
        <f t="shared" si="8"/>
        <v>8513936</v>
      </c>
      <c r="J24" s="48">
        <f>-33470121-27542200+33471024+27542200+32081827+26900425</f>
        <v>58983155</v>
      </c>
      <c r="K24" s="80">
        <f t="shared" si="9"/>
        <v>67497091</v>
      </c>
      <c r="L24" s="35" t="s">
        <v>64</v>
      </c>
      <c r="M24" s="40">
        <f>7000246+456023+1621381+2652137+524882+1621847+374191+391728+1106384+340345-(7000246+456023+1621381+2652137+524882+1621847+374191+391728+1106384+340345)+3937653+391055+5658892+2168854+1382635+1646732+737859+425098+1015536+329092</f>
        <v>17693406</v>
      </c>
      <c r="N24" s="78">
        <f t="shared" si="10"/>
        <v>41289749</v>
      </c>
      <c r="O24" s="80">
        <f t="shared" si="11"/>
        <v>49803685</v>
      </c>
      <c r="P24" s="49">
        <f>-456023+456023+391055</f>
        <v>391055</v>
      </c>
    </row>
    <row r="25" spans="1:16" s="54" customFormat="1" x14ac:dyDescent="0.2">
      <c r="A25" s="52">
        <f>'FERC Interest Rates'!A40</f>
        <v>42216</v>
      </c>
      <c r="B25" s="48">
        <v>2480569</v>
      </c>
      <c r="C25" s="48">
        <v>2695667</v>
      </c>
      <c r="D25" s="48">
        <v>589631</v>
      </c>
      <c r="E25" s="78">
        <f t="shared" si="0"/>
        <v>5765867</v>
      </c>
      <c r="F25" s="43">
        <f>-16538+16538+8369</f>
        <v>8369</v>
      </c>
      <c r="G25" s="48">
        <f>-223986+223986+197044</f>
        <v>197044</v>
      </c>
      <c r="H25" s="78">
        <f t="shared" si="7"/>
        <v>205413</v>
      </c>
      <c r="I25" s="80">
        <f t="shared" si="8"/>
        <v>5971280</v>
      </c>
      <c r="J25" s="48">
        <f>-32081827-26900425+32083570+26898912+29865378+40621369</f>
        <v>70486977</v>
      </c>
      <c r="K25" s="80">
        <f>I25+J25</f>
        <v>76458257</v>
      </c>
      <c r="L25" s="35" t="s">
        <v>64</v>
      </c>
      <c r="M25" s="40">
        <f>3937653+392798+5658892+2168854+1382635+1646732+737859+425098+1015536+329092-(3937653+391055+5658892+2168854+1382635+1646732+737859+425098+1015536+329092)+7284221+382367+5999621+2253453+469138+1673592+658284+325589+1103993+323435</f>
        <v>20475436</v>
      </c>
      <c r="N25" s="78">
        <f>J25-M25</f>
        <v>50011541</v>
      </c>
      <c r="O25" s="80">
        <f t="shared" si="11"/>
        <v>55982821</v>
      </c>
      <c r="P25" s="49">
        <f>-391055+392798+382367</f>
        <v>384110</v>
      </c>
    </row>
    <row r="26" spans="1:16" s="54" customFormat="1" x14ac:dyDescent="0.2">
      <c r="A26" s="52">
        <f>'FERC Interest Rates'!A41</f>
        <v>42247</v>
      </c>
      <c r="B26" s="48">
        <v>2474134</v>
      </c>
      <c r="C26" s="48">
        <v>2789182</v>
      </c>
      <c r="D26" s="48">
        <v>586174</v>
      </c>
      <c r="E26" s="78">
        <f t="shared" si="0"/>
        <v>5849490</v>
      </c>
      <c r="F26" s="43">
        <f>-8369+8369+11302</f>
        <v>11302</v>
      </c>
      <c r="G26" s="48">
        <f>-197044+197044+188629</f>
        <v>188629</v>
      </c>
      <c r="H26" s="78">
        <f t="shared" si="7"/>
        <v>199931</v>
      </c>
      <c r="I26" s="80">
        <f t="shared" si="8"/>
        <v>6049421</v>
      </c>
      <c r="J26" s="48">
        <f>-29865378-40621369+29865378+40621369+31792227+36774894</f>
        <v>68567121</v>
      </c>
      <c r="K26" s="80">
        <f t="shared" si="9"/>
        <v>74616542</v>
      </c>
      <c r="L26" s="35" t="s">
        <v>64</v>
      </c>
      <c r="M26" s="40">
        <f>7284221+382367+5999621+2253453+469138+1673592+658284+325589+1103993+323435-(7284221+382367+5999621+2253453+469138+1673592+658284+325589+1103993+323435)+5979173+397888+4103554+1975935+1000277+1584845+784690+404637+1090094+324857</f>
        <v>17645950</v>
      </c>
      <c r="N26" s="78">
        <f t="shared" si="10"/>
        <v>50921171</v>
      </c>
      <c r="O26" s="80">
        <f t="shared" si="11"/>
        <v>56970592</v>
      </c>
      <c r="P26" s="49">
        <f>-382367+382367+397888</f>
        <v>397888</v>
      </c>
    </row>
    <row r="27" spans="1:16" s="54" customFormat="1" x14ac:dyDescent="0.2">
      <c r="A27" s="52">
        <f>'FERC Interest Rates'!A42</f>
        <v>42277</v>
      </c>
      <c r="B27" s="48">
        <v>2883443</v>
      </c>
      <c r="C27" s="48">
        <f>2956283+10810</f>
        <v>2967093</v>
      </c>
      <c r="D27" s="48">
        <f>1097150+10275</f>
        <v>1107425</v>
      </c>
      <c r="E27" s="78">
        <f t="shared" si="0"/>
        <v>6957961</v>
      </c>
      <c r="F27" s="43">
        <f>-11302+11302+10868</f>
        <v>10868</v>
      </c>
      <c r="G27" s="48">
        <f>-188629+188629+238237</f>
        <v>238237</v>
      </c>
      <c r="H27" s="78">
        <f t="shared" si="7"/>
        <v>249105</v>
      </c>
      <c r="I27" s="80">
        <f t="shared" si="8"/>
        <v>7207066</v>
      </c>
      <c r="J27" s="48">
        <f>-31792227-36774894+31792227+36774894+33527440+33218245</f>
        <v>66745685</v>
      </c>
      <c r="K27" s="80">
        <f t="shared" si="9"/>
        <v>73952751</v>
      </c>
      <c r="L27" s="35" t="s">
        <v>64</v>
      </c>
      <c r="M27" s="40">
        <f>5979173+397888+4103554+1975935+1000277+1584845+784690+404637+1090094+324857-(5979173+397888+4103554+1975935+1000277+1584845+784690+404637+1090094+324857)+6663969+400700+2529166+1980304+859837+1282479+714718+417143+1052339+327569</f>
        <v>16228224</v>
      </c>
      <c r="N27" s="78">
        <f t="shared" si="10"/>
        <v>50517461</v>
      </c>
      <c r="O27" s="80">
        <f t="shared" si="11"/>
        <v>57724527</v>
      </c>
      <c r="P27" s="49">
        <f>-397888+397888+400700</f>
        <v>400700</v>
      </c>
    </row>
    <row r="28" spans="1:16" s="54" customFormat="1" x14ac:dyDescent="0.2">
      <c r="A28" s="31">
        <f>'FERC Interest Rates'!A43</f>
        <v>42308</v>
      </c>
      <c r="B28" s="50">
        <v>4297977</v>
      </c>
      <c r="C28" s="50">
        <f>-10810+3997908</f>
        <v>3987098</v>
      </c>
      <c r="D28" s="50">
        <f>-10275+1402526</f>
        <v>1392251</v>
      </c>
      <c r="E28" s="79">
        <f t="shared" si="0"/>
        <v>9677326</v>
      </c>
      <c r="F28" s="51">
        <f>-10868+10868+11066</f>
        <v>11066</v>
      </c>
      <c r="G28" s="50">
        <f>-238237+238237+286826</f>
        <v>286826</v>
      </c>
      <c r="H28" s="79">
        <f t="shared" si="7"/>
        <v>297892</v>
      </c>
      <c r="I28" s="81">
        <f t="shared" si="8"/>
        <v>9975218</v>
      </c>
      <c r="J28" s="110">
        <f>-33527440-33218245+33530455+33218245+38814601+32479005</f>
        <v>71296621</v>
      </c>
      <c r="K28" s="81">
        <f t="shared" si="9"/>
        <v>81271839</v>
      </c>
      <c r="L28" s="36" t="s">
        <v>64</v>
      </c>
      <c r="M28" s="111">
        <f>6663969+403715+2529166+1980304+859837+1282479+714718+417143+1052339+327569-(6663969+400700+2529166+1980304+859837+1282479+714718+417143+1052339+327569)+7576528+445697+1221919+2731712+275052+1875869+854414+417872+1105719+323839</f>
        <v>16831636</v>
      </c>
      <c r="N28" s="79">
        <f t="shared" si="10"/>
        <v>54464985</v>
      </c>
      <c r="O28" s="81">
        <f t="shared" si="11"/>
        <v>64440203</v>
      </c>
      <c r="P28" s="112">
        <f>-400700+403715+445697</f>
        <v>448712</v>
      </c>
    </row>
    <row r="29" spans="1:16" s="86" customFormat="1" x14ac:dyDescent="0.2">
      <c r="A29" s="52">
        <f>'FERC Interest Rates'!A44</f>
        <v>42338</v>
      </c>
      <c r="B29" s="48">
        <v>7123102</v>
      </c>
      <c r="C29" s="48">
        <v>5044532</v>
      </c>
      <c r="D29" s="48">
        <v>935529</v>
      </c>
      <c r="E29" s="78">
        <f t="shared" ref="E29:E40" si="12">SUM(B29:D29)</f>
        <v>13103163</v>
      </c>
      <c r="F29" s="43">
        <f>-11066+11066+15659</f>
        <v>15659</v>
      </c>
      <c r="G29" s="48">
        <f>-286826+286826+424322</f>
        <v>424322</v>
      </c>
      <c r="H29" s="78">
        <f t="shared" ref="H29:H30" si="13">SUM(F29:G29)</f>
        <v>439981</v>
      </c>
      <c r="I29" s="80">
        <f t="shared" si="8"/>
        <v>13543144</v>
      </c>
      <c r="J29" s="48">
        <f>-38814601-32479005+38810516+32637068+38536211+36698347</f>
        <v>75388536</v>
      </c>
      <c r="K29" s="80">
        <f t="shared" si="9"/>
        <v>88931680</v>
      </c>
      <c r="L29" s="35" t="s">
        <v>64</v>
      </c>
      <c r="M29" s="40">
        <f>7576528+445697+1379982+2731712+275052+1875869+854414+417872+1105719+323839-(7576528+445697+1221919+2731712+275052+1875869+854414+417872+1105719+323839)+7257509+535022+4079051+3147933+331951+2441091+854240+492348+1032222+332415</f>
        <v>20661845</v>
      </c>
      <c r="N29" s="78">
        <f t="shared" si="10"/>
        <v>54726691</v>
      </c>
      <c r="O29" s="80">
        <f t="shared" si="11"/>
        <v>68269835</v>
      </c>
      <c r="P29" s="49">
        <f>-445697+445697+535022</f>
        <v>535022</v>
      </c>
    </row>
    <row r="30" spans="1:16" s="86" customFormat="1" x14ac:dyDescent="0.2">
      <c r="A30" s="52">
        <f>'FERC Interest Rates'!A45</f>
        <v>42369</v>
      </c>
      <c r="B30" s="48"/>
      <c r="C30" s="48"/>
      <c r="D30" s="48"/>
      <c r="E30" s="78">
        <f t="shared" si="12"/>
        <v>0</v>
      </c>
      <c r="F30" s="43"/>
      <c r="G30" s="48"/>
      <c r="H30" s="78">
        <f t="shared" si="13"/>
        <v>0</v>
      </c>
      <c r="I30" s="80">
        <f t="shared" si="8"/>
        <v>0</v>
      </c>
      <c r="J30" s="48"/>
      <c r="K30" s="80">
        <f t="shared" si="9"/>
        <v>0</v>
      </c>
      <c r="L30" s="35" t="s">
        <v>64</v>
      </c>
      <c r="M30" s="40"/>
      <c r="N30" s="78">
        <f t="shared" si="10"/>
        <v>0</v>
      </c>
      <c r="O30" s="80">
        <f t="shared" si="11"/>
        <v>0</v>
      </c>
      <c r="P30" s="49"/>
    </row>
    <row r="31" spans="1:16" s="86" customFormat="1" x14ac:dyDescent="0.2">
      <c r="A31" s="52">
        <f>'FERC Interest Rates'!A46</f>
        <v>42400</v>
      </c>
      <c r="B31" s="48"/>
      <c r="C31" s="48"/>
      <c r="D31" s="48"/>
      <c r="E31" s="78">
        <f t="shared" si="12"/>
        <v>0</v>
      </c>
      <c r="F31" s="43"/>
      <c r="G31" s="48"/>
      <c r="H31" s="78">
        <f t="shared" ref="H31:H40" si="14">SUM(F31:G31)</f>
        <v>0</v>
      </c>
      <c r="I31" s="80">
        <f t="shared" ref="I31:I40" si="15">E31+H31</f>
        <v>0</v>
      </c>
      <c r="J31" s="48"/>
      <c r="K31" s="80">
        <f t="shared" ref="K31:K36" si="16">I31+J31</f>
        <v>0</v>
      </c>
      <c r="L31" s="35" t="s">
        <v>64</v>
      </c>
      <c r="M31" s="40"/>
      <c r="N31" s="78">
        <f t="shared" ref="N31:N36" si="17">J31-M31</f>
        <v>0</v>
      </c>
      <c r="O31" s="80">
        <f t="shared" ref="O31:O40" si="18">K31-M31</f>
        <v>0</v>
      </c>
      <c r="P31" s="49"/>
    </row>
    <row r="32" spans="1:16" s="86" customFormat="1" x14ac:dyDescent="0.2">
      <c r="A32" s="52">
        <f>'FERC Interest Rates'!A47</f>
        <v>42429</v>
      </c>
      <c r="B32" s="48"/>
      <c r="C32" s="48"/>
      <c r="D32" s="48"/>
      <c r="E32" s="78">
        <f t="shared" si="12"/>
        <v>0</v>
      </c>
      <c r="F32" s="43"/>
      <c r="G32" s="48"/>
      <c r="H32" s="78">
        <f t="shared" si="14"/>
        <v>0</v>
      </c>
      <c r="I32" s="80">
        <f t="shared" si="15"/>
        <v>0</v>
      </c>
      <c r="J32" s="48"/>
      <c r="K32" s="80">
        <f t="shared" si="16"/>
        <v>0</v>
      </c>
      <c r="L32" s="35" t="s">
        <v>64</v>
      </c>
      <c r="M32" s="40"/>
      <c r="N32" s="78">
        <f t="shared" si="17"/>
        <v>0</v>
      </c>
      <c r="O32" s="80">
        <f t="shared" si="18"/>
        <v>0</v>
      </c>
      <c r="P32" s="49"/>
    </row>
    <row r="33" spans="1:16" s="86" customFormat="1" x14ac:dyDescent="0.2">
      <c r="A33" s="52">
        <f>'FERC Interest Rates'!A48</f>
        <v>42460</v>
      </c>
      <c r="B33" s="48"/>
      <c r="C33" s="48"/>
      <c r="D33" s="48"/>
      <c r="E33" s="78">
        <f t="shared" si="12"/>
        <v>0</v>
      </c>
      <c r="F33" s="43"/>
      <c r="G33" s="48"/>
      <c r="H33" s="78">
        <f t="shared" si="14"/>
        <v>0</v>
      </c>
      <c r="I33" s="80">
        <f t="shared" si="15"/>
        <v>0</v>
      </c>
      <c r="J33" s="48"/>
      <c r="K33" s="80">
        <f t="shared" si="16"/>
        <v>0</v>
      </c>
      <c r="L33" s="35" t="s">
        <v>64</v>
      </c>
      <c r="M33" s="40"/>
      <c r="N33" s="78">
        <f t="shared" si="17"/>
        <v>0</v>
      </c>
      <c r="O33" s="80">
        <f t="shared" si="18"/>
        <v>0</v>
      </c>
      <c r="P33" s="49"/>
    </row>
    <row r="34" spans="1:16" s="86" customFormat="1" x14ac:dyDescent="0.2">
      <c r="A34" s="52">
        <f>'FERC Interest Rates'!A49</f>
        <v>42490</v>
      </c>
      <c r="B34" s="48"/>
      <c r="C34" s="48"/>
      <c r="D34" s="48"/>
      <c r="E34" s="78">
        <f t="shared" si="12"/>
        <v>0</v>
      </c>
      <c r="F34" s="43"/>
      <c r="G34" s="48"/>
      <c r="H34" s="78">
        <f t="shared" si="14"/>
        <v>0</v>
      </c>
      <c r="I34" s="80">
        <f t="shared" si="15"/>
        <v>0</v>
      </c>
      <c r="J34" s="48"/>
      <c r="K34" s="80">
        <f t="shared" si="16"/>
        <v>0</v>
      </c>
      <c r="L34" s="35" t="s">
        <v>64</v>
      </c>
      <c r="M34" s="40"/>
      <c r="N34" s="78">
        <f t="shared" si="17"/>
        <v>0</v>
      </c>
      <c r="O34" s="80">
        <f t="shared" si="18"/>
        <v>0</v>
      </c>
      <c r="P34" s="49"/>
    </row>
    <row r="35" spans="1:16" s="86" customFormat="1" x14ac:dyDescent="0.2">
      <c r="A35" s="52">
        <f>'FERC Interest Rates'!A50</f>
        <v>42521</v>
      </c>
      <c r="B35" s="48"/>
      <c r="C35" s="48"/>
      <c r="D35" s="48"/>
      <c r="E35" s="78">
        <f t="shared" si="12"/>
        <v>0</v>
      </c>
      <c r="F35" s="43"/>
      <c r="G35" s="48"/>
      <c r="H35" s="78">
        <f t="shared" si="14"/>
        <v>0</v>
      </c>
      <c r="I35" s="80">
        <f t="shared" si="15"/>
        <v>0</v>
      </c>
      <c r="J35" s="48"/>
      <c r="K35" s="80">
        <f t="shared" si="16"/>
        <v>0</v>
      </c>
      <c r="L35" s="35" t="s">
        <v>64</v>
      </c>
      <c r="M35" s="40"/>
      <c r="N35" s="78">
        <f t="shared" si="17"/>
        <v>0</v>
      </c>
      <c r="O35" s="80">
        <f t="shared" si="18"/>
        <v>0</v>
      </c>
      <c r="P35" s="49"/>
    </row>
    <row r="36" spans="1:16" s="86" customFormat="1" x14ac:dyDescent="0.2">
      <c r="A36" s="52">
        <f>'FERC Interest Rates'!A51</f>
        <v>42551</v>
      </c>
      <c r="B36" s="48"/>
      <c r="C36" s="48"/>
      <c r="D36" s="48"/>
      <c r="E36" s="78">
        <f t="shared" si="12"/>
        <v>0</v>
      </c>
      <c r="F36" s="43"/>
      <c r="G36" s="48"/>
      <c r="H36" s="78">
        <f t="shared" si="14"/>
        <v>0</v>
      </c>
      <c r="I36" s="80">
        <f t="shared" si="15"/>
        <v>0</v>
      </c>
      <c r="J36" s="48"/>
      <c r="K36" s="80">
        <f t="shared" si="16"/>
        <v>0</v>
      </c>
      <c r="L36" s="35" t="s">
        <v>64</v>
      </c>
      <c r="M36" s="40"/>
      <c r="N36" s="78">
        <f t="shared" si="17"/>
        <v>0</v>
      </c>
      <c r="O36" s="80">
        <f t="shared" si="18"/>
        <v>0</v>
      </c>
      <c r="P36" s="49"/>
    </row>
    <row r="37" spans="1:16" s="86" customFormat="1" x14ac:dyDescent="0.2">
      <c r="A37" s="52">
        <f>'FERC Interest Rates'!A52</f>
        <v>42582</v>
      </c>
      <c r="B37" s="48"/>
      <c r="C37" s="48"/>
      <c r="D37" s="48"/>
      <c r="E37" s="78">
        <f t="shared" si="12"/>
        <v>0</v>
      </c>
      <c r="F37" s="43"/>
      <c r="G37" s="48"/>
      <c r="H37" s="78">
        <f t="shared" si="14"/>
        <v>0</v>
      </c>
      <c r="I37" s="80">
        <f t="shared" si="15"/>
        <v>0</v>
      </c>
      <c r="J37" s="48"/>
      <c r="K37" s="80">
        <f>I37+J37</f>
        <v>0</v>
      </c>
      <c r="L37" s="35" t="s">
        <v>64</v>
      </c>
      <c r="M37" s="40"/>
      <c r="N37" s="78">
        <f>J37-M37</f>
        <v>0</v>
      </c>
      <c r="O37" s="80">
        <f t="shared" si="18"/>
        <v>0</v>
      </c>
      <c r="P37" s="49"/>
    </row>
    <row r="38" spans="1:16" s="86" customFormat="1" x14ac:dyDescent="0.2">
      <c r="A38" s="52">
        <f>'FERC Interest Rates'!A53</f>
        <v>42613</v>
      </c>
      <c r="B38" s="48"/>
      <c r="C38" s="48"/>
      <c r="D38" s="48"/>
      <c r="E38" s="78">
        <f t="shared" si="12"/>
        <v>0</v>
      </c>
      <c r="F38" s="43"/>
      <c r="G38" s="48"/>
      <c r="H38" s="78">
        <f t="shared" si="14"/>
        <v>0</v>
      </c>
      <c r="I38" s="80">
        <f t="shared" si="15"/>
        <v>0</v>
      </c>
      <c r="J38" s="48"/>
      <c r="K38" s="80">
        <f t="shared" ref="K38:K40" si="19">I38+J38</f>
        <v>0</v>
      </c>
      <c r="L38" s="35" t="s">
        <v>64</v>
      </c>
      <c r="M38" s="40"/>
      <c r="N38" s="78">
        <f t="shared" ref="N38:N40" si="20">J38-M38</f>
        <v>0</v>
      </c>
      <c r="O38" s="80">
        <f t="shared" si="18"/>
        <v>0</v>
      </c>
      <c r="P38" s="49"/>
    </row>
    <row r="39" spans="1:16" s="86" customFormat="1" x14ac:dyDescent="0.2">
      <c r="A39" s="52">
        <f>'FERC Interest Rates'!A54</f>
        <v>42643</v>
      </c>
      <c r="B39" s="48"/>
      <c r="C39" s="48"/>
      <c r="D39" s="48"/>
      <c r="E39" s="78">
        <f t="shared" si="12"/>
        <v>0</v>
      </c>
      <c r="F39" s="43"/>
      <c r="G39" s="48"/>
      <c r="H39" s="78">
        <f t="shared" si="14"/>
        <v>0</v>
      </c>
      <c r="I39" s="80">
        <f t="shared" si="15"/>
        <v>0</v>
      </c>
      <c r="J39" s="48"/>
      <c r="K39" s="80">
        <f t="shared" si="19"/>
        <v>0</v>
      </c>
      <c r="L39" s="35" t="s">
        <v>64</v>
      </c>
      <c r="M39" s="40"/>
      <c r="N39" s="78">
        <f t="shared" si="20"/>
        <v>0</v>
      </c>
      <c r="O39" s="80">
        <f t="shared" si="18"/>
        <v>0</v>
      </c>
      <c r="P39" s="49"/>
    </row>
    <row r="40" spans="1:16" s="86" customFormat="1" x14ac:dyDescent="0.2">
      <c r="A40" s="31">
        <f>'FERC Interest Rates'!A55</f>
        <v>42674</v>
      </c>
      <c r="B40" s="50"/>
      <c r="C40" s="50"/>
      <c r="D40" s="50"/>
      <c r="E40" s="79">
        <f t="shared" si="12"/>
        <v>0</v>
      </c>
      <c r="F40" s="51"/>
      <c r="G40" s="50"/>
      <c r="H40" s="79">
        <f t="shared" si="14"/>
        <v>0</v>
      </c>
      <c r="I40" s="81">
        <f t="shared" si="15"/>
        <v>0</v>
      </c>
      <c r="J40" s="50"/>
      <c r="K40" s="81">
        <f t="shared" si="19"/>
        <v>0</v>
      </c>
      <c r="L40" s="36" t="s">
        <v>64</v>
      </c>
      <c r="M40" s="50"/>
      <c r="N40" s="79">
        <f t="shared" si="20"/>
        <v>0</v>
      </c>
      <c r="O40" s="81">
        <f t="shared" si="18"/>
        <v>0</v>
      </c>
      <c r="P40" s="110"/>
    </row>
    <row r="41" spans="1:16" s="54" customFormat="1" x14ac:dyDescent="0.2">
      <c r="A41" s="52"/>
      <c r="B41" s="48"/>
      <c r="C41" s="48"/>
      <c r="D41" s="48"/>
      <c r="E41" s="78"/>
      <c r="F41" s="43"/>
      <c r="G41" s="48"/>
      <c r="H41" s="78"/>
      <c r="I41" s="80"/>
      <c r="J41" s="48"/>
      <c r="K41" s="80"/>
      <c r="L41" s="35"/>
      <c r="M41" s="40"/>
      <c r="N41" s="78"/>
      <c r="O41" s="80"/>
      <c r="P41" s="49"/>
    </row>
    <row r="42" spans="1:16" x14ac:dyDescent="0.2">
      <c r="I42" s="80"/>
    </row>
    <row r="43" spans="1:16" x14ac:dyDescent="0.2">
      <c r="I43" s="80"/>
    </row>
    <row r="44" spans="1:16" x14ac:dyDescent="0.2">
      <c r="I44" s="80"/>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4"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Normal="75" zoomScaleSheetLayoutView="100" workbookViewId="0">
      <pane xSplit="1" ySplit="10" topLeftCell="B11"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8.88671875" style="1" customWidth="1"/>
    <col min="2" max="2" width="4.1093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16384" width="8.88671875" style="1"/>
  </cols>
  <sheetData>
    <row r="1" spans="1:8" x14ac:dyDescent="0.2">
      <c r="A1" s="160" t="s">
        <v>13</v>
      </c>
      <c r="B1" s="161"/>
      <c r="C1" s="156" t="s">
        <v>14</v>
      </c>
      <c r="D1" s="156"/>
      <c r="E1" s="156"/>
      <c r="F1" s="156"/>
      <c r="G1" s="156"/>
      <c r="H1" s="157"/>
    </row>
    <row r="2" spans="1:8" x14ac:dyDescent="0.2">
      <c r="A2" s="162" t="s">
        <v>16</v>
      </c>
      <c r="B2" s="140"/>
      <c r="C2" s="163" t="s">
        <v>42</v>
      </c>
      <c r="D2" s="163"/>
      <c r="E2" s="163"/>
      <c r="F2" s="163"/>
      <c r="G2" s="163"/>
      <c r="H2" s="164"/>
    </row>
    <row r="3" spans="1:8" x14ac:dyDescent="0.2">
      <c r="A3" s="162" t="s">
        <v>17</v>
      </c>
      <c r="B3" s="140"/>
      <c r="C3" s="143" t="s">
        <v>29</v>
      </c>
      <c r="D3" s="143"/>
      <c r="E3" s="143"/>
      <c r="F3" s="143"/>
      <c r="G3" s="143"/>
      <c r="H3" s="158"/>
    </row>
    <row r="4" spans="1:8" x14ac:dyDescent="0.2">
      <c r="A4" s="162" t="s">
        <v>18</v>
      </c>
      <c r="B4" s="140"/>
      <c r="C4" s="145" t="s">
        <v>19</v>
      </c>
      <c r="D4" s="145"/>
      <c r="E4" s="145"/>
      <c r="F4" s="145"/>
      <c r="G4" s="145"/>
      <c r="H4" s="159"/>
    </row>
    <row r="5" spans="1:8" x14ac:dyDescent="0.2">
      <c r="A5" s="162" t="s">
        <v>20</v>
      </c>
      <c r="B5" s="140"/>
      <c r="C5" s="143" t="s">
        <v>88</v>
      </c>
      <c r="D5" s="143"/>
      <c r="E5" s="143"/>
      <c r="F5" s="143"/>
      <c r="G5" s="143"/>
      <c r="H5" s="158"/>
    </row>
    <row r="6" spans="1:8" x14ac:dyDescent="0.2">
      <c r="A6" s="162" t="s">
        <v>21</v>
      </c>
      <c r="B6" s="140"/>
      <c r="C6" s="143" t="s">
        <v>33</v>
      </c>
      <c r="D6" s="143"/>
      <c r="E6" s="143"/>
      <c r="F6" s="143"/>
      <c r="G6" s="143"/>
      <c r="H6" s="158"/>
    </row>
    <row r="7" spans="1:8" s="22" customFormat="1" ht="54.75" customHeight="1" thickBot="1" x14ac:dyDescent="0.25">
      <c r="A7" s="165" t="s">
        <v>22</v>
      </c>
      <c r="B7" s="166"/>
      <c r="C7" s="167" t="s">
        <v>44</v>
      </c>
      <c r="D7" s="167"/>
      <c r="E7" s="167"/>
      <c r="F7" s="167"/>
      <c r="G7" s="167"/>
      <c r="H7" s="168"/>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68">
        <v>5300789.51</v>
      </c>
    </row>
    <row r="12" spans="1:8" x14ac:dyDescent="0.2">
      <c r="A12" s="72">
        <v>41608</v>
      </c>
      <c r="D12" s="1">
        <v>-779324.68</v>
      </c>
      <c r="F12" s="70">
        <v>14159.64</v>
      </c>
      <c r="H12" s="68">
        <v>4535624.47</v>
      </c>
    </row>
    <row r="13" spans="1:8" x14ac:dyDescent="0.2">
      <c r="A13" s="72">
        <v>41639</v>
      </c>
      <c r="D13" s="1">
        <v>-2387454.9300000002</v>
      </c>
      <c r="F13" s="70">
        <v>12519.57</v>
      </c>
      <c r="H13" s="68">
        <v>2160689.1099999994</v>
      </c>
    </row>
    <row r="14" spans="1:8" x14ac:dyDescent="0.2">
      <c r="A14" s="72">
        <v>41670</v>
      </c>
      <c r="D14" s="66">
        <v>-2125961.1</v>
      </c>
      <c r="E14" s="66"/>
      <c r="F14" s="28">
        <v>5964.09</v>
      </c>
      <c r="G14" s="66"/>
      <c r="H14" s="82">
        <v>40692.099999999162</v>
      </c>
    </row>
    <row r="15" spans="1:8" x14ac:dyDescent="0.2">
      <c r="A15" s="72">
        <v>41698</v>
      </c>
      <c r="D15" s="66">
        <v>-1864221.9</v>
      </c>
      <c r="E15" s="66"/>
      <c r="F15" s="28">
        <v>101.45</v>
      </c>
      <c r="G15" s="66"/>
      <c r="H15" s="82">
        <v>-1823428.3500000008</v>
      </c>
    </row>
    <row r="16" spans="1:8" x14ac:dyDescent="0.2">
      <c r="A16" s="72">
        <v>41729</v>
      </c>
      <c r="D16" s="66">
        <v>128015.9</v>
      </c>
      <c r="E16" s="66"/>
      <c r="F16" s="28">
        <v>-5033.16</v>
      </c>
      <c r="G16" s="66"/>
      <c r="H16" s="82">
        <v>-1700445.6100000008</v>
      </c>
    </row>
    <row r="17" spans="1:8" x14ac:dyDescent="0.2">
      <c r="A17" s="72">
        <v>41759</v>
      </c>
      <c r="D17" s="66">
        <v>1309977.97</v>
      </c>
      <c r="E17" s="66"/>
      <c r="F17" s="28">
        <v>-4542.29</v>
      </c>
      <c r="G17" s="66"/>
      <c r="H17" s="82">
        <v>-395009.93000000087</v>
      </c>
    </row>
    <row r="18" spans="1:8" x14ac:dyDescent="0.2">
      <c r="A18" s="72">
        <v>41790</v>
      </c>
      <c r="D18" s="66">
        <v>2154215.33</v>
      </c>
      <c r="E18" s="66"/>
      <c r="F18" s="28">
        <v>-1090.3399999999999</v>
      </c>
      <c r="G18" s="66"/>
      <c r="H18" s="82">
        <v>1758115.0599999994</v>
      </c>
    </row>
    <row r="19" spans="1:8" x14ac:dyDescent="0.2">
      <c r="A19" s="72">
        <v>41820</v>
      </c>
      <c r="D19" s="66">
        <v>1893790.54</v>
      </c>
      <c r="E19" s="66"/>
      <c r="F19" s="28">
        <v>4696.33</v>
      </c>
      <c r="G19" s="66"/>
      <c r="H19" s="82">
        <v>3656601.9299999997</v>
      </c>
    </row>
    <row r="20" spans="1:8" x14ac:dyDescent="0.2">
      <c r="A20" s="72">
        <v>41851</v>
      </c>
      <c r="D20" s="1">
        <v>2107434.81</v>
      </c>
      <c r="F20" s="70">
        <v>10093.219999999999</v>
      </c>
      <c r="H20" s="68">
        <v>5774129.96</v>
      </c>
    </row>
    <row r="21" spans="1:8" x14ac:dyDescent="0.2">
      <c r="A21" s="72">
        <v>41882</v>
      </c>
      <c r="D21" s="1">
        <v>2571078.63</v>
      </c>
      <c r="F21" s="70">
        <v>15938.18</v>
      </c>
      <c r="H21" s="68">
        <v>8361146.7699999996</v>
      </c>
    </row>
    <row r="22" spans="1:8" x14ac:dyDescent="0.2">
      <c r="A22" s="72">
        <v>41912</v>
      </c>
      <c r="D22" s="1">
        <v>2247644.98</v>
      </c>
      <c r="F22" s="70">
        <v>22334.57</v>
      </c>
      <c r="H22" s="68">
        <v>10631126.32</v>
      </c>
    </row>
    <row r="23" spans="1:8" x14ac:dyDescent="0.2">
      <c r="A23" s="72">
        <v>41943</v>
      </c>
      <c r="D23" s="1">
        <v>1941514.0899999999</v>
      </c>
      <c r="F23" s="70">
        <v>29344.82</v>
      </c>
      <c r="H23" s="68">
        <v>12601985.23</v>
      </c>
    </row>
    <row r="24" spans="1:8" x14ac:dyDescent="0.2">
      <c r="A24" s="149" t="s">
        <v>81</v>
      </c>
      <c r="B24" s="149"/>
      <c r="C24" s="149"/>
      <c r="D24" s="149"/>
      <c r="E24" s="149"/>
      <c r="F24" s="149"/>
      <c r="G24" s="1">
        <v>-5821559.6299999999</v>
      </c>
      <c r="H24" s="68">
        <v>6780425.6000000006</v>
      </c>
    </row>
    <row r="25" spans="1:8" x14ac:dyDescent="0.2">
      <c r="A25" s="104">
        <v>41973</v>
      </c>
      <c r="D25" s="1">
        <v>-2042189.49</v>
      </c>
      <c r="F25" s="103">
        <v>18112.099999999999</v>
      </c>
      <c r="H25" s="99">
        <v>4756348.2100000009</v>
      </c>
    </row>
    <row r="26" spans="1:8" x14ac:dyDescent="0.2">
      <c r="A26" s="104">
        <v>42004</v>
      </c>
      <c r="D26" s="1">
        <v>-1928263.19</v>
      </c>
      <c r="F26" s="103">
        <v>13128.82</v>
      </c>
      <c r="H26" s="99">
        <v>2841213.8400000008</v>
      </c>
    </row>
    <row r="27" spans="1:8" x14ac:dyDescent="0.2">
      <c r="A27" s="104">
        <v>42035</v>
      </c>
      <c r="D27" s="1">
        <v>-2480315.9500000002</v>
      </c>
      <c r="F27" s="103">
        <v>7842.53</v>
      </c>
      <c r="H27" s="99">
        <v>368740.42000000039</v>
      </c>
    </row>
    <row r="28" spans="1:8" x14ac:dyDescent="0.2">
      <c r="A28" s="104">
        <v>42063</v>
      </c>
      <c r="D28" s="1">
        <v>-674822.15999999992</v>
      </c>
      <c r="F28" s="103">
        <v>919.33</v>
      </c>
      <c r="H28" s="99">
        <v>-305162.40999999957</v>
      </c>
    </row>
    <row r="29" spans="1:8" x14ac:dyDescent="0.2">
      <c r="A29" s="104">
        <v>42094</v>
      </c>
      <c r="D29" s="1">
        <v>388436.35</v>
      </c>
      <c r="F29" s="103">
        <v>-842.33</v>
      </c>
      <c r="H29" s="99">
        <v>82431.610000000393</v>
      </c>
    </row>
    <row r="30" spans="1:8" x14ac:dyDescent="0.2">
      <c r="A30" s="104">
        <v>42124</v>
      </c>
      <c r="D30" s="1">
        <v>577862.52</v>
      </c>
      <c r="F30" s="103">
        <v>220.19</v>
      </c>
      <c r="H30" s="99">
        <v>660514.3200000003</v>
      </c>
    </row>
    <row r="31" spans="1:8" x14ac:dyDescent="0.2">
      <c r="A31" s="104">
        <v>42155</v>
      </c>
      <c r="D31" s="1">
        <v>1918731.1600000001</v>
      </c>
      <c r="F31" s="103">
        <v>1823.2</v>
      </c>
      <c r="H31" s="99">
        <v>2581068.6800000006</v>
      </c>
    </row>
    <row r="32" spans="1:8" x14ac:dyDescent="0.2">
      <c r="A32" s="104">
        <v>42185</v>
      </c>
      <c r="D32" s="1">
        <v>2766580.29</v>
      </c>
      <c r="F32" s="103">
        <v>6894.64</v>
      </c>
      <c r="H32" s="99">
        <v>5354543.6100000013</v>
      </c>
    </row>
    <row r="33" spans="1:8" x14ac:dyDescent="0.2">
      <c r="A33" s="104">
        <v>42216</v>
      </c>
      <c r="D33" s="1">
        <v>2399363.59</v>
      </c>
      <c r="F33" s="103">
        <v>14780.01</v>
      </c>
      <c r="H33" s="99">
        <v>7768687.2100000009</v>
      </c>
    </row>
    <row r="34" spans="1:8" x14ac:dyDescent="0.2">
      <c r="A34" s="104">
        <v>42247</v>
      </c>
      <c r="D34" s="86">
        <v>2832631.49</v>
      </c>
      <c r="F34" s="103">
        <v>21443.71</v>
      </c>
      <c r="H34" s="99">
        <v>10622762.41</v>
      </c>
    </row>
    <row r="35" spans="1:8" s="86" customFormat="1" x14ac:dyDescent="0.2">
      <c r="A35" s="149" t="s">
        <v>98</v>
      </c>
      <c r="B35" s="149"/>
      <c r="C35" s="149"/>
      <c r="D35" s="149"/>
      <c r="E35" s="149"/>
      <c r="F35" s="149"/>
      <c r="G35" s="86">
        <v>-5384144.4199999999</v>
      </c>
      <c r="H35" s="99">
        <v>5238617.99</v>
      </c>
    </row>
    <row r="36" spans="1:8" x14ac:dyDescent="0.2">
      <c r="A36" s="104">
        <v>42277</v>
      </c>
      <c r="D36" s="1">
        <v>2044052.94</v>
      </c>
      <c r="F36" s="103">
        <v>13993.57</v>
      </c>
      <c r="H36" s="99">
        <v>7296664.5</v>
      </c>
    </row>
    <row r="37" spans="1:8" x14ac:dyDescent="0.2">
      <c r="A37" s="104">
        <v>42308</v>
      </c>
      <c r="D37" s="1">
        <v>1449363.23</v>
      </c>
      <c r="F37" s="103">
        <v>20140.79</v>
      </c>
      <c r="H37" s="99">
        <v>8766168.5199999996</v>
      </c>
    </row>
    <row r="38" spans="1:8" x14ac:dyDescent="0.2">
      <c r="A38" s="104">
        <v>42338</v>
      </c>
      <c r="D38" s="1">
        <v>-1390444.65</v>
      </c>
      <c r="F38" s="103">
        <v>23416.48</v>
      </c>
      <c r="H38" s="99">
        <v>7399140.3499999996</v>
      </c>
    </row>
    <row r="39" spans="1:8" x14ac:dyDescent="0.2">
      <c r="A39" s="104"/>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view="pageBreakPreview" zoomScaleNormal="100" zoomScaleSheetLayoutView="100" workbookViewId="0">
      <selection sqref="A1:B1"/>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60" t="s">
        <v>13</v>
      </c>
      <c r="B1" s="161"/>
      <c r="C1" s="177" t="s">
        <v>14</v>
      </c>
      <c r="D1" s="177"/>
      <c r="E1" s="177"/>
      <c r="F1" s="177"/>
      <c r="G1" s="177"/>
      <c r="H1" s="178"/>
    </row>
    <row r="2" spans="1:8" x14ac:dyDescent="0.2">
      <c r="A2" s="162" t="s">
        <v>16</v>
      </c>
      <c r="B2" s="140"/>
      <c r="C2" s="179" t="s">
        <v>100</v>
      </c>
      <c r="D2" s="179"/>
      <c r="E2" s="179"/>
      <c r="F2" s="179"/>
      <c r="G2" s="179"/>
      <c r="H2" s="180"/>
    </row>
    <row r="3" spans="1:8" x14ac:dyDescent="0.2">
      <c r="A3" s="162" t="s">
        <v>17</v>
      </c>
      <c r="B3" s="140"/>
      <c r="C3" s="179" t="s">
        <v>99</v>
      </c>
      <c r="D3" s="179"/>
      <c r="E3" s="179"/>
      <c r="F3" s="179"/>
      <c r="G3" s="179"/>
      <c r="H3" s="180"/>
    </row>
    <row r="4" spans="1:8" x14ac:dyDescent="0.2">
      <c r="A4" s="162" t="s">
        <v>18</v>
      </c>
      <c r="B4" s="140"/>
      <c r="C4" s="181" t="s">
        <v>19</v>
      </c>
      <c r="D4" s="181"/>
      <c r="E4" s="181"/>
      <c r="F4" s="181"/>
      <c r="G4" s="181"/>
      <c r="H4" s="182"/>
    </row>
    <row r="5" spans="1:8" x14ac:dyDescent="0.2">
      <c r="A5" s="162" t="s">
        <v>20</v>
      </c>
      <c r="B5" s="140"/>
      <c r="C5" s="181" t="s">
        <v>33</v>
      </c>
      <c r="D5" s="181"/>
      <c r="E5" s="181"/>
      <c r="F5" s="181"/>
      <c r="G5" s="181"/>
      <c r="H5" s="182"/>
    </row>
    <row r="6" spans="1:8" x14ac:dyDescent="0.2">
      <c r="A6" s="162" t="s">
        <v>21</v>
      </c>
      <c r="B6" s="140"/>
      <c r="C6" s="181" t="s">
        <v>101</v>
      </c>
      <c r="D6" s="181"/>
      <c r="E6" s="181"/>
      <c r="F6" s="181"/>
      <c r="G6" s="181"/>
      <c r="H6" s="182"/>
    </row>
    <row r="7" spans="1:8" ht="13.5" thickBot="1" x14ac:dyDescent="0.25">
      <c r="A7" s="165" t="s">
        <v>22</v>
      </c>
      <c r="B7" s="166"/>
      <c r="C7" s="184" t="s">
        <v>102</v>
      </c>
      <c r="D7" s="184"/>
      <c r="E7" s="184"/>
      <c r="F7" s="184"/>
      <c r="G7" s="184"/>
      <c r="H7" s="185"/>
    </row>
    <row r="8" spans="1:8" x14ac:dyDescent="0.2">
      <c r="A8" s="87"/>
      <c r="B8" s="87"/>
      <c r="C8" s="88"/>
      <c r="D8" s="88"/>
      <c r="E8" s="88"/>
      <c r="F8" s="88"/>
      <c r="G8" s="88"/>
      <c r="H8" s="88"/>
    </row>
    <row r="9" spans="1:8" x14ac:dyDescent="0.2">
      <c r="A9" s="89"/>
      <c r="D9" s="150" t="s">
        <v>39</v>
      </c>
      <c r="E9" s="150"/>
      <c r="F9" s="150"/>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83" t="s">
        <v>83</v>
      </c>
      <c r="B12" s="183"/>
      <c r="C12" s="183"/>
      <c r="D12" s="183"/>
      <c r="E12" s="183"/>
      <c r="F12" s="183"/>
      <c r="G12" s="57">
        <v>-9178833.8800000008</v>
      </c>
      <c r="H12" s="59"/>
    </row>
    <row r="13" spans="1:8" x14ac:dyDescent="0.2">
      <c r="A13" s="183" t="s">
        <v>82</v>
      </c>
      <c r="B13" s="183"/>
      <c r="C13" s="183"/>
      <c r="D13" s="183"/>
      <c r="E13" s="183"/>
      <c r="F13" s="183"/>
      <c r="G13" s="57">
        <v>5384144.4199999999</v>
      </c>
      <c r="H13" s="59"/>
    </row>
    <row r="14" spans="1:8" x14ac:dyDescent="0.2">
      <c r="A14" s="183" t="s">
        <v>104</v>
      </c>
      <c r="B14" s="183"/>
      <c r="C14" s="183"/>
      <c r="D14" s="183"/>
      <c r="E14" s="183"/>
      <c r="F14" s="183"/>
      <c r="G14" s="57">
        <v>-71303.62</v>
      </c>
      <c r="H14" s="59"/>
    </row>
    <row r="15" spans="1:8" x14ac:dyDescent="0.2">
      <c r="A15" s="183" t="s">
        <v>103</v>
      </c>
      <c r="B15" s="183"/>
      <c r="C15" s="183"/>
      <c r="D15" s="183"/>
      <c r="E15" s="183"/>
      <c r="F15" s="183"/>
      <c r="G15" s="109">
        <v>2364692.04</v>
      </c>
      <c r="H15" s="59"/>
    </row>
    <row r="16" spans="1:8" x14ac:dyDescent="0.2">
      <c r="A16" s="183"/>
      <c r="B16" s="183"/>
      <c r="C16" s="183"/>
      <c r="D16" s="183"/>
      <c r="E16" s="183"/>
      <c r="F16" s="183"/>
      <c r="G16" s="57"/>
      <c r="H16" s="59">
        <v>-1501301.040000001</v>
      </c>
    </row>
    <row r="17" spans="1:8" x14ac:dyDescent="0.2">
      <c r="A17" s="56">
        <v>42277</v>
      </c>
      <c r="B17" s="57" t="s">
        <v>34</v>
      </c>
      <c r="C17" s="85">
        <v>7207066</v>
      </c>
      <c r="D17" s="57"/>
      <c r="E17" s="58">
        <v>-167245.69</v>
      </c>
      <c r="F17" s="57">
        <v>-4010.32</v>
      </c>
      <c r="G17" s="57"/>
      <c r="H17" s="59">
        <v>-1672557.050000001</v>
      </c>
    </row>
    <row r="18" spans="1:8" s="103" customFormat="1" x14ac:dyDescent="0.2">
      <c r="A18" s="56">
        <v>42308</v>
      </c>
      <c r="B18" s="71">
        <v>6.0099999999999997E-3</v>
      </c>
      <c r="C18" s="85">
        <v>9975218</v>
      </c>
      <c r="D18" s="77"/>
      <c r="E18" s="96">
        <v>59951.049999999996</v>
      </c>
      <c r="F18" s="57">
        <v>-4616.72</v>
      </c>
      <c r="G18" s="74"/>
      <c r="H18" s="75">
        <v>-1617222.7200000009</v>
      </c>
    </row>
    <row r="19" spans="1:8" x14ac:dyDescent="0.2">
      <c r="A19" s="56">
        <v>42338</v>
      </c>
      <c r="B19" s="71">
        <v>6.0099999999999997E-3</v>
      </c>
      <c r="C19" s="85">
        <v>13543144</v>
      </c>
      <c r="D19" s="76"/>
      <c r="E19" s="96">
        <v>81394.31</v>
      </c>
      <c r="F19" s="57">
        <v>-4319.9799999999996</v>
      </c>
      <c r="G19" s="62"/>
      <c r="H19" s="65">
        <v>-1540148.3900000008</v>
      </c>
    </row>
    <row r="20" spans="1:8" x14ac:dyDescent="0.2">
      <c r="H20" s="65"/>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workbookViewId="0">
      <selection activeCell="A39" sqref="A39"/>
    </sheetView>
  </sheetViews>
  <sheetFormatPr defaultRowHeight="15.75" x14ac:dyDescent="0.25"/>
  <cols>
    <col min="1" max="1" width="9.109375" style="198" customWidth="1"/>
    <col min="2" max="2" width="12.21875" style="198" customWidth="1"/>
    <col min="3" max="3" width="4" style="198" customWidth="1"/>
    <col min="4" max="4" width="15.88671875" style="198" customWidth="1"/>
    <col min="5" max="5" width="13.88671875" style="198" bestFit="1" customWidth="1"/>
    <col min="6" max="6" width="11.5546875" style="198" bestFit="1" customWidth="1"/>
    <col min="7" max="7" width="14.5546875" style="198" bestFit="1" customWidth="1"/>
    <col min="8" max="16384" width="8.88671875" style="198"/>
  </cols>
  <sheetData>
    <row r="1" spans="1:9" x14ac:dyDescent="0.25">
      <c r="A1" s="197" t="s">
        <v>105</v>
      </c>
      <c r="B1" s="197"/>
      <c r="C1" s="197"/>
      <c r="D1" s="197"/>
      <c r="E1" s="197"/>
      <c r="F1" s="197"/>
      <c r="G1" s="197"/>
      <c r="I1" s="216"/>
    </row>
    <row r="2" spans="1:9" x14ac:dyDescent="0.25">
      <c r="A2" s="198" t="s">
        <v>106</v>
      </c>
      <c r="B2" s="199" t="str">
        <f>'[1]Core Cost Incurred'!D2</f>
        <v>Nov 2015</v>
      </c>
      <c r="C2" s="199"/>
      <c r="D2" s="199"/>
      <c r="E2" s="199"/>
      <c r="F2" s="199"/>
      <c r="G2" s="199"/>
    </row>
    <row r="4" spans="1:9" ht="16.5" thickBot="1" x14ac:dyDescent="0.3">
      <c r="A4" s="200"/>
      <c r="B4" s="200"/>
      <c r="C4" s="200"/>
      <c r="D4" s="200"/>
      <c r="E4" s="200"/>
      <c r="F4" s="201"/>
      <c r="G4" s="202"/>
    </row>
    <row r="5" spans="1:9" x14ac:dyDescent="0.25">
      <c r="A5" s="217"/>
      <c r="B5" s="217"/>
      <c r="C5" s="217"/>
      <c r="D5" s="218" t="s">
        <v>107</v>
      </c>
      <c r="E5" s="218" t="s">
        <v>108</v>
      </c>
      <c r="F5" s="219" t="s">
        <v>24</v>
      </c>
      <c r="G5" s="218" t="s">
        <v>3</v>
      </c>
    </row>
    <row r="6" spans="1:9" x14ac:dyDescent="0.25">
      <c r="A6" s="220"/>
      <c r="B6" s="220"/>
      <c r="C6" s="202"/>
      <c r="D6" s="202">
        <v>692010</v>
      </c>
      <c r="E6" s="202">
        <v>691010</v>
      </c>
      <c r="F6" s="221">
        <v>693010</v>
      </c>
      <c r="G6" s="202"/>
    </row>
    <row r="7" spans="1:9" x14ac:dyDescent="0.25">
      <c r="A7" s="203" t="s">
        <v>109</v>
      </c>
      <c r="D7" s="222"/>
      <c r="E7" s="222"/>
      <c r="F7" s="219"/>
      <c r="G7" s="222"/>
    </row>
    <row r="8" spans="1:9" hidden="1" x14ac:dyDescent="0.25">
      <c r="A8" s="203" t="s">
        <v>110</v>
      </c>
      <c r="D8" s="223"/>
      <c r="E8" s="223"/>
      <c r="F8" s="224"/>
      <c r="G8" s="225">
        <f>SUM(D8:F8)</f>
        <v>0</v>
      </c>
    </row>
    <row r="9" spans="1:9" hidden="1" x14ac:dyDescent="0.25">
      <c r="A9" s="203" t="s">
        <v>111</v>
      </c>
      <c r="D9" s="226">
        <f>'[1]WA 09-2015 Rates'!J48</f>
        <v>9279278.8599999994</v>
      </c>
      <c r="E9" s="226">
        <f>'[1]WA 09-2015 Rates'!K48</f>
        <v>4904532.1900000004</v>
      </c>
      <c r="F9" s="227">
        <f>'[1]WA 09-2015 Rates'!L48</f>
        <v>-81394.31</v>
      </c>
      <c r="G9" s="207">
        <f>SUM(D9:F9)</f>
        <v>14102416.74</v>
      </c>
    </row>
    <row r="10" spans="1:9" x14ac:dyDescent="0.25">
      <c r="A10" s="203" t="s">
        <v>112</v>
      </c>
      <c r="C10" s="228"/>
      <c r="D10" s="223">
        <f>SUM(D8:D9)</f>
        <v>9279278.8599999994</v>
      </c>
      <c r="E10" s="223">
        <f>SUM(E8:E9)</f>
        <v>4904532.1900000004</v>
      </c>
      <c r="F10" s="224">
        <f>SUM(F8:F9)</f>
        <v>-81394.31</v>
      </c>
      <c r="G10" s="223">
        <f>SUM(G8:G9)</f>
        <v>14102416.74</v>
      </c>
    </row>
    <row r="11" spans="1:9" x14ac:dyDescent="0.25">
      <c r="A11" s="203" t="s">
        <v>113</v>
      </c>
      <c r="C11" s="228"/>
      <c r="D11" s="204">
        <f>'[1]Core Cost Incurred'!J42</f>
        <v>7734435.5200000005</v>
      </c>
      <c r="E11" s="205">
        <f>'[1]Core Cost Incurred'!J43</f>
        <v>3749877.5399999996</v>
      </c>
      <c r="F11" s="206">
        <v>0</v>
      </c>
      <c r="G11" s="207">
        <f>SUM(D11:E11)</f>
        <v>11484313.060000001</v>
      </c>
    </row>
    <row r="12" spans="1:9" x14ac:dyDescent="0.25">
      <c r="A12" s="203" t="s">
        <v>114</v>
      </c>
      <c r="C12" s="228"/>
      <c r="D12" s="208">
        <f>D10-D11</f>
        <v>1544843.3399999989</v>
      </c>
      <c r="E12" s="209">
        <f>E10-E11</f>
        <v>1154654.6500000008</v>
      </c>
      <c r="F12" s="209">
        <f t="shared" ref="F12" si="0">F10-F11</f>
        <v>-81394.31</v>
      </c>
      <c r="G12" s="208">
        <f>G10-G11</f>
        <v>2618103.6799999997</v>
      </c>
    </row>
    <row r="13" spans="1:9" x14ac:dyDescent="0.25">
      <c r="D13" s="208"/>
      <c r="E13" s="210"/>
      <c r="F13" s="210"/>
      <c r="G13" s="211"/>
    </row>
    <row r="14" spans="1:9" x14ac:dyDescent="0.25">
      <c r="A14" s="229" t="s">
        <v>115</v>
      </c>
      <c r="B14" s="212"/>
      <c r="C14" s="212"/>
      <c r="D14" s="208"/>
      <c r="E14" s="208">
        <v>235790</v>
      </c>
      <c r="F14" s="213"/>
      <c r="G14" s="211">
        <v>235790</v>
      </c>
    </row>
    <row r="15" spans="1:9" x14ac:dyDescent="0.25">
      <c r="A15" s="230" t="s">
        <v>116</v>
      </c>
      <c r="B15" s="231"/>
      <c r="C15" s="231"/>
      <c r="D15" s="232">
        <f>+D10-D11</f>
        <v>1544843.3399999989</v>
      </c>
      <c r="E15" s="232">
        <f>E12+E14</f>
        <v>1390444.6500000008</v>
      </c>
      <c r="F15" s="233">
        <f>+F10-F11</f>
        <v>-81394.31</v>
      </c>
      <c r="G15" s="232">
        <f>G12+G14</f>
        <v>2853893.6799999997</v>
      </c>
    </row>
    <row r="16" spans="1:9" x14ac:dyDescent="0.25">
      <c r="F16" s="214"/>
    </row>
    <row r="17" spans="1:7" x14ac:dyDescent="0.25">
      <c r="D17" s="198" t="s">
        <v>117</v>
      </c>
      <c r="F17" s="214"/>
    </row>
    <row r="18" spans="1:7" x14ac:dyDescent="0.25">
      <c r="F18" s="214"/>
    </row>
    <row r="19" spans="1:7" x14ac:dyDescent="0.25">
      <c r="A19" s="234" t="s">
        <v>118</v>
      </c>
      <c r="B19" s="234"/>
      <c r="D19" s="235" t="s">
        <v>27</v>
      </c>
      <c r="E19" s="235" t="s">
        <v>27</v>
      </c>
      <c r="F19" s="224"/>
      <c r="G19" s="215"/>
    </row>
    <row r="20" spans="1:7" x14ac:dyDescent="0.25">
      <c r="D20" s="236"/>
      <c r="E20" s="236"/>
      <c r="F20" s="237"/>
    </row>
    <row r="21" spans="1:7" x14ac:dyDescent="0.25">
      <c r="D21" s="211">
        <f>-D15</f>
        <v>-1544843.3399999989</v>
      </c>
      <c r="E21" s="211">
        <f>-E15</f>
        <v>-1390444.6500000008</v>
      </c>
      <c r="F21" s="238">
        <f>-F15</f>
        <v>81394.31</v>
      </c>
      <c r="G21" s="211">
        <f>SUM(D21:F21)</f>
        <v>-2853893.6799999997</v>
      </c>
    </row>
    <row r="22" spans="1:7" ht="16.5" thickBot="1" x14ac:dyDescent="0.3">
      <c r="A22" s="234" t="s">
        <v>119</v>
      </c>
      <c r="B22" s="234"/>
      <c r="D22" s="239" t="s">
        <v>28</v>
      </c>
      <c r="E22" s="240" t="s">
        <v>29</v>
      </c>
      <c r="F22" s="241"/>
      <c r="G22" s="215"/>
    </row>
    <row r="23" spans="1:7" x14ac:dyDescent="0.25">
      <c r="E23" s="242"/>
      <c r="F23" s="242"/>
      <c r="G23" s="242"/>
    </row>
    <row r="24" spans="1:7" x14ac:dyDescent="0.25">
      <c r="E24" s="211"/>
      <c r="F24" s="215"/>
    </row>
    <row r="25" spans="1:7" x14ac:dyDescent="0.25">
      <c r="E25" s="211"/>
      <c r="F25" s="215"/>
    </row>
    <row r="26" spans="1:7" x14ac:dyDescent="0.25">
      <c r="E26" s="211"/>
      <c r="F26" s="215"/>
    </row>
    <row r="27" spans="1:7" x14ac:dyDescent="0.25">
      <c r="F27" s="215"/>
    </row>
    <row r="30" spans="1:7" x14ac:dyDescent="0.25">
      <c r="A30" s="234"/>
      <c r="B30" s="234"/>
    </row>
  </sheetData>
  <mergeCells count="3">
    <mergeCell ref="A1:G1"/>
    <mergeCell ref="B2:G2"/>
    <mergeCell ref="A4:E4"/>
  </mergeCells>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96" zoomScaleNormal="75" zoomScaleSheetLayoutView="96" workbookViewId="0">
      <pane xSplit="1" ySplit="10" topLeftCell="B11"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60" t="s">
        <v>13</v>
      </c>
      <c r="B1" s="161"/>
      <c r="C1" s="169" t="s">
        <v>14</v>
      </c>
      <c r="D1" s="169"/>
      <c r="E1" s="169"/>
      <c r="F1" s="169"/>
      <c r="G1" s="169"/>
      <c r="H1" s="170"/>
    </row>
    <row r="2" spans="1:8" x14ac:dyDescent="0.2">
      <c r="A2" s="162" t="s">
        <v>16</v>
      </c>
      <c r="B2" s="140"/>
      <c r="C2" s="143" t="s">
        <v>47</v>
      </c>
      <c r="D2" s="143"/>
      <c r="E2" s="143"/>
      <c r="F2" s="143"/>
      <c r="G2" s="143"/>
      <c r="H2" s="158"/>
    </row>
    <row r="3" spans="1:8" x14ac:dyDescent="0.2">
      <c r="A3" s="162" t="s">
        <v>17</v>
      </c>
      <c r="B3" s="140"/>
      <c r="C3" s="143" t="s">
        <v>30</v>
      </c>
      <c r="D3" s="143"/>
      <c r="E3" s="143"/>
      <c r="F3" s="143"/>
      <c r="G3" s="143"/>
      <c r="H3" s="158"/>
    </row>
    <row r="4" spans="1:8" s="7" customFormat="1" x14ac:dyDescent="0.2">
      <c r="A4" s="162" t="s">
        <v>18</v>
      </c>
      <c r="B4" s="140"/>
      <c r="C4" s="145" t="s">
        <v>19</v>
      </c>
      <c r="D4" s="145"/>
      <c r="E4" s="145"/>
      <c r="F4" s="145"/>
      <c r="G4" s="145"/>
      <c r="H4" s="159"/>
    </row>
    <row r="5" spans="1:8" x14ac:dyDescent="0.2">
      <c r="A5" s="162" t="s">
        <v>20</v>
      </c>
      <c r="B5" s="140"/>
      <c r="C5" s="145" t="s">
        <v>89</v>
      </c>
      <c r="D5" s="145"/>
      <c r="E5" s="145"/>
      <c r="F5" s="145"/>
      <c r="G5" s="145"/>
      <c r="H5" s="159"/>
    </row>
    <row r="6" spans="1:8" x14ac:dyDescent="0.2">
      <c r="A6" s="162" t="s">
        <v>21</v>
      </c>
      <c r="B6" s="140"/>
      <c r="C6" s="145" t="s">
        <v>70</v>
      </c>
      <c r="D6" s="145"/>
      <c r="E6" s="145"/>
      <c r="F6" s="145"/>
      <c r="G6" s="145"/>
      <c r="H6" s="159"/>
    </row>
    <row r="7" spans="1:8" ht="13.5" thickBot="1" x14ac:dyDescent="0.25">
      <c r="A7" s="165" t="s">
        <v>22</v>
      </c>
      <c r="B7" s="166"/>
      <c r="C7" s="167" t="s">
        <v>46</v>
      </c>
      <c r="D7" s="167"/>
      <c r="E7" s="167"/>
      <c r="F7" s="167"/>
      <c r="G7" s="167"/>
      <c r="H7" s="168"/>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67">
        <v>158578.29</v>
      </c>
    </row>
    <row r="12" spans="1:8" x14ac:dyDescent="0.2">
      <c r="A12" s="72">
        <v>41608</v>
      </c>
      <c r="D12" s="1">
        <v>24828.55</v>
      </c>
      <c r="F12" s="54">
        <v>423.6</v>
      </c>
      <c r="H12" s="67">
        <v>183830.44</v>
      </c>
    </row>
    <row r="13" spans="1:8" x14ac:dyDescent="0.2">
      <c r="A13" s="72">
        <v>41639</v>
      </c>
      <c r="D13" s="1">
        <v>61920.67</v>
      </c>
      <c r="F13" s="54">
        <v>507.42</v>
      </c>
      <c r="H13" s="67">
        <v>246258.53</v>
      </c>
    </row>
    <row r="14" spans="1:8" x14ac:dyDescent="0.2">
      <c r="A14" s="72">
        <v>41670</v>
      </c>
      <c r="D14" s="1">
        <v>106224.99</v>
      </c>
      <c r="F14" s="54">
        <v>679.74</v>
      </c>
      <c r="H14" s="67">
        <v>353163.26</v>
      </c>
    </row>
    <row r="15" spans="1:8" x14ac:dyDescent="0.2">
      <c r="A15" s="72">
        <v>41698</v>
      </c>
      <c r="D15" s="1">
        <v>22585.5</v>
      </c>
      <c r="F15" s="54">
        <v>880.49</v>
      </c>
      <c r="H15" s="67">
        <v>376629.25</v>
      </c>
    </row>
    <row r="16" spans="1:8" x14ac:dyDescent="0.2">
      <c r="A16" s="72">
        <v>41729</v>
      </c>
      <c r="D16" s="1">
        <v>15702.2</v>
      </c>
      <c r="F16" s="54">
        <v>1039.5999999999999</v>
      </c>
      <c r="H16" s="67">
        <v>393371.05</v>
      </c>
    </row>
    <row r="17" spans="1:8" x14ac:dyDescent="0.2">
      <c r="A17" s="72">
        <v>41759</v>
      </c>
      <c r="D17" s="1">
        <v>6983.2</v>
      </c>
      <c r="F17" s="54">
        <v>1050.79</v>
      </c>
      <c r="H17" s="67">
        <v>401405.04</v>
      </c>
    </row>
    <row r="18" spans="1:8" x14ac:dyDescent="0.2">
      <c r="A18" s="72">
        <v>41790</v>
      </c>
      <c r="D18" s="1">
        <v>23544</v>
      </c>
      <c r="F18" s="54">
        <v>1107.99</v>
      </c>
      <c r="H18" s="67">
        <v>426057.02999999997</v>
      </c>
    </row>
    <row r="19" spans="1:8" x14ac:dyDescent="0.2">
      <c r="A19" s="72">
        <v>41820</v>
      </c>
      <c r="D19" s="1">
        <v>-3291</v>
      </c>
      <c r="F19" s="54">
        <v>1138.0999999999999</v>
      </c>
      <c r="H19" s="67">
        <v>423904.12999999995</v>
      </c>
    </row>
    <row r="20" spans="1:8" x14ac:dyDescent="0.2">
      <c r="A20" s="72">
        <v>41851</v>
      </c>
      <c r="D20" s="1">
        <v>54271</v>
      </c>
      <c r="F20" s="54">
        <v>1170.0899999999999</v>
      </c>
      <c r="H20" s="67">
        <v>479345.22</v>
      </c>
    </row>
    <row r="21" spans="1:8" x14ac:dyDescent="0.2">
      <c r="A21" s="72">
        <v>41882</v>
      </c>
      <c r="D21" s="1">
        <v>6460</v>
      </c>
      <c r="F21" s="54">
        <v>1323.12</v>
      </c>
      <c r="H21" s="67">
        <v>487128.33999999997</v>
      </c>
    </row>
    <row r="22" spans="1:8" x14ac:dyDescent="0.2">
      <c r="A22" s="72">
        <v>41912</v>
      </c>
      <c r="D22" s="1">
        <v>97919.2</v>
      </c>
      <c r="F22" s="54">
        <v>1301.23</v>
      </c>
      <c r="H22" s="67">
        <v>586348.77</v>
      </c>
    </row>
    <row r="23" spans="1:8" x14ac:dyDescent="0.2">
      <c r="A23" s="72">
        <v>41943</v>
      </c>
      <c r="D23" s="1">
        <v>4238.3</v>
      </c>
      <c r="F23" s="54">
        <v>1618.48</v>
      </c>
      <c r="H23" s="67">
        <v>592205.55000000005</v>
      </c>
    </row>
    <row r="24" spans="1:8" x14ac:dyDescent="0.2">
      <c r="A24" s="149" t="s">
        <v>92</v>
      </c>
      <c r="B24" s="149"/>
      <c r="C24" s="149"/>
      <c r="D24" s="149"/>
      <c r="E24" s="149"/>
      <c r="F24" s="149"/>
      <c r="G24" s="86">
        <v>-483282.64</v>
      </c>
      <c r="H24" s="98">
        <v>108922.91000000003</v>
      </c>
    </row>
    <row r="25" spans="1:8" x14ac:dyDescent="0.2">
      <c r="A25" s="104">
        <v>41973</v>
      </c>
      <c r="D25" s="1">
        <v>33374.75</v>
      </c>
      <c r="F25" s="86">
        <v>290.95999999999998</v>
      </c>
      <c r="H25" s="98">
        <v>142588.62000000002</v>
      </c>
    </row>
    <row r="26" spans="1:8" x14ac:dyDescent="0.2">
      <c r="A26" s="104">
        <v>42004</v>
      </c>
      <c r="D26" s="1">
        <v>21640</v>
      </c>
      <c r="F26" s="86">
        <v>393.58</v>
      </c>
      <c r="H26" s="98">
        <v>164622.20000000001</v>
      </c>
    </row>
    <row r="27" spans="1:8" x14ac:dyDescent="0.2">
      <c r="A27" s="104">
        <v>42035</v>
      </c>
      <c r="D27" s="1">
        <v>37399</v>
      </c>
      <c r="F27" s="86">
        <v>454.4</v>
      </c>
      <c r="H27" s="98">
        <v>202475.6</v>
      </c>
    </row>
    <row r="28" spans="1:8" x14ac:dyDescent="0.2">
      <c r="A28" s="104">
        <v>42063</v>
      </c>
      <c r="D28" s="1">
        <v>55859</v>
      </c>
      <c r="F28" s="86">
        <v>504.8</v>
      </c>
      <c r="H28" s="98">
        <v>258839.40000000002</v>
      </c>
    </row>
    <row r="29" spans="1:8" x14ac:dyDescent="0.2">
      <c r="A29" s="104">
        <v>42094</v>
      </c>
      <c r="D29" s="1">
        <v>169431.4</v>
      </c>
      <c r="F29" s="86">
        <v>714.47</v>
      </c>
      <c r="H29" s="98">
        <v>428985.27</v>
      </c>
    </row>
    <row r="30" spans="1:8" x14ac:dyDescent="0.2">
      <c r="A30" s="104">
        <v>42124</v>
      </c>
      <c r="D30" s="1">
        <v>28883.5</v>
      </c>
      <c r="F30" s="86">
        <v>1145.92</v>
      </c>
      <c r="H30" s="98">
        <v>459014.69</v>
      </c>
    </row>
    <row r="31" spans="1:8" x14ac:dyDescent="0.2">
      <c r="A31" s="104">
        <v>42155</v>
      </c>
      <c r="D31" s="1">
        <v>5600</v>
      </c>
      <c r="F31" s="86">
        <v>1267.01</v>
      </c>
      <c r="H31" s="98">
        <v>465881.7</v>
      </c>
    </row>
    <row r="32" spans="1:8" x14ac:dyDescent="0.2">
      <c r="A32" s="104">
        <v>42185</v>
      </c>
      <c r="D32" s="1">
        <v>9188</v>
      </c>
      <c r="F32" s="86">
        <v>1244.48</v>
      </c>
      <c r="H32" s="98">
        <v>476314.18</v>
      </c>
    </row>
    <row r="33" spans="1:8" x14ac:dyDescent="0.2">
      <c r="A33" s="104">
        <v>42216</v>
      </c>
      <c r="D33" s="1">
        <v>51916.2</v>
      </c>
      <c r="F33" s="86">
        <v>1314.76</v>
      </c>
      <c r="H33" s="98">
        <v>529545.14</v>
      </c>
    </row>
    <row r="34" spans="1:8" x14ac:dyDescent="0.2">
      <c r="A34" s="104">
        <v>42247</v>
      </c>
      <c r="D34" s="1">
        <v>9960</v>
      </c>
      <c r="F34" s="86">
        <v>1461.69</v>
      </c>
      <c r="H34" s="98">
        <v>540966.82999999996</v>
      </c>
    </row>
    <row r="35" spans="1:8" x14ac:dyDescent="0.2">
      <c r="A35" s="104">
        <v>42277</v>
      </c>
      <c r="D35" s="1">
        <v>171485.2</v>
      </c>
      <c r="F35" s="86">
        <v>1445.05</v>
      </c>
      <c r="H35" s="98">
        <v>713897.08</v>
      </c>
    </row>
    <row r="36" spans="1:8" x14ac:dyDescent="0.2">
      <c r="A36" s="104">
        <v>42308</v>
      </c>
      <c r="D36" s="1">
        <v>63970</v>
      </c>
      <c r="F36" s="86">
        <v>1970.55</v>
      </c>
      <c r="H36" s="98">
        <v>779837.63</v>
      </c>
    </row>
    <row r="37" spans="1:8" x14ac:dyDescent="0.2">
      <c r="A37" s="104">
        <v>42338</v>
      </c>
      <c r="B37" s="86"/>
      <c r="C37" s="86"/>
      <c r="D37" s="86">
        <v>0</v>
      </c>
      <c r="E37" s="86"/>
      <c r="F37" s="86">
        <v>2083.13</v>
      </c>
      <c r="G37" s="86"/>
      <c r="H37" s="98">
        <v>781920.76</v>
      </c>
    </row>
  </sheetData>
  <mergeCells count="17">
    <mergeCell ref="D9:F9"/>
    <mergeCell ref="A24:F24"/>
    <mergeCell ref="A1:B1"/>
    <mergeCell ref="A2:B2"/>
    <mergeCell ref="A3:B3"/>
    <mergeCell ref="A4:B4"/>
    <mergeCell ref="A5:B5"/>
    <mergeCell ref="C2:H2"/>
    <mergeCell ref="C3:H3"/>
    <mergeCell ref="C4:H4"/>
    <mergeCell ref="A11:G11"/>
    <mergeCell ref="C5:H5"/>
    <mergeCell ref="C6:H6"/>
    <mergeCell ref="A6:B6"/>
    <mergeCell ref="A7:B7"/>
    <mergeCell ref="C1:H1"/>
    <mergeCell ref="C7:H7"/>
  </mergeCells>
  <phoneticPr fontId="0" type="noConversion"/>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Normal="75" zoomScaleSheetLayoutView="100" workbookViewId="0">
      <pane xSplit="1" ySplit="10" topLeftCell="B20"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60" t="s">
        <v>13</v>
      </c>
      <c r="B1" s="161"/>
      <c r="C1" s="169" t="s">
        <v>14</v>
      </c>
      <c r="D1" s="169"/>
      <c r="E1" s="169"/>
      <c r="F1" s="169"/>
      <c r="G1" s="169"/>
      <c r="H1" s="170"/>
    </row>
    <row r="2" spans="1:8" x14ac:dyDescent="0.2">
      <c r="A2" s="162" t="s">
        <v>16</v>
      </c>
      <c r="B2" s="140"/>
      <c r="C2" s="143" t="s">
        <v>48</v>
      </c>
      <c r="D2" s="143"/>
      <c r="E2" s="143"/>
      <c r="F2" s="143"/>
      <c r="G2" s="143"/>
      <c r="H2" s="158"/>
    </row>
    <row r="3" spans="1:8" x14ac:dyDescent="0.2">
      <c r="A3" s="162" t="s">
        <v>17</v>
      </c>
      <c r="B3" s="140"/>
      <c r="C3" s="143" t="s">
        <v>67</v>
      </c>
      <c r="D3" s="143"/>
      <c r="E3" s="143"/>
      <c r="F3" s="143"/>
      <c r="G3" s="143"/>
      <c r="H3" s="158"/>
    </row>
    <row r="4" spans="1:8" s="7" customFormat="1" x14ac:dyDescent="0.2">
      <c r="A4" s="162" t="s">
        <v>18</v>
      </c>
      <c r="B4" s="140"/>
      <c r="C4" s="171" t="s">
        <v>19</v>
      </c>
      <c r="D4" s="171"/>
      <c r="E4" s="171"/>
      <c r="F4" s="171"/>
      <c r="G4" s="171"/>
      <c r="H4" s="172"/>
    </row>
    <row r="5" spans="1:8" x14ac:dyDescent="0.2">
      <c r="A5" s="162" t="s">
        <v>20</v>
      </c>
      <c r="B5" s="140"/>
      <c r="C5" s="171" t="s">
        <v>89</v>
      </c>
      <c r="D5" s="171"/>
      <c r="E5" s="171"/>
      <c r="F5" s="171"/>
      <c r="G5" s="171"/>
      <c r="H5" s="172"/>
    </row>
    <row r="6" spans="1:8" x14ac:dyDescent="0.2">
      <c r="A6" s="162" t="s">
        <v>21</v>
      </c>
      <c r="B6" s="140"/>
      <c r="C6" s="145" t="s">
        <v>70</v>
      </c>
      <c r="D6" s="145"/>
      <c r="E6" s="145"/>
      <c r="F6" s="145"/>
      <c r="G6" s="145"/>
      <c r="H6" s="159"/>
    </row>
    <row r="7" spans="1:8" ht="13.5" thickBot="1" x14ac:dyDescent="0.25">
      <c r="A7" s="165" t="s">
        <v>22</v>
      </c>
      <c r="B7" s="166"/>
      <c r="C7" s="167" t="s">
        <v>46</v>
      </c>
      <c r="D7" s="167"/>
      <c r="E7" s="167"/>
      <c r="F7" s="167"/>
      <c r="G7" s="167"/>
      <c r="H7" s="168"/>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67">
        <v>34127.81</v>
      </c>
    </row>
    <row r="12" spans="1:8" x14ac:dyDescent="0.2">
      <c r="A12" s="72">
        <v>41608</v>
      </c>
      <c r="D12" s="1">
        <v>4026.46</v>
      </c>
      <c r="F12" s="54">
        <v>91.16</v>
      </c>
      <c r="H12" s="67">
        <v>38245.43</v>
      </c>
    </row>
    <row r="13" spans="1:8" x14ac:dyDescent="0.2">
      <c r="A13" s="72">
        <v>41639</v>
      </c>
      <c r="D13" s="1">
        <v>3341.37</v>
      </c>
      <c r="F13" s="54">
        <v>105.57</v>
      </c>
      <c r="H13" s="67">
        <v>41692.370000000003</v>
      </c>
    </row>
    <row r="14" spans="1:8" x14ac:dyDescent="0.2">
      <c r="A14" s="72">
        <v>41670</v>
      </c>
      <c r="D14" s="1">
        <v>3500.93</v>
      </c>
      <c r="F14" s="54">
        <v>115.08</v>
      </c>
      <c r="H14" s="67">
        <v>45308.380000000005</v>
      </c>
    </row>
    <row r="15" spans="1:8" x14ac:dyDescent="0.2">
      <c r="A15" s="72">
        <v>41698</v>
      </c>
      <c r="D15" s="1">
        <v>6937.2999999999993</v>
      </c>
      <c r="F15" s="54">
        <v>112.96</v>
      </c>
      <c r="H15" s="67">
        <v>52358.640000000007</v>
      </c>
    </row>
    <row r="16" spans="1:8" x14ac:dyDescent="0.2">
      <c r="A16" s="72">
        <v>41729</v>
      </c>
      <c r="D16" s="1">
        <v>6886.11</v>
      </c>
      <c r="F16" s="54">
        <v>144.52000000000001</v>
      </c>
      <c r="H16" s="67">
        <v>59389.270000000004</v>
      </c>
    </row>
    <row r="17" spans="1:8" x14ac:dyDescent="0.2">
      <c r="A17" s="72">
        <v>41759</v>
      </c>
      <c r="D17" s="1">
        <v>5578.35</v>
      </c>
      <c r="F17" s="54">
        <v>158.63999999999999</v>
      </c>
      <c r="H17" s="67">
        <v>65126.26</v>
      </c>
    </row>
    <row r="18" spans="1:8" x14ac:dyDescent="0.2">
      <c r="A18" s="72">
        <v>41790</v>
      </c>
      <c r="D18" s="1">
        <v>0</v>
      </c>
      <c r="F18" s="54">
        <v>179.77</v>
      </c>
      <c r="H18" s="67">
        <v>65306.03</v>
      </c>
    </row>
    <row r="19" spans="1:8" x14ac:dyDescent="0.2">
      <c r="A19" s="72">
        <v>41820</v>
      </c>
      <c r="D19" s="1">
        <v>8188.42</v>
      </c>
      <c r="F19" s="54">
        <v>174.45</v>
      </c>
      <c r="H19" s="67">
        <v>73668.899999999994</v>
      </c>
    </row>
    <row r="20" spans="1:8" x14ac:dyDescent="0.2">
      <c r="A20" s="72">
        <v>41851</v>
      </c>
      <c r="D20" s="1">
        <v>0</v>
      </c>
      <c r="F20" s="54">
        <v>203.35</v>
      </c>
      <c r="H20" s="67">
        <v>73872.25</v>
      </c>
    </row>
    <row r="21" spans="1:8" x14ac:dyDescent="0.2">
      <c r="A21" s="72">
        <v>41882</v>
      </c>
      <c r="D21" s="1">
        <v>5733.28</v>
      </c>
      <c r="F21" s="54">
        <v>203.91</v>
      </c>
      <c r="H21" s="67">
        <v>79809.440000000002</v>
      </c>
    </row>
    <row r="22" spans="1:8" x14ac:dyDescent="0.2">
      <c r="A22" s="72">
        <v>41912</v>
      </c>
      <c r="D22" s="1">
        <v>0</v>
      </c>
      <c r="F22" s="54">
        <v>213.19</v>
      </c>
      <c r="H22" s="67">
        <v>80022.63</v>
      </c>
    </row>
    <row r="23" spans="1:8" x14ac:dyDescent="0.2">
      <c r="A23" s="72">
        <v>41943</v>
      </c>
      <c r="D23" s="1">
        <v>3220.1</v>
      </c>
      <c r="F23" s="54">
        <v>220.88</v>
      </c>
      <c r="H23" s="67">
        <v>83463.61</v>
      </c>
    </row>
    <row r="24" spans="1:8" x14ac:dyDescent="0.2">
      <c r="A24" s="149" t="s">
        <v>92</v>
      </c>
      <c r="B24" s="149"/>
      <c r="C24" s="149"/>
      <c r="D24" s="149"/>
      <c r="E24" s="149"/>
      <c r="F24" s="149"/>
      <c r="G24" s="86">
        <v>-74479.05</v>
      </c>
      <c r="H24" s="98">
        <v>8984.5599999999977</v>
      </c>
    </row>
    <row r="25" spans="1:8" x14ac:dyDescent="0.2">
      <c r="A25" s="104">
        <v>41973</v>
      </c>
      <c r="D25" s="1">
        <v>11345.71</v>
      </c>
      <c r="F25" s="86">
        <v>24</v>
      </c>
      <c r="H25" s="98">
        <v>20354.269999999997</v>
      </c>
    </row>
    <row r="26" spans="1:8" x14ac:dyDescent="0.2">
      <c r="A26" s="104">
        <v>42004</v>
      </c>
      <c r="D26" s="1">
        <v>6484.81</v>
      </c>
      <c r="F26" s="86">
        <v>56.18</v>
      </c>
      <c r="H26" s="98">
        <v>26895.26</v>
      </c>
    </row>
    <row r="27" spans="1:8" x14ac:dyDescent="0.2">
      <c r="A27" s="104">
        <v>42035</v>
      </c>
      <c r="D27" s="1">
        <v>0</v>
      </c>
      <c r="F27" s="86">
        <v>74.239999999999995</v>
      </c>
      <c r="H27" s="98">
        <v>26969.5</v>
      </c>
    </row>
    <row r="28" spans="1:8" x14ac:dyDescent="0.2">
      <c r="A28" s="104">
        <v>42063</v>
      </c>
      <c r="D28" s="1">
        <v>18744.09</v>
      </c>
      <c r="F28" s="86">
        <v>67.239999999999995</v>
      </c>
      <c r="H28" s="98">
        <v>45780.83</v>
      </c>
    </row>
    <row r="29" spans="1:8" x14ac:dyDescent="0.2">
      <c r="A29" s="104">
        <v>42094</v>
      </c>
      <c r="D29" s="1">
        <v>20706.11</v>
      </c>
      <c r="F29" s="86">
        <v>126.37</v>
      </c>
      <c r="H29" s="98">
        <v>66613.31</v>
      </c>
    </row>
    <row r="30" spans="1:8" x14ac:dyDescent="0.2">
      <c r="A30" s="104">
        <v>42124</v>
      </c>
      <c r="D30" s="1">
        <v>6730.61</v>
      </c>
      <c r="F30" s="86">
        <v>177.94</v>
      </c>
      <c r="H30" s="98">
        <v>73521.86</v>
      </c>
    </row>
    <row r="31" spans="1:8" x14ac:dyDescent="0.2">
      <c r="A31" s="104">
        <v>42155</v>
      </c>
      <c r="D31" s="1">
        <v>6090.9</v>
      </c>
      <c r="F31" s="86">
        <v>202.94</v>
      </c>
      <c r="H31" s="98">
        <v>79815.7</v>
      </c>
    </row>
    <row r="32" spans="1:8" x14ac:dyDescent="0.2">
      <c r="A32" s="104">
        <v>42185</v>
      </c>
      <c r="D32" s="1">
        <v>2164.98</v>
      </c>
      <c r="F32" s="86">
        <v>213.21</v>
      </c>
      <c r="H32" s="98">
        <v>82193.89</v>
      </c>
    </row>
    <row r="33" spans="1:8" x14ac:dyDescent="0.2">
      <c r="A33" s="104">
        <v>42216</v>
      </c>
      <c r="D33" s="1">
        <v>4424.8900000000003</v>
      </c>
      <c r="F33" s="86">
        <v>226.88</v>
      </c>
      <c r="H33" s="98">
        <v>86845.66</v>
      </c>
    </row>
    <row r="34" spans="1:8" x14ac:dyDescent="0.2">
      <c r="A34" s="104">
        <v>42247</v>
      </c>
      <c r="D34" s="1">
        <v>0</v>
      </c>
      <c r="F34" s="86">
        <v>239.72</v>
      </c>
      <c r="H34" s="98">
        <v>87085.38</v>
      </c>
    </row>
    <row r="35" spans="1:8" x14ac:dyDescent="0.2">
      <c r="A35" s="104">
        <v>42277</v>
      </c>
      <c r="D35" s="1">
        <v>0</v>
      </c>
      <c r="F35" s="86">
        <v>232.63</v>
      </c>
      <c r="H35" s="98">
        <v>87318.010000000009</v>
      </c>
    </row>
    <row r="36" spans="1:8" x14ac:dyDescent="0.2">
      <c r="A36" s="104">
        <v>42308</v>
      </c>
      <c r="D36" s="1">
        <v>25588.39</v>
      </c>
      <c r="F36" s="86">
        <v>241.02</v>
      </c>
      <c r="H36" s="98">
        <v>113147.42000000001</v>
      </c>
    </row>
    <row r="37" spans="1:8" x14ac:dyDescent="0.2">
      <c r="A37" s="104">
        <v>42338</v>
      </c>
      <c r="B37" s="86"/>
      <c r="C37" s="86"/>
      <c r="D37" s="86">
        <v>0</v>
      </c>
      <c r="E37" s="86"/>
      <c r="F37" s="86">
        <v>302.24</v>
      </c>
      <c r="G37" s="86"/>
      <c r="H37" s="98">
        <v>113449.66000000002</v>
      </c>
    </row>
  </sheetData>
  <mergeCells count="17">
    <mergeCell ref="A6:B6"/>
    <mergeCell ref="C1:H1"/>
    <mergeCell ref="C2:H2"/>
    <mergeCell ref="C3:H3"/>
    <mergeCell ref="C4:H4"/>
    <mergeCell ref="C5:H5"/>
    <mergeCell ref="C6:H6"/>
    <mergeCell ref="A1:B1"/>
    <mergeCell ref="A2:B2"/>
    <mergeCell ref="A3:B3"/>
    <mergeCell ref="A4:B4"/>
    <mergeCell ref="A5:B5"/>
    <mergeCell ref="D9:F9"/>
    <mergeCell ref="A24:F24"/>
    <mergeCell ref="A7:B7"/>
    <mergeCell ref="C7:H7"/>
    <mergeCell ref="A11:G11"/>
  </mergeCells>
  <phoneticPr fontId="0" type="noConversion"/>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38"/>
  <sheetViews>
    <sheetView showGridLines="0" view="pageBreakPreview" zoomScale="98" zoomScaleNormal="60" zoomScaleSheetLayoutView="98" workbookViewId="0">
      <pane xSplit="1" ySplit="10" topLeftCell="B23"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60" t="s">
        <v>13</v>
      </c>
      <c r="B1" s="161"/>
      <c r="C1" s="156" t="s">
        <v>14</v>
      </c>
      <c r="D1" s="156"/>
      <c r="E1" s="156"/>
      <c r="F1" s="156"/>
      <c r="G1" s="156"/>
      <c r="H1" s="157"/>
    </row>
    <row r="2" spans="1:8" x14ac:dyDescent="0.2">
      <c r="A2" s="162" t="s">
        <v>16</v>
      </c>
      <c r="B2" s="140"/>
      <c r="C2" s="163" t="s">
        <v>15</v>
      </c>
      <c r="D2" s="163"/>
      <c r="E2" s="163"/>
      <c r="F2" s="163"/>
      <c r="G2" s="163"/>
      <c r="H2" s="164"/>
    </row>
    <row r="3" spans="1:8" x14ac:dyDescent="0.2">
      <c r="A3" s="162" t="s">
        <v>17</v>
      </c>
      <c r="B3" s="140"/>
      <c r="C3" s="143" t="s">
        <v>31</v>
      </c>
      <c r="D3" s="143"/>
      <c r="E3" s="143"/>
      <c r="F3" s="143"/>
      <c r="G3" s="143"/>
      <c r="H3" s="158"/>
    </row>
    <row r="4" spans="1:8" x14ac:dyDescent="0.2">
      <c r="A4" s="162" t="s">
        <v>18</v>
      </c>
      <c r="B4" s="140"/>
      <c r="C4" s="143" t="s">
        <v>19</v>
      </c>
      <c r="D4" s="143"/>
      <c r="E4" s="143"/>
      <c r="F4" s="143"/>
      <c r="G4" s="143"/>
      <c r="H4" s="158"/>
    </row>
    <row r="5" spans="1:8" x14ac:dyDescent="0.2">
      <c r="A5" s="162" t="s">
        <v>20</v>
      </c>
      <c r="B5" s="140"/>
      <c r="C5" s="143" t="s">
        <v>89</v>
      </c>
      <c r="D5" s="143"/>
      <c r="E5" s="143"/>
      <c r="F5" s="143"/>
      <c r="G5" s="143"/>
      <c r="H5" s="158"/>
    </row>
    <row r="6" spans="1:8" x14ac:dyDescent="0.2">
      <c r="A6" s="162" t="s">
        <v>21</v>
      </c>
      <c r="B6" s="140"/>
      <c r="C6" s="145" t="s">
        <v>70</v>
      </c>
      <c r="D6" s="145"/>
      <c r="E6" s="145"/>
      <c r="F6" s="145"/>
      <c r="G6" s="145"/>
      <c r="H6" s="159"/>
    </row>
    <row r="7" spans="1:8" ht="13.5" thickBot="1" x14ac:dyDescent="0.25">
      <c r="A7" s="165" t="s">
        <v>22</v>
      </c>
      <c r="B7" s="166"/>
      <c r="C7" s="167" t="s">
        <v>49</v>
      </c>
      <c r="D7" s="167"/>
      <c r="E7" s="167"/>
      <c r="F7" s="167"/>
      <c r="G7" s="167"/>
      <c r="H7" s="168"/>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67">
        <v>386395.83</v>
      </c>
    </row>
    <row r="12" spans="1:8" x14ac:dyDescent="0.2">
      <c r="A12" s="72">
        <v>41608</v>
      </c>
      <c r="D12" s="1">
        <v>47894.04</v>
      </c>
      <c r="F12" s="54">
        <v>1032.1500000000001</v>
      </c>
      <c r="H12" s="67">
        <v>435322.02</v>
      </c>
    </row>
    <row r="13" spans="1:8" x14ac:dyDescent="0.2">
      <c r="A13" s="72">
        <v>41639</v>
      </c>
      <c r="D13" s="1">
        <v>166162.6</v>
      </c>
      <c r="F13" s="54">
        <v>1201.6099999999999</v>
      </c>
      <c r="H13" s="67">
        <v>602686.23</v>
      </c>
    </row>
    <row r="14" spans="1:8" x14ac:dyDescent="0.2">
      <c r="A14" s="72">
        <v>41670</v>
      </c>
      <c r="D14" s="1">
        <v>69918.740000000005</v>
      </c>
      <c r="F14" s="54">
        <v>1663.58</v>
      </c>
      <c r="H14" s="67">
        <v>674268.55</v>
      </c>
    </row>
    <row r="15" spans="1:8" x14ac:dyDescent="0.2">
      <c r="A15" s="72">
        <v>41698</v>
      </c>
      <c r="D15" s="1">
        <v>89751.29</v>
      </c>
      <c r="F15" s="54">
        <v>1681.05</v>
      </c>
      <c r="H15" s="67">
        <v>765700.89</v>
      </c>
    </row>
    <row r="16" spans="1:8" x14ac:dyDescent="0.2">
      <c r="A16" s="72">
        <v>41729</v>
      </c>
      <c r="D16" s="1">
        <v>77979.5</v>
      </c>
      <c r="F16" s="54">
        <v>2113.54</v>
      </c>
      <c r="H16" s="67">
        <v>845793.93</v>
      </c>
    </row>
    <row r="17" spans="1:8" x14ac:dyDescent="0.2">
      <c r="A17" s="72">
        <v>41759</v>
      </c>
      <c r="D17" s="1">
        <v>97835.520000000004</v>
      </c>
      <c r="F17" s="54">
        <v>2259.31</v>
      </c>
      <c r="H17" s="67">
        <v>945888.76</v>
      </c>
    </row>
    <row r="18" spans="1:8" x14ac:dyDescent="0.2">
      <c r="A18" s="72">
        <v>41790</v>
      </c>
      <c r="D18" s="1">
        <v>158076.60999999999</v>
      </c>
      <c r="F18" s="54">
        <v>2610.91</v>
      </c>
      <c r="H18" s="67">
        <v>1106576.28</v>
      </c>
    </row>
    <row r="19" spans="1:8" x14ac:dyDescent="0.2">
      <c r="A19" s="72">
        <v>41820</v>
      </c>
      <c r="D19" s="1">
        <v>121684.69</v>
      </c>
      <c r="F19" s="54">
        <v>2955.92</v>
      </c>
      <c r="H19" s="67">
        <v>1231216.8900000001</v>
      </c>
    </row>
    <row r="20" spans="1:8" x14ac:dyDescent="0.2">
      <c r="A20" s="72">
        <v>41851</v>
      </c>
      <c r="D20" s="1">
        <v>-47127.839999999997</v>
      </c>
      <c r="F20" s="54">
        <v>3398.5</v>
      </c>
      <c r="H20" s="67">
        <v>1187487.55</v>
      </c>
    </row>
    <row r="21" spans="1:8" x14ac:dyDescent="0.2">
      <c r="A21" s="72">
        <v>41882</v>
      </c>
      <c r="D21" s="1">
        <v>121270.24</v>
      </c>
      <c r="F21" s="54">
        <v>3277.79</v>
      </c>
      <c r="H21" s="67">
        <v>1312035.58</v>
      </c>
    </row>
    <row r="22" spans="1:8" x14ac:dyDescent="0.2">
      <c r="A22" s="72">
        <v>41912</v>
      </c>
      <c r="D22" s="1">
        <v>31597.98</v>
      </c>
      <c r="F22" s="54">
        <v>3504.75</v>
      </c>
      <c r="H22" s="67">
        <v>1347138.31</v>
      </c>
    </row>
    <row r="23" spans="1:8" x14ac:dyDescent="0.2">
      <c r="A23" s="72">
        <v>41943</v>
      </c>
      <c r="D23" s="1">
        <v>88017.61</v>
      </c>
      <c r="F23" s="54">
        <v>3718.47</v>
      </c>
      <c r="H23" s="67">
        <v>1438874.3900000001</v>
      </c>
    </row>
    <row r="24" spans="1:8" x14ac:dyDescent="0.2">
      <c r="A24" s="149" t="s">
        <v>92</v>
      </c>
      <c r="B24" s="149"/>
      <c r="C24" s="149"/>
      <c r="D24" s="149"/>
      <c r="E24" s="149"/>
      <c r="F24" s="149"/>
      <c r="G24" s="86">
        <v>-1206319.4099999999</v>
      </c>
      <c r="H24" s="98">
        <v>232554.98000000021</v>
      </c>
    </row>
    <row r="25" spans="1:8" x14ac:dyDescent="0.2">
      <c r="A25" s="104">
        <v>41973</v>
      </c>
      <c r="D25" s="1">
        <v>65573.350000000006</v>
      </c>
      <c r="F25" s="86">
        <v>621.21</v>
      </c>
      <c r="H25" s="98">
        <v>298749.54000000021</v>
      </c>
    </row>
    <row r="26" spans="1:8" x14ac:dyDescent="0.2">
      <c r="A26" s="104">
        <v>42004</v>
      </c>
      <c r="D26" s="1">
        <v>99335.85</v>
      </c>
      <c r="F26" s="86">
        <v>824.63</v>
      </c>
      <c r="H26" s="98">
        <v>398910.02000000025</v>
      </c>
    </row>
    <row r="27" spans="1:8" x14ac:dyDescent="0.2">
      <c r="A27" s="104">
        <v>42035</v>
      </c>
      <c r="D27" s="1">
        <v>143728.71</v>
      </c>
      <c r="F27" s="86">
        <v>1101.0999999999999</v>
      </c>
      <c r="H27" s="98">
        <v>543739.83000000031</v>
      </c>
    </row>
    <row r="28" spans="1:8" x14ac:dyDescent="0.2">
      <c r="A28" s="104">
        <v>42063</v>
      </c>
      <c r="D28" s="1">
        <v>76093.56</v>
      </c>
      <c r="F28" s="86">
        <v>1355.63</v>
      </c>
      <c r="H28" s="98">
        <v>621189.02000000025</v>
      </c>
    </row>
    <row r="29" spans="1:8" x14ac:dyDescent="0.2">
      <c r="A29" s="104">
        <v>42094</v>
      </c>
      <c r="D29" s="1">
        <v>135794.16</v>
      </c>
      <c r="F29" s="86">
        <v>1714.65</v>
      </c>
      <c r="H29" s="98">
        <v>758697.83000000031</v>
      </c>
    </row>
    <row r="30" spans="1:8" x14ac:dyDescent="0.2">
      <c r="A30" s="104">
        <v>42124</v>
      </c>
      <c r="D30" s="1">
        <v>39911.660000000003</v>
      </c>
      <c r="F30" s="86">
        <v>2026.66</v>
      </c>
      <c r="H30" s="98">
        <v>800636.15000000037</v>
      </c>
    </row>
    <row r="31" spans="1:8" x14ac:dyDescent="0.2">
      <c r="A31" s="104">
        <v>42155</v>
      </c>
      <c r="D31" s="1">
        <v>72461.679999999993</v>
      </c>
      <c r="F31" s="86">
        <v>2209.98</v>
      </c>
      <c r="H31" s="98">
        <v>875307.81000000041</v>
      </c>
    </row>
    <row r="32" spans="1:8" x14ac:dyDescent="0.2">
      <c r="A32" s="104">
        <v>42185</v>
      </c>
      <c r="D32" s="1">
        <v>88146.33</v>
      </c>
      <c r="F32" s="86">
        <v>2338.15</v>
      </c>
      <c r="H32" s="98">
        <v>965792.29000000039</v>
      </c>
    </row>
    <row r="33" spans="1:8" x14ac:dyDescent="0.2">
      <c r="A33" s="104">
        <v>42216</v>
      </c>
      <c r="D33" s="1">
        <v>126477.72</v>
      </c>
      <c r="F33" s="86">
        <v>2665.85</v>
      </c>
      <c r="H33" s="98">
        <v>1094935.8600000003</v>
      </c>
    </row>
    <row r="34" spans="1:8" x14ac:dyDescent="0.2">
      <c r="A34" s="104">
        <v>42247</v>
      </c>
      <c r="D34" s="1">
        <v>108373.09</v>
      </c>
      <c r="F34" s="86">
        <v>3022.32</v>
      </c>
      <c r="H34" s="98">
        <v>1206331.2700000003</v>
      </c>
    </row>
    <row r="35" spans="1:8" x14ac:dyDescent="0.2">
      <c r="A35" s="104">
        <v>42277</v>
      </c>
      <c r="D35" s="1">
        <v>69945.34</v>
      </c>
      <c r="F35" s="86">
        <v>3222.39</v>
      </c>
      <c r="H35" s="98">
        <v>1279499.0000000002</v>
      </c>
    </row>
    <row r="36" spans="1:8" x14ac:dyDescent="0.2">
      <c r="A36" s="104">
        <v>42308</v>
      </c>
      <c r="D36" s="1">
        <v>254190.89</v>
      </c>
      <c r="F36" s="86">
        <v>3531.77</v>
      </c>
      <c r="H36" s="98">
        <v>1537221.6600000001</v>
      </c>
    </row>
    <row r="37" spans="1:8" x14ac:dyDescent="0.2">
      <c r="A37" s="104">
        <v>42338</v>
      </c>
      <c r="B37" s="86"/>
      <c r="C37" s="86"/>
      <c r="D37" s="86">
        <v>82841.539999999994</v>
      </c>
      <c r="E37" s="86"/>
      <c r="F37" s="86">
        <v>4106.28</v>
      </c>
      <c r="G37" s="86"/>
      <c r="H37" s="98">
        <v>1624169.4800000002</v>
      </c>
    </row>
    <row r="38" spans="1:8" x14ac:dyDescent="0.2">
      <c r="A38" s="104"/>
      <c r="B38" s="86"/>
      <c r="C38" s="86"/>
      <c r="D38" s="86"/>
      <c r="E38" s="86"/>
      <c r="F38" s="86"/>
      <c r="G38" s="86"/>
      <c r="H38" s="98"/>
    </row>
  </sheetData>
  <mergeCells count="17">
    <mergeCell ref="A24:F24"/>
    <mergeCell ref="A7:B7"/>
    <mergeCell ref="D9:F9"/>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rintOptions gridLinesSet="0"/>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106" zoomScaleNormal="75" zoomScaleSheetLayoutView="106" workbookViewId="0">
      <pane xSplit="1" ySplit="10" topLeftCell="B23"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60" t="s">
        <v>13</v>
      </c>
      <c r="B1" s="161"/>
      <c r="C1" s="169" t="s">
        <v>14</v>
      </c>
      <c r="D1" s="169"/>
      <c r="E1" s="169"/>
      <c r="F1" s="169"/>
      <c r="G1" s="169"/>
      <c r="H1" s="170"/>
    </row>
    <row r="2" spans="1:8" x14ac:dyDescent="0.2">
      <c r="A2" s="162" t="s">
        <v>16</v>
      </c>
      <c r="B2" s="140"/>
      <c r="C2" s="163" t="s">
        <v>26</v>
      </c>
      <c r="D2" s="163"/>
      <c r="E2" s="163"/>
      <c r="F2" s="163"/>
      <c r="G2" s="163"/>
      <c r="H2" s="164"/>
    </row>
    <row r="3" spans="1:8" x14ac:dyDescent="0.2">
      <c r="A3" s="162" t="s">
        <v>17</v>
      </c>
      <c r="B3" s="140"/>
      <c r="C3" s="143" t="s">
        <v>32</v>
      </c>
      <c r="D3" s="143"/>
      <c r="E3" s="143"/>
      <c r="F3" s="143"/>
      <c r="G3" s="143"/>
      <c r="H3" s="158"/>
    </row>
    <row r="4" spans="1:8" s="7" customFormat="1" x14ac:dyDescent="0.2">
      <c r="A4" s="162" t="s">
        <v>18</v>
      </c>
      <c r="B4" s="140"/>
      <c r="C4" s="145" t="s">
        <v>19</v>
      </c>
      <c r="D4" s="145"/>
      <c r="E4" s="145"/>
      <c r="F4" s="145"/>
      <c r="G4" s="145"/>
      <c r="H4" s="159"/>
    </row>
    <row r="5" spans="1:8" x14ac:dyDescent="0.2">
      <c r="A5" s="162" t="s">
        <v>20</v>
      </c>
      <c r="B5" s="140"/>
      <c r="C5" s="143" t="s">
        <v>89</v>
      </c>
      <c r="D5" s="143"/>
      <c r="E5" s="143"/>
      <c r="F5" s="143"/>
      <c r="G5" s="143"/>
      <c r="H5" s="158"/>
    </row>
    <row r="6" spans="1:8" x14ac:dyDescent="0.2">
      <c r="A6" s="162" t="s">
        <v>21</v>
      </c>
      <c r="B6" s="140"/>
      <c r="C6" s="145" t="s">
        <v>70</v>
      </c>
      <c r="D6" s="145"/>
      <c r="E6" s="145"/>
      <c r="F6" s="145"/>
      <c r="G6" s="145"/>
      <c r="H6" s="159"/>
    </row>
    <row r="7" spans="1:8" ht="13.5" thickBot="1" x14ac:dyDescent="0.25">
      <c r="A7" s="173" t="s">
        <v>22</v>
      </c>
      <c r="B7" s="174"/>
      <c r="C7" s="175" t="s">
        <v>50</v>
      </c>
      <c r="D7" s="175"/>
      <c r="E7" s="175"/>
      <c r="F7" s="175"/>
      <c r="G7" s="175"/>
      <c r="H7" s="176"/>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67">
        <v>123401.78</v>
      </c>
    </row>
    <row r="12" spans="1:8" x14ac:dyDescent="0.2">
      <c r="A12" s="72">
        <v>41608</v>
      </c>
      <c r="D12" s="1">
        <v>92494.35</v>
      </c>
      <c r="F12" s="54">
        <v>329.63</v>
      </c>
      <c r="H12" s="67">
        <v>216225.76</v>
      </c>
    </row>
    <row r="13" spans="1:8" x14ac:dyDescent="0.2">
      <c r="A13" s="72">
        <v>41639</v>
      </c>
      <c r="D13" s="1">
        <v>71457.95</v>
      </c>
      <c r="F13" s="54">
        <v>596.84</v>
      </c>
      <c r="H13" s="67">
        <v>288280.55</v>
      </c>
    </row>
    <row r="14" spans="1:8" x14ac:dyDescent="0.2">
      <c r="A14" s="72">
        <v>41670</v>
      </c>
      <c r="D14" s="1">
        <v>24631.1</v>
      </c>
      <c r="F14" s="54">
        <v>795.73</v>
      </c>
      <c r="H14" s="67">
        <v>313707.38</v>
      </c>
    </row>
    <row r="15" spans="1:8" x14ac:dyDescent="0.2">
      <c r="A15" s="72">
        <v>41698</v>
      </c>
      <c r="D15" s="1">
        <v>55016.75</v>
      </c>
      <c r="F15" s="54">
        <v>782.12</v>
      </c>
      <c r="H15" s="67">
        <v>369506.25</v>
      </c>
    </row>
    <row r="16" spans="1:8" x14ac:dyDescent="0.2">
      <c r="A16" s="72">
        <v>41729</v>
      </c>
      <c r="D16" s="1">
        <v>94951.93</v>
      </c>
      <c r="F16" s="54">
        <v>1019.94</v>
      </c>
      <c r="H16" s="67">
        <v>465478.12</v>
      </c>
    </row>
    <row r="17" spans="1:8" x14ac:dyDescent="0.2">
      <c r="A17" s="72">
        <v>41759</v>
      </c>
      <c r="D17" s="1">
        <v>49856.55</v>
      </c>
      <c r="F17" s="54">
        <v>1243.4000000000001</v>
      </c>
      <c r="H17" s="67">
        <v>516578.07</v>
      </c>
    </row>
    <row r="18" spans="1:8" x14ac:dyDescent="0.2">
      <c r="A18" s="72">
        <v>41790</v>
      </c>
      <c r="D18" s="1">
        <v>48539.6</v>
      </c>
      <c r="F18" s="54">
        <v>1425.9</v>
      </c>
      <c r="H18" s="67">
        <v>566543.57000000007</v>
      </c>
    </row>
    <row r="19" spans="1:8" x14ac:dyDescent="0.2">
      <c r="A19" s="72">
        <v>41820</v>
      </c>
      <c r="D19" s="1">
        <v>24694.05</v>
      </c>
      <c r="F19" s="54">
        <v>1513.37</v>
      </c>
      <c r="H19" s="67">
        <v>592750.99000000011</v>
      </c>
    </row>
    <row r="20" spans="1:8" x14ac:dyDescent="0.2">
      <c r="A20" s="72">
        <v>41851</v>
      </c>
      <c r="D20" s="1">
        <v>13413.5</v>
      </c>
      <c r="F20" s="54">
        <v>1636.16</v>
      </c>
      <c r="H20" s="67">
        <v>607800.65000000014</v>
      </c>
    </row>
    <row r="21" spans="1:8" x14ac:dyDescent="0.2">
      <c r="A21" s="72">
        <v>41882</v>
      </c>
      <c r="D21" s="1">
        <v>27540.36</v>
      </c>
      <c r="F21" s="54">
        <v>1677.7</v>
      </c>
      <c r="H21" s="67">
        <v>637018.7100000002</v>
      </c>
    </row>
    <row r="22" spans="1:8" x14ac:dyDescent="0.2">
      <c r="A22" s="72">
        <v>41912</v>
      </c>
      <c r="D22" s="1">
        <v>66107.7</v>
      </c>
      <c r="F22" s="54">
        <v>1701.63</v>
      </c>
      <c r="H22" s="67">
        <v>704828.04000000015</v>
      </c>
    </row>
    <row r="23" spans="1:8" x14ac:dyDescent="0.2">
      <c r="A23" s="72">
        <v>41943</v>
      </c>
      <c r="D23" s="1">
        <v>20456.349999999999</v>
      </c>
      <c r="F23" s="54">
        <v>1945.52</v>
      </c>
      <c r="H23" s="67">
        <v>727229.91000000015</v>
      </c>
    </row>
    <row r="24" spans="1:8" x14ac:dyDescent="0.2">
      <c r="A24" s="149" t="s">
        <v>92</v>
      </c>
      <c r="B24" s="149"/>
      <c r="C24" s="149"/>
      <c r="D24" s="149"/>
      <c r="E24" s="149"/>
      <c r="F24" s="149"/>
      <c r="G24" s="86">
        <v>-612793.23</v>
      </c>
      <c r="H24" s="98">
        <v>114436.68000000017</v>
      </c>
    </row>
    <row r="25" spans="1:8" x14ac:dyDescent="0.2">
      <c r="A25" s="104">
        <v>41973</v>
      </c>
      <c r="D25" s="1">
        <v>21830.57</v>
      </c>
      <c r="F25" s="86">
        <v>305.69</v>
      </c>
      <c r="H25" s="98">
        <v>136572.94000000018</v>
      </c>
    </row>
    <row r="26" spans="1:8" x14ac:dyDescent="0.2">
      <c r="A26" s="104">
        <v>42004</v>
      </c>
      <c r="D26" s="1">
        <v>18309.650000000001</v>
      </c>
      <c r="F26" s="86">
        <v>376.98</v>
      </c>
      <c r="H26" s="98">
        <v>155259.57000000018</v>
      </c>
    </row>
    <row r="27" spans="1:8" x14ac:dyDescent="0.2">
      <c r="A27" s="104">
        <v>42035</v>
      </c>
      <c r="D27" s="1">
        <v>78034.990000000005</v>
      </c>
      <c r="F27" s="86">
        <v>428.56</v>
      </c>
      <c r="H27" s="98">
        <v>233723.12000000017</v>
      </c>
    </row>
    <row r="28" spans="1:8" x14ac:dyDescent="0.2">
      <c r="A28" s="104">
        <v>42063</v>
      </c>
      <c r="D28" s="1">
        <v>37942</v>
      </c>
      <c r="F28" s="86">
        <v>582.71</v>
      </c>
      <c r="H28" s="98">
        <v>272247.83000000019</v>
      </c>
    </row>
    <row r="29" spans="1:8" x14ac:dyDescent="0.2">
      <c r="A29" s="104">
        <v>42094</v>
      </c>
      <c r="D29" s="1">
        <v>72240.350000000006</v>
      </c>
      <c r="F29" s="86">
        <v>751.48</v>
      </c>
      <c r="H29" s="98">
        <v>345239.66000000021</v>
      </c>
    </row>
    <row r="30" spans="1:8" x14ac:dyDescent="0.2">
      <c r="A30" s="104">
        <v>42124</v>
      </c>
      <c r="D30" s="1">
        <v>44553.95</v>
      </c>
      <c r="F30" s="86">
        <v>922.22</v>
      </c>
      <c r="H30" s="98">
        <v>390715.83000000019</v>
      </c>
    </row>
    <row r="31" spans="1:8" x14ac:dyDescent="0.2">
      <c r="A31" s="104">
        <v>42155</v>
      </c>
      <c r="D31" s="1">
        <v>26451.119999999999</v>
      </c>
      <c r="F31" s="86">
        <v>1078.48</v>
      </c>
      <c r="H31" s="98">
        <v>418245.43000000017</v>
      </c>
    </row>
    <row r="32" spans="1:8" x14ac:dyDescent="0.2">
      <c r="A32" s="104">
        <v>42185</v>
      </c>
      <c r="D32" s="1">
        <v>29239.200000000001</v>
      </c>
      <c r="F32" s="86">
        <v>1117.23</v>
      </c>
      <c r="H32" s="98">
        <v>448601.86000000016</v>
      </c>
    </row>
    <row r="33" spans="1:8" x14ac:dyDescent="0.2">
      <c r="A33" s="104">
        <v>42216</v>
      </c>
      <c r="D33" s="1">
        <v>56499.4</v>
      </c>
      <c r="F33" s="86">
        <v>1238.26</v>
      </c>
      <c r="H33" s="98">
        <v>506339.52000000014</v>
      </c>
    </row>
    <row r="34" spans="1:8" x14ac:dyDescent="0.2">
      <c r="A34" s="104">
        <v>42247</v>
      </c>
      <c r="D34" s="1">
        <v>45176.800000000003</v>
      </c>
      <c r="F34" s="86">
        <v>1397.64</v>
      </c>
      <c r="H34" s="98">
        <v>552913.9600000002</v>
      </c>
    </row>
    <row r="35" spans="1:8" x14ac:dyDescent="0.2">
      <c r="A35" s="104">
        <v>42277</v>
      </c>
      <c r="D35" s="1">
        <v>18010.5</v>
      </c>
      <c r="F35" s="86">
        <v>1476.96</v>
      </c>
      <c r="H35" s="98">
        <v>572401.42000000016</v>
      </c>
    </row>
    <row r="36" spans="1:8" x14ac:dyDescent="0.2">
      <c r="A36" s="104">
        <v>42308</v>
      </c>
      <c r="D36" s="1">
        <v>44723.15</v>
      </c>
      <c r="F36" s="86">
        <v>1579.98</v>
      </c>
      <c r="H36" s="98">
        <v>618704.55000000016</v>
      </c>
    </row>
    <row r="37" spans="1:8" x14ac:dyDescent="0.2">
      <c r="A37" s="104">
        <v>42338</v>
      </c>
      <c r="B37" s="86"/>
      <c r="C37" s="86"/>
      <c r="D37" s="86">
        <v>14074.8</v>
      </c>
      <c r="E37" s="86"/>
      <c r="F37" s="86">
        <v>1652.7</v>
      </c>
      <c r="G37" s="86"/>
      <c r="H37" s="98">
        <v>634432.05000000016</v>
      </c>
    </row>
  </sheetData>
  <mergeCells count="17">
    <mergeCell ref="A6:B6"/>
    <mergeCell ref="C1:H1"/>
    <mergeCell ref="C2:H2"/>
    <mergeCell ref="C3:H3"/>
    <mergeCell ref="C4:H4"/>
    <mergeCell ref="C5:H5"/>
    <mergeCell ref="C6:H6"/>
    <mergeCell ref="A1:B1"/>
    <mergeCell ref="A2:B2"/>
    <mergeCell ref="A3:B3"/>
    <mergeCell ref="A4:B4"/>
    <mergeCell ref="A5:B5"/>
    <mergeCell ref="D9:F9"/>
    <mergeCell ref="A24:F24"/>
    <mergeCell ref="A7:B7"/>
    <mergeCell ref="C7:H7"/>
    <mergeCell ref="A11:G11"/>
  </mergeCells>
  <phoneticPr fontId="0" type="noConversion"/>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view="pageBreakPreview" zoomScaleNormal="100" zoomScaleSheetLayoutView="100" workbookViewId="0">
      <pane xSplit="2" ySplit="10" topLeftCell="C23"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60" t="s">
        <v>13</v>
      </c>
      <c r="B1" s="161"/>
      <c r="C1" s="194" t="s">
        <v>14</v>
      </c>
      <c r="D1" s="194"/>
      <c r="E1" s="194"/>
      <c r="F1" s="194"/>
      <c r="G1" s="194"/>
      <c r="H1" s="195"/>
    </row>
    <row r="2" spans="1:8" x14ac:dyDescent="0.2">
      <c r="A2" s="162" t="s">
        <v>16</v>
      </c>
      <c r="B2" s="140"/>
      <c r="C2" s="179" t="s">
        <v>71</v>
      </c>
      <c r="D2" s="179"/>
      <c r="E2" s="179"/>
      <c r="F2" s="179"/>
      <c r="G2" s="179"/>
      <c r="H2" s="180"/>
    </row>
    <row r="3" spans="1:8" x14ac:dyDescent="0.2">
      <c r="A3" s="162" t="s">
        <v>17</v>
      </c>
      <c r="B3" s="140"/>
      <c r="C3" s="179" t="s">
        <v>35</v>
      </c>
      <c r="D3" s="179"/>
      <c r="E3" s="179"/>
      <c r="F3" s="179"/>
      <c r="G3" s="179"/>
      <c r="H3" s="180"/>
    </row>
    <row r="4" spans="1:8" x14ac:dyDescent="0.2">
      <c r="A4" s="162" t="s">
        <v>18</v>
      </c>
      <c r="B4" s="140"/>
      <c r="C4" s="181" t="s">
        <v>25</v>
      </c>
      <c r="D4" s="181"/>
      <c r="E4" s="181"/>
      <c r="F4" s="181"/>
      <c r="G4" s="181"/>
      <c r="H4" s="182"/>
    </row>
    <row r="5" spans="1:8" x14ac:dyDescent="0.2">
      <c r="A5" s="162" t="s">
        <v>20</v>
      </c>
      <c r="B5" s="140"/>
      <c r="C5" s="181" t="s">
        <v>33</v>
      </c>
      <c r="D5" s="181"/>
      <c r="E5" s="181"/>
      <c r="F5" s="181"/>
      <c r="G5" s="181"/>
      <c r="H5" s="182"/>
    </row>
    <row r="6" spans="1:8" x14ac:dyDescent="0.2">
      <c r="A6" s="162" t="s">
        <v>21</v>
      </c>
      <c r="B6" s="140"/>
      <c r="C6" s="181" t="s">
        <v>88</v>
      </c>
      <c r="D6" s="181"/>
      <c r="E6" s="181"/>
      <c r="F6" s="181"/>
      <c r="G6" s="181"/>
      <c r="H6" s="182"/>
    </row>
    <row r="7" spans="1:8" ht="13.5" thickBot="1" x14ac:dyDescent="0.25">
      <c r="A7" s="165" t="s">
        <v>22</v>
      </c>
      <c r="B7" s="166"/>
      <c r="C7" s="184" t="s">
        <v>68</v>
      </c>
      <c r="D7" s="184"/>
      <c r="E7" s="184"/>
      <c r="F7" s="184"/>
      <c r="G7" s="184"/>
      <c r="H7" s="185"/>
    </row>
    <row r="8" spans="1:8" x14ac:dyDescent="0.2">
      <c r="A8" s="2"/>
      <c r="B8" s="2"/>
      <c r="C8" s="3"/>
      <c r="D8" s="3"/>
      <c r="E8" s="3"/>
      <c r="F8" s="3"/>
      <c r="G8" s="3"/>
      <c r="H8" s="3"/>
    </row>
    <row r="9" spans="1:8" x14ac:dyDescent="0.2">
      <c r="A9" s="4"/>
      <c r="D9" s="150" t="s">
        <v>39</v>
      </c>
      <c r="E9" s="150"/>
      <c r="F9" s="150"/>
    </row>
    <row r="10" spans="1:8" s="5" customFormat="1" x14ac:dyDescent="0.2">
      <c r="A10" s="6" t="s">
        <v>40</v>
      </c>
      <c r="B10" s="6" t="s">
        <v>4</v>
      </c>
      <c r="C10" s="6" t="s">
        <v>12</v>
      </c>
      <c r="D10" s="6" t="s">
        <v>23</v>
      </c>
      <c r="E10" s="6" t="s">
        <v>24</v>
      </c>
      <c r="F10" s="6" t="s">
        <v>2</v>
      </c>
      <c r="G10" s="6" t="s">
        <v>0</v>
      </c>
      <c r="H10" s="6" t="s">
        <v>1</v>
      </c>
    </row>
    <row r="11" spans="1:8" x14ac:dyDescent="0.2">
      <c r="A11" s="155" t="s">
        <v>86</v>
      </c>
      <c r="B11" s="155"/>
      <c r="C11" s="155"/>
      <c r="D11" s="155"/>
      <c r="E11" s="155"/>
      <c r="F11" s="155"/>
      <c r="G11" s="155"/>
      <c r="H11" s="55">
        <v>-107004.07</v>
      </c>
    </row>
    <row r="12" spans="1:8" x14ac:dyDescent="0.2">
      <c r="A12" s="72">
        <v>41608</v>
      </c>
      <c r="B12" s="71" t="s">
        <v>34</v>
      </c>
      <c r="C12" s="61">
        <v>49623897</v>
      </c>
      <c r="E12" s="73">
        <v>495.29842000000002</v>
      </c>
      <c r="F12" s="60">
        <v>-285.83</v>
      </c>
      <c r="H12" s="55">
        <v>-106794.60158</v>
      </c>
    </row>
    <row r="13" spans="1:8" x14ac:dyDescent="0.2">
      <c r="A13" s="72">
        <v>41639</v>
      </c>
      <c r="B13" s="69">
        <v>1.0000000000000001E-5</v>
      </c>
      <c r="C13" s="61">
        <v>60581077</v>
      </c>
      <c r="E13" s="55">
        <v>605.80999999999995</v>
      </c>
      <c r="F13" s="60">
        <v>-294.77999999999997</v>
      </c>
      <c r="H13" s="55">
        <v>-106483.57158</v>
      </c>
    </row>
    <row r="14" spans="1:8" x14ac:dyDescent="0.2">
      <c r="A14" s="72">
        <v>41670</v>
      </c>
      <c r="B14" s="69">
        <v>1.0000000000000001E-5</v>
      </c>
      <c r="C14" s="61">
        <v>57326161</v>
      </c>
      <c r="E14" s="55">
        <v>573.26</v>
      </c>
      <c r="F14" s="60">
        <v>-293.92</v>
      </c>
      <c r="H14" s="55">
        <v>-106204.23158000001</v>
      </c>
    </row>
    <row r="15" spans="1:8" x14ac:dyDescent="0.2">
      <c r="A15" s="72">
        <v>41698</v>
      </c>
      <c r="B15" s="69">
        <v>1.0000000000000001E-5</v>
      </c>
      <c r="C15" s="61">
        <v>47048399</v>
      </c>
      <c r="E15" s="55">
        <v>470.48</v>
      </c>
      <c r="F15" s="60">
        <v>-264.77999999999997</v>
      </c>
      <c r="H15" s="55">
        <v>-105998.53158000001</v>
      </c>
    </row>
    <row r="16" spans="1:8" x14ac:dyDescent="0.2">
      <c r="A16" s="72">
        <v>41729</v>
      </c>
      <c r="B16" s="69">
        <v>1.0000000000000001E-5</v>
      </c>
      <c r="C16" s="61">
        <v>31459098</v>
      </c>
      <c r="E16" s="55">
        <v>314.58999999999997</v>
      </c>
      <c r="F16" s="60">
        <v>-292.58</v>
      </c>
      <c r="H16" s="55">
        <v>-105976.52158000002</v>
      </c>
    </row>
    <row r="17" spans="1:8" x14ac:dyDescent="0.2">
      <c r="A17" s="72">
        <v>41759</v>
      </c>
      <c r="B17" s="69">
        <v>1.0000000000000001E-5</v>
      </c>
      <c r="C17" s="61">
        <v>28943531</v>
      </c>
      <c r="E17" s="55">
        <v>289.44</v>
      </c>
      <c r="F17" s="60">
        <v>-283.08999999999997</v>
      </c>
      <c r="H17" s="55">
        <v>-105970.17158000001</v>
      </c>
    </row>
    <row r="18" spans="1:8" x14ac:dyDescent="0.2">
      <c r="A18" s="72">
        <v>41790</v>
      </c>
      <c r="B18" s="69">
        <v>1.0000000000000001E-5</v>
      </c>
      <c r="C18" s="61">
        <v>31179964</v>
      </c>
      <c r="E18" s="55">
        <v>311.8</v>
      </c>
      <c r="F18" s="60">
        <v>-292.51</v>
      </c>
      <c r="H18" s="55">
        <v>-105950.88158000002</v>
      </c>
    </row>
    <row r="19" spans="1:8" x14ac:dyDescent="0.2">
      <c r="A19" s="72">
        <v>41820</v>
      </c>
      <c r="B19" s="69">
        <v>1.0000000000000001E-5</v>
      </c>
      <c r="C19" s="61">
        <v>29742903</v>
      </c>
      <c r="E19" s="55">
        <v>297.43</v>
      </c>
      <c r="F19" s="60">
        <v>-283.02</v>
      </c>
      <c r="H19" s="55">
        <v>-105936.47158000001</v>
      </c>
    </row>
    <row r="20" spans="1:8" x14ac:dyDescent="0.2">
      <c r="A20" s="72">
        <v>41851</v>
      </c>
      <c r="B20" s="69">
        <v>1.0000000000000001E-5</v>
      </c>
      <c r="C20" s="61">
        <v>45068388</v>
      </c>
      <c r="E20" s="55">
        <v>450.68</v>
      </c>
      <c r="F20" s="60">
        <v>-292.41000000000003</v>
      </c>
      <c r="H20" s="55">
        <v>-105778.20158000001</v>
      </c>
    </row>
    <row r="21" spans="1:8" x14ac:dyDescent="0.2">
      <c r="A21" s="72">
        <v>41882</v>
      </c>
      <c r="B21" s="69">
        <v>1.0000000000000001E-5</v>
      </c>
      <c r="C21" s="61">
        <v>58240050</v>
      </c>
      <c r="E21" s="55">
        <v>582.4</v>
      </c>
      <c r="F21" s="60">
        <v>-291.98</v>
      </c>
      <c r="H21" s="55">
        <v>-105487.78158000001</v>
      </c>
    </row>
    <row r="22" spans="1:8" x14ac:dyDescent="0.2">
      <c r="A22" s="72">
        <v>41912</v>
      </c>
      <c r="B22" s="69">
        <v>1.0000000000000001E-5</v>
      </c>
      <c r="C22" s="61">
        <v>57050907</v>
      </c>
      <c r="E22" s="55">
        <v>570.51</v>
      </c>
      <c r="F22" s="60">
        <v>-281.77999999999997</v>
      </c>
      <c r="H22" s="55">
        <v>-105199.05158000001</v>
      </c>
    </row>
    <row r="23" spans="1:8" x14ac:dyDescent="0.2">
      <c r="A23" s="72">
        <v>41943</v>
      </c>
      <c r="B23" s="69">
        <v>1.0000000000000001E-5</v>
      </c>
      <c r="C23" s="61">
        <v>53240234</v>
      </c>
      <c r="E23" s="55">
        <v>532.4</v>
      </c>
      <c r="F23" s="60">
        <v>-290.38</v>
      </c>
      <c r="H23" s="55">
        <v>-104957.03158000001</v>
      </c>
    </row>
    <row r="24" spans="1:8" x14ac:dyDescent="0.2">
      <c r="A24" s="183" t="s">
        <v>87</v>
      </c>
      <c r="B24" s="183"/>
      <c r="C24" s="183"/>
      <c r="D24" s="183"/>
      <c r="E24" s="183"/>
      <c r="F24" s="183"/>
      <c r="G24" s="1">
        <v>2195.33</v>
      </c>
      <c r="H24" s="55">
        <v>-102761.70158000001</v>
      </c>
    </row>
    <row r="25" spans="1:8" x14ac:dyDescent="0.2">
      <c r="A25" s="104">
        <v>41973</v>
      </c>
      <c r="B25" s="71" t="s">
        <v>34</v>
      </c>
      <c r="C25" s="95">
        <v>45272865</v>
      </c>
      <c r="D25" s="86"/>
      <c r="E25" s="73">
        <v>8602.0544100000006</v>
      </c>
      <c r="F25" s="93">
        <v>-274.5</v>
      </c>
      <c r="H25" s="55">
        <v>-94434.147170000011</v>
      </c>
    </row>
    <row r="26" spans="1:8" x14ac:dyDescent="0.2">
      <c r="A26" s="104">
        <v>42004</v>
      </c>
      <c r="B26" s="100">
        <v>1.9000000000000001E-4</v>
      </c>
      <c r="C26" s="95">
        <v>44477359</v>
      </c>
      <c r="D26" s="86"/>
      <c r="E26" s="91">
        <v>8450.7000000000007</v>
      </c>
      <c r="F26" s="93">
        <v>-260.66000000000003</v>
      </c>
      <c r="H26" s="55">
        <v>-86244.107170000003</v>
      </c>
    </row>
    <row r="27" spans="1:8" x14ac:dyDescent="0.2">
      <c r="A27" s="104">
        <v>42035</v>
      </c>
      <c r="B27" s="100">
        <v>1.9000000000000001E-4</v>
      </c>
      <c r="C27" s="95">
        <v>43008045</v>
      </c>
      <c r="D27" s="86"/>
      <c r="E27" s="91">
        <v>8171.53</v>
      </c>
      <c r="F27" s="93">
        <v>-238.06</v>
      </c>
      <c r="H27" s="55">
        <v>-78310.637170000002</v>
      </c>
    </row>
    <row r="28" spans="1:8" x14ac:dyDescent="0.2">
      <c r="A28" s="104">
        <v>42063</v>
      </c>
      <c r="B28" s="100">
        <v>1.9000000000000001E-4</v>
      </c>
      <c r="C28" s="95">
        <v>33127030</v>
      </c>
      <c r="D28" s="86"/>
      <c r="E28" s="91">
        <v>6294.14</v>
      </c>
      <c r="F28" s="93">
        <v>-195.24</v>
      </c>
      <c r="H28" s="55">
        <v>-72211.737170000008</v>
      </c>
    </row>
    <row r="29" spans="1:8" x14ac:dyDescent="0.2">
      <c r="A29" s="104">
        <v>42094</v>
      </c>
      <c r="B29" s="100">
        <v>1.9000000000000001E-4</v>
      </c>
      <c r="C29" s="95">
        <v>42929967</v>
      </c>
      <c r="D29" s="86"/>
      <c r="E29" s="91">
        <v>8156.69</v>
      </c>
      <c r="F29" s="93">
        <v>-199.32</v>
      </c>
      <c r="H29" s="55">
        <v>-64254.367170000005</v>
      </c>
    </row>
    <row r="30" spans="1:8" x14ac:dyDescent="0.2">
      <c r="A30" s="104">
        <v>42124</v>
      </c>
      <c r="B30" s="100">
        <v>1.9000000000000001E-4</v>
      </c>
      <c r="C30" s="95">
        <v>39171768</v>
      </c>
      <c r="D30" s="86"/>
      <c r="E30" s="91">
        <v>7442.64</v>
      </c>
      <c r="F30" s="93">
        <v>-171.64</v>
      </c>
      <c r="H30" s="55">
        <v>-56983.367170000005</v>
      </c>
    </row>
    <row r="31" spans="1:8" x14ac:dyDescent="0.2">
      <c r="A31" s="104">
        <v>42155</v>
      </c>
      <c r="B31" s="100">
        <v>1.9000000000000001E-4</v>
      </c>
      <c r="C31" s="95">
        <v>44923157</v>
      </c>
      <c r="D31" s="86"/>
      <c r="E31" s="91">
        <v>8535.4</v>
      </c>
      <c r="F31" s="93">
        <v>-157.29</v>
      </c>
      <c r="H31" s="55">
        <v>-48605.257170000004</v>
      </c>
    </row>
    <row r="32" spans="1:8" x14ac:dyDescent="0.2">
      <c r="A32" s="104">
        <v>42185</v>
      </c>
      <c r="B32" s="100">
        <v>1.9000000000000001E-4</v>
      </c>
      <c r="C32" s="95">
        <v>41289749</v>
      </c>
      <c r="D32" s="86"/>
      <c r="E32" s="91">
        <v>7845.05</v>
      </c>
      <c r="F32" s="93">
        <v>-129.84</v>
      </c>
      <c r="H32" s="55">
        <v>-40890.047170000005</v>
      </c>
    </row>
    <row r="33" spans="1:8" x14ac:dyDescent="0.2">
      <c r="A33" s="104">
        <v>42216</v>
      </c>
      <c r="B33" s="100">
        <v>1.9000000000000001E-4</v>
      </c>
      <c r="C33" s="95">
        <v>50011541</v>
      </c>
      <c r="D33" s="86"/>
      <c r="E33" s="91">
        <v>9502.19</v>
      </c>
      <c r="F33" s="93">
        <v>-112.87</v>
      </c>
      <c r="H33" s="55">
        <v>-31500.727170000006</v>
      </c>
    </row>
    <row r="34" spans="1:8" x14ac:dyDescent="0.2">
      <c r="A34" s="104">
        <v>42247</v>
      </c>
      <c r="B34" s="100">
        <v>1.9000000000000001E-4</v>
      </c>
      <c r="C34" s="95">
        <v>50921171</v>
      </c>
      <c r="D34" s="86"/>
      <c r="E34" s="91">
        <v>9675.02</v>
      </c>
      <c r="F34" s="93">
        <v>-86.95</v>
      </c>
      <c r="H34" s="55">
        <v>-21912.657170000006</v>
      </c>
    </row>
    <row r="35" spans="1:8" x14ac:dyDescent="0.2">
      <c r="A35" s="104">
        <v>42277</v>
      </c>
      <c r="B35" s="100">
        <v>6.0000000000000002E-5</v>
      </c>
      <c r="C35" s="95">
        <v>50517461</v>
      </c>
      <c r="D35" s="86"/>
      <c r="E35" s="91">
        <v>3031.05</v>
      </c>
      <c r="F35" s="93">
        <v>-58.53</v>
      </c>
      <c r="H35" s="55">
        <v>-18940.137170000005</v>
      </c>
    </row>
    <row r="36" spans="1:8" x14ac:dyDescent="0.2">
      <c r="A36" s="104">
        <v>42308</v>
      </c>
      <c r="B36" s="100">
        <v>6.0000000000000002E-5</v>
      </c>
      <c r="C36" s="95">
        <v>54464985</v>
      </c>
      <c r="D36" s="86"/>
      <c r="E36" s="91">
        <v>3267.9</v>
      </c>
      <c r="F36" s="93">
        <v>-52.28</v>
      </c>
      <c r="H36" s="55">
        <v>-15724.517170000006</v>
      </c>
    </row>
    <row r="37" spans="1:8" x14ac:dyDescent="0.2">
      <c r="A37" s="104">
        <v>42338</v>
      </c>
      <c r="B37" s="100">
        <v>6.0000000000000002E-5</v>
      </c>
      <c r="C37" s="95">
        <v>54726691</v>
      </c>
      <c r="D37" s="86"/>
      <c r="E37" s="91">
        <v>3283.6</v>
      </c>
      <c r="F37" s="93">
        <v>-42</v>
      </c>
      <c r="G37" s="86"/>
      <c r="H37" s="91">
        <v>-12482.917170000006</v>
      </c>
    </row>
    <row r="38" spans="1:8" x14ac:dyDescent="0.2">
      <c r="A38" s="104"/>
      <c r="B38" s="100"/>
      <c r="C38" s="95"/>
      <c r="D38" s="86"/>
      <c r="E38" s="91"/>
      <c r="F38" s="93"/>
      <c r="G38" s="86"/>
      <c r="H38" s="91"/>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ageMargins left="0.5" right="0.25" top="0.5" bottom="0.2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8F3A84E9E0A984C84C91C342852B6CA" ma:contentTypeVersion="119" ma:contentTypeDescription="" ma:contentTypeScope="" ma:versionID="ebc6d970a5345ac9780e0e8de55235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2015-12-23T08:00:00+00:00</OpenedDate>
    <Date1 xmlns="dc463f71-b30c-4ab2-9473-d307f9d35888">2015-12-23T08:00:00+00:00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152404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3F33433-1FEE-4376-818C-4D6403738819}"/>
</file>

<file path=customXml/itemProps2.xml><?xml version="1.0" encoding="utf-8"?>
<ds:datastoreItem xmlns:ds="http://schemas.openxmlformats.org/officeDocument/2006/customXml" ds:itemID="{B73B5C42-F3E0-4601-B76A-111493D9A7A0}"/>
</file>

<file path=customXml/itemProps3.xml><?xml version="1.0" encoding="utf-8"?>
<ds:datastoreItem xmlns:ds="http://schemas.openxmlformats.org/officeDocument/2006/customXml" ds:itemID="{1FC70803-1F13-40F4-81B8-5B8F2A71F571}"/>
</file>

<file path=customXml/itemProps4.xml><?xml version="1.0" encoding="utf-8"?>
<ds:datastoreItem xmlns:ds="http://schemas.openxmlformats.org/officeDocument/2006/customXml" ds:itemID="{36700BC9-F6DF-4694-A089-305CB88BFD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1862.20472</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1862.20472'!Print_Area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2015-12-22T16:55:54Z</cp:lastPrinted>
  <dcterms:created xsi:type="dcterms:W3CDTF">1998-11-07T00:14:43Z</dcterms:created>
  <dcterms:modified xsi:type="dcterms:W3CDTF">2015-12-22T17:48:27Z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0x0101006E56B4D1795A2E4DB2F0B01679ED314A0038F3A84E9E0A984C84C91C342852B6CA</vt:lpwstr>
  </property>
  <property fmtid="{D5CDD505-2E9C-101B-9397-08002B2CF9AE}" pid="3" name="_docset_NoMedatataSyncRequired">
    <vt:lpwstr>False</vt:lpwstr>
  </property>
</Properties>
</file>