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345" windowHeight="4740" tabRatio="283" activeTab="1"/>
  </bookViews>
  <sheets>
    <sheet name="Calculation" sheetId="1" r:id="rId1"/>
    <sheet name="Table" sheetId="2" r:id="rId2"/>
  </sheets>
  <definedNames>
    <definedName name="_xlnm.Print_Area" localSheetId="0">'Calculation'!$A$1:$N$123</definedName>
    <definedName name="_xlnm.Print_Titles" localSheetId="0">'Calculation'!$1:$5</definedName>
  </definedNames>
  <calcPr fullCalcOnLoad="1"/>
</workbook>
</file>

<file path=xl/sharedStrings.xml><?xml version="1.0" encoding="utf-8"?>
<sst xmlns="http://schemas.openxmlformats.org/spreadsheetml/2006/main" count="100" uniqueCount="84">
  <si>
    <t>Actual Hydro</t>
  </si>
  <si>
    <t>Authorized Hydro</t>
  </si>
  <si>
    <t>Total</t>
  </si>
  <si>
    <t>Hydro Value</t>
  </si>
  <si>
    <t>Washington Allocation</t>
  </si>
  <si>
    <t>Weighted Avg Market Price</t>
  </si>
  <si>
    <t>Difference, MWh</t>
  </si>
  <si>
    <t>Difference, aMW</t>
  </si>
  <si>
    <t>Actual Load</t>
  </si>
  <si>
    <t>Authorized Load</t>
  </si>
  <si>
    <t>Cost of Additional Load</t>
  </si>
  <si>
    <t>Net Cost of Additional Load</t>
  </si>
  <si>
    <t>Retail Revenue Credit</t>
  </si>
  <si>
    <t>Cost Increases Due to Other Factors</t>
  </si>
  <si>
    <t>Avista Corp.</t>
  </si>
  <si>
    <t>Actual Power Supply Expense Increase</t>
  </si>
  <si>
    <t>Actual Market Purchase Price</t>
  </si>
  <si>
    <t>Actual Market Sale Price</t>
  </si>
  <si>
    <t>Cost of Lower Generation</t>
  </si>
  <si>
    <t>Value of Additional Generation</t>
  </si>
  <si>
    <t>Colstrip</t>
  </si>
  <si>
    <t>Actual Colstrip Generation</t>
  </si>
  <si>
    <t>Authorized Colstrip Generation</t>
  </si>
  <si>
    <t>Value of Higher Generation</t>
  </si>
  <si>
    <t>Act Cost of Coal</t>
  </si>
  <si>
    <t>Auth Cost of Coal</t>
  </si>
  <si>
    <t>Net Cost of Higher Colstrip Gen</t>
  </si>
  <si>
    <t>Act Cost of Wood</t>
  </si>
  <si>
    <t>Auth Cost of Wood</t>
  </si>
  <si>
    <t>Net Cost of Lower Kettle Falls Gen</t>
  </si>
  <si>
    <t>WA share of Additional Load</t>
  </si>
  <si>
    <t>Actual Kettle Falls Generation</t>
  </si>
  <si>
    <t>Authorized Kettle Falls Generation</t>
  </si>
  <si>
    <t>Variance</t>
  </si>
  <si>
    <t>Total Increased Cost due to Higher</t>
  </si>
  <si>
    <t>Hydro, CS2/Colstrip/KF/Grant PUD/Load</t>
  </si>
  <si>
    <t>Kettle Falls</t>
  </si>
  <si>
    <t>Retail Load</t>
  </si>
  <si>
    <t>Factors Contributing to Increased Power Supply Expense</t>
  </si>
  <si>
    <t>Net Higher Cost of Coal</t>
  </si>
  <si>
    <t>Net Higher Cost of Wood</t>
  </si>
  <si>
    <t>Net Higher Cost of Gas</t>
  </si>
  <si>
    <t>Total Expenses Above the Authorized Level</t>
  </si>
  <si>
    <t>2008 - Washington Allocation</t>
  </si>
  <si>
    <t>Power Supply Expense Variances - 2008</t>
  </si>
  <si>
    <t>Mid Columbia</t>
  </si>
  <si>
    <t>Actuals</t>
  </si>
  <si>
    <t>Authorized</t>
  </si>
  <si>
    <t>Power Prices</t>
  </si>
  <si>
    <t>Rate Case Market Purchases, MWh</t>
  </si>
  <si>
    <t>Rate Case Market Sales, MWh</t>
  </si>
  <si>
    <t>Actual Rate Case Market Purchases $</t>
  </si>
  <si>
    <t>Actual Rate Case Market Sales $</t>
  </si>
  <si>
    <t>Authorized Purchase $</t>
  </si>
  <si>
    <t>Authorized Sales $</t>
  </si>
  <si>
    <t>Difference Purchases $</t>
  </si>
  <si>
    <t>Difference Sales $</t>
  </si>
  <si>
    <t xml:space="preserve">   Net</t>
  </si>
  <si>
    <t xml:space="preserve">  Net</t>
  </si>
  <si>
    <t>Gas Fired Generation</t>
  </si>
  <si>
    <t>Actual Gas Fired Generation</t>
  </si>
  <si>
    <t>Authorized Gas Fired Generation</t>
  </si>
  <si>
    <t>Value of Generation</t>
  </si>
  <si>
    <t>Actual 547 Expense</t>
  </si>
  <si>
    <t>Authorized 547 Expense</t>
  </si>
  <si>
    <t>Net Cost of Gas Fired Generation</t>
  </si>
  <si>
    <t>Change in Hydro Generation</t>
  </si>
  <si>
    <t>Change in Retail Loads</t>
  </si>
  <si>
    <t>Change in Market Prices and Contract Costs</t>
  </si>
  <si>
    <t>Change in Mid Columbia Contracts Expense</t>
  </si>
  <si>
    <t>Change in Gas Fired Generation and Fuel Expense</t>
  </si>
  <si>
    <t>Change in Colstrip Generation and Fuel Expense</t>
  </si>
  <si>
    <t>Change in Kettle Falls Generation and Fuel Expense</t>
  </si>
  <si>
    <t>aMW</t>
  </si>
  <si>
    <t>Change in Gas Fired Generation</t>
  </si>
  <si>
    <t>Change in Colstrip Generation</t>
  </si>
  <si>
    <t>Change in Kettle Falls Generation</t>
  </si>
  <si>
    <t>Change</t>
  </si>
  <si>
    <t>%</t>
  </si>
  <si>
    <t>2008 Generation and Load Differences from the Authorized Level</t>
  </si>
  <si>
    <t>2008 Generation Plant Availability Factors</t>
  </si>
  <si>
    <t>Colstrip Unit 3</t>
  </si>
  <si>
    <t>Colstrip Unit 4</t>
  </si>
  <si>
    <t>Coyote Springs 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</si>
</sst>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"/>
    <numFmt numFmtId="167" formatCode="&quot;$&quot;#,##0"/>
    <numFmt numFmtId="168" formatCode="&quot;$&quot;#,##0.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&quot;$&quot;* #,##0_);_(&quot;$&quot;* \(#,##0\);_(&quot;$&quot;* &quot;-&quot;??_);_(@_)"/>
    <numFmt numFmtId="175" formatCode="_(* #,##0.0_);_(* \(#,##0.0\);_(* &quot;-&quot;??_);_(@_)"/>
    <numFmt numFmtId="176" formatCode="0.0"/>
    <numFmt numFmtId="177" formatCode="_(&quot;$&quot;* #,##0.0_);_(&quot;$&quot;* \(#,##0.0\);_(&quot;$&quot;* &quot;-&quot;??_);_(@_)"/>
    <numFmt numFmtId="178" formatCode="_(* #,##0.0000_);_(* \(#,##0.0000\);_(* &quot;-&quot;????_);_(@_)"/>
    <numFmt numFmtId="179" formatCode="#,##0.0"/>
    <numFmt numFmtId="180" formatCode="0.0%"/>
    <numFmt numFmtId="181" formatCode="0.000%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15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7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167" fontId="2" fillId="0" borderId="6" xfId="0" applyNumberFormat="1" applyFont="1" applyBorder="1" applyAlignment="1">
      <alignment/>
    </xf>
    <xf numFmtId="167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0" fillId="0" borderId="14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Alignment="1">
      <alignment horizontal="center"/>
    </xf>
    <xf numFmtId="164" fontId="0" fillId="0" borderId="6" xfId="15" applyNumberFormat="1" applyBorder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176" fontId="0" fillId="0" borderId="3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74" fontId="0" fillId="0" borderId="3" xfId="0" applyNumberFormat="1" applyBorder="1" applyAlignment="1">
      <alignment/>
    </xf>
    <xf numFmtId="174" fontId="2" fillId="0" borderId="15" xfId="17" applyNumberFormat="1" applyFont="1" applyBorder="1" applyAlignment="1">
      <alignment/>
    </xf>
    <xf numFmtId="164" fontId="0" fillId="0" borderId="0" xfId="15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7" fontId="2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0" fontId="2" fillId="0" borderId="8" xfId="0" applyFont="1" applyFill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80" fontId="0" fillId="0" borderId="9" xfId="19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80" fontId="0" fillId="0" borderId="14" xfId="19" applyNumberForma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80" fontId="0" fillId="0" borderId="0" xfId="19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79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workbookViewId="0" topLeftCell="A4">
      <pane ySplit="765" topLeftCell="BM91" activePane="bottomLeft" state="split"/>
      <selection pane="topLeft" activeCell="A59" sqref="A59:L59"/>
      <selection pane="bottomLeft" activeCell="E118" sqref="E118"/>
    </sheetView>
  </sheetViews>
  <sheetFormatPr defaultColWidth="9.140625" defaultRowHeight="12.75"/>
  <cols>
    <col min="1" max="1" width="33.28125" style="0" customWidth="1"/>
    <col min="2" max="2" width="12.7109375" style="0" customWidth="1"/>
    <col min="3" max="3" width="11.7109375" style="0" customWidth="1"/>
    <col min="4" max="4" width="10.8515625" style="0" customWidth="1"/>
    <col min="5" max="6" width="11.57421875" style="0" customWidth="1"/>
    <col min="7" max="8" width="11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3" width="11.421875" style="0" customWidth="1"/>
    <col min="14" max="14" width="11.00390625" style="0" customWidth="1"/>
  </cols>
  <sheetData>
    <row r="1" ht="15.75">
      <c r="A1" s="9" t="s">
        <v>14</v>
      </c>
    </row>
    <row r="2" ht="15.75">
      <c r="A2" s="9" t="s">
        <v>44</v>
      </c>
    </row>
    <row r="3" ht="15.75">
      <c r="A3" s="9"/>
    </row>
    <row r="4" spans="2:14" ht="12.75">
      <c r="B4" s="34">
        <f>SUM(C4:N4)</f>
        <v>8784</v>
      </c>
      <c r="C4" s="34">
        <v>744</v>
      </c>
      <c r="D4" s="34">
        <v>696</v>
      </c>
      <c r="E4" s="34">
        <v>743</v>
      </c>
      <c r="F4" s="34">
        <v>720</v>
      </c>
      <c r="G4" s="34">
        <v>744</v>
      </c>
      <c r="H4" s="34">
        <v>720</v>
      </c>
      <c r="I4" s="34">
        <v>744</v>
      </c>
      <c r="J4" s="34">
        <v>744</v>
      </c>
      <c r="K4" s="34">
        <v>720</v>
      </c>
      <c r="L4" s="34">
        <v>744</v>
      </c>
      <c r="M4" s="34">
        <v>721</v>
      </c>
      <c r="N4" s="34">
        <v>744</v>
      </c>
    </row>
    <row r="5" spans="2:14" ht="12.75">
      <c r="B5" s="5" t="s">
        <v>2</v>
      </c>
      <c r="C5" s="6">
        <v>39448</v>
      </c>
      <c r="D5" s="6">
        <v>39479</v>
      </c>
      <c r="E5" s="6">
        <v>39508</v>
      </c>
      <c r="F5" s="6">
        <v>39539</v>
      </c>
      <c r="G5" s="6">
        <v>39569</v>
      </c>
      <c r="H5" s="6">
        <v>39600</v>
      </c>
      <c r="I5" s="6">
        <v>39630</v>
      </c>
      <c r="J5" s="6">
        <v>39661</v>
      </c>
      <c r="K5" s="6">
        <v>39692</v>
      </c>
      <c r="L5" s="6">
        <v>39722</v>
      </c>
      <c r="M5" s="6">
        <v>39753</v>
      </c>
      <c r="N5" s="6">
        <v>39783</v>
      </c>
    </row>
    <row r="7" spans="1:14" ht="12.75">
      <c r="A7" t="s">
        <v>16</v>
      </c>
      <c r="B7" s="1">
        <f>SUM(C7:N7)</f>
        <v>2827512</v>
      </c>
      <c r="C7" s="2">
        <v>170962</v>
      </c>
      <c r="D7" s="2">
        <v>147099</v>
      </c>
      <c r="E7" s="2">
        <v>357178</v>
      </c>
      <c r="F7" s="2">
        <v>229127</v>
      </c>
      <c r="G7" s="2">
        <v>133350</v>
      </c>
      <c r="H7" s="2">
        <v>192239</v>
      </c>
      <c r="I7" s="2">
        <v>351760</v>
      </c>
      <c r="J7" s="2">
        <v>229169</v>
      </c>
      <c r="K7" s="2">
        <v>187991</v>
      </c>
      <c r="L7" s="2">
        <v>243402</v>
      </c>
      <c r="M7" s="2">
        <v>256372</v>
      </c>
      <c r="N7" s="2">
        <v>328863</v>
      </c>
    </row>
    <row r="8" spans="2:14" ht="12.75">
      <c r="B8" s="4">
        <f>SUM(C8:N8)</f>
        <v>186868125</v>
      </c>
      <c r="C8" s="4">
        <v>12497385</v>
      </c>
      <c r="D8" s="4">
        <v>9953796</v>
      </c>
      <c r="E8" s="4">
        <v>22297439</v>
      </c>
      <c r="F8" s="4">
        <v>18814940</v>
      </c>
      <c r="G8" s="4">
        <v>7951692</v>
      </c>
      <c r="H8" s="4">
        <v>5719360</v>
      </c>
      <c r="I8" s="4">
        <v>25539825</v>
      </c>
      <c r="J8" s="4">
        <v>18144590</v>
      </c>
      <c r="K8" s="4">
        <v>11996024</v>
      </c>
      <c r="L8" s="4">
        <v>16179993</v>
      </c>
      <c r="M8" s="4">
        <v>15425503</v>
      </c>
      <c r="N8" s="4">
        <v>22347578</v>
      </c>
    </row>
    <row r="9" spans="2:14" ht="12.75">
      <c r="B9" s="3">
        <f>B8/B7</f>
        <v>66.08924206157215</v>
      </c>
      <c r="C9" s="3">
        <f aca="true" t="shared" si="0" ref="C9:N9">C8/C7</f>
        <v>73.10036733309157</v>
      </c>
      <c r="D9" s="3">
        <f t="shared" si="0"/>
        <v>67.66732608651317</v>
      </c>
      <c r="E9" s="3">
        <f t="shared" si="0"/>
        <v>62.42668641405686</v>
      </c>
      <c r="F9" s="3">
        <f t="shared" si="0"/>
        <v>82.11576985689159</v>
      </c>
      <c r="G9" s="3">
        <f t="shared" si="0"/>
        <v>59.63023622047244</v>
      </c>
      <c r="H9" s="3">
        <f t="shared" si="0"/>
        <v>29.751299164061404</v>
      </c>
      <c r="I9" s="3">
        <f t="shared" si="0"/>
        <v>72.6058249943143</v>
      </c>
      <c r="J9" s="3">
        <f t="shared" si="0"/>
        <v>79.17558657584577</v>
      </c>
      <c r="K9" s="3">
        <f t="shared" si="0"/>
        <v>63.81169311296817</v>
      </c>
      <c r="L9" s="3">
        <f t="shared" si="0"/>
        <v>66.47436339882171</v>
      </c>
      <c r="M9" s="3">
        <f t="shared" si="0"/>
        <v>60.168438831073594</v>
      </c>
      <c r="N9" s="3">
        <f t="shared" si="0"/>
        <v>67.95406597884225</v>
      </c>
    </row>
    <row r="11" spans="1:14" ht="12.75">
      <c r="A11" t="s">
        <v>17</v>
      </c>
      <c r="B11" s="1">
        <f>SUM(C11:N11)</f>
        <v>2782126</v>
      </c>
      <c r="C11" s="2">
        <v>66058</v>
      </c>
      <c r="D11" s="2">
        <v>102194</v>
      </c>
      <c r="E11" s="2">
        <v>341773</v>
      </c>
      <c r="F11" s="2">
        <v>170516</v>
      </c>
      <c r="G11" s="2">
        <v>333679</v>
      </c>
      <c r="H11" s="2">
        <v>349507</v>
      </c>
      <c r="I11" s="2">
        <v>433942</v>
      </c>
      <c r="J11" s="2">
        <v>161116</v>
      </c>
      <c r="K11" s="2">
        <v>119158</v>
      </c>
      <c r="L11" s="2">
        <v>183042</v>
      </c>
      <c r="M11" s="2">
        <v>254067</v>
      </c>
      <c r="N11" s="2">
        <v>267074</v>
      </c>
    </row>
    <row r="12" spans="2:14" ht="12.75">
      <c r="B12" s="4">
        <f>SUM(C12:N12)</f>
        <v>162378787</v>
      </c>
      <c r="C12" s="4">
        <v>4253575</v>
      </c>
      <c r="D12" s="4">
        <v>6589368</v>
      </c>
      <c r="E12" s="4">
        <v>20907800</v>
      </c>
      <c r="F12" s="4">
        <v>9253303</v>
      </c>
      <c r="G12" s="4">
        <v>13957597</v>
      </c>
      <c r="H12" s="4">
        <v>12278528</v>
      </c>
      <c r="I12" s="4">
        <v>30972653</v>
      </c>
      <c r="J12" s="4">
        <v>12385263</v>
      </c>
      <c r="K12" s="4">
        <v>7770158</v>
      </c>
      <c r="L12" s="4">
        <v>11928804</v>
      </c>
      <c r="M12" s="4">
        <v>14778953</v>
      </c>
      <c r="N12" s="4">
        <v>17302785</v>
      </c>
    </row>
    <row r="13" spans="2:14" ht="12.75">
      <c r="B13" s="3">
        <f>B12/B11</f>
        <v>58.36500108190643</v>
      </c>
      <c r="C13" s="3">
        <f aca="true" t="shared" si="1" ref="C13:N13">C12/C11</f>
        <v>64.39151957370795</v>
      </c>
      <c r="D13" s="3">
        <f t="shared" si="1"/>
        <v>64.47901050942325</v>
      </c>
      <c r="E13" s="3">
        <f t="shared" si="1"/>
        <v>61.17452227062992</v>
      </c>
      <c r="F13" s="3">
        <f t="shared" si="1"/>
        <v>54.266479391963216</v>
      </c>
      <c r="G13" s="3">
        <f t="shared" si="1"/>
        <v>41.829413897787994</v>
      </c>
      <c r="H13" s="3">
        <f t="shared" si="1"/>
        <v>35.130993084544805</v>
      </c>
      <c r="I13" s="3">
        <f t="shared" si="1"/>
        <v>71.37509851546982</v>
      </c>
      <c r="J13" s="3">
        <f t="shared" si="1"/>
        <v>76.87171354800269</v>
      </c>
      <c r="K13" s="3">
        <f t="shared" si="1"/>
        <v>65.20886553987143</v>
      </c>
      <c r="L13" s="3">
        <f t="shared" si="1"/>
        <v>65.1697643163864</v>
      </c>
      <c r="M13" s="3">
        <f t="shared" si="1"/>
        <v>58.16951040473576</v>
      </c>
      <c r="N13" s="3">
        <f t="shared" si="1"/>
        <v>64.78648239813684</v>
      </c>
    </row>
    <row r="14" spans="3:14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t="s">
        <v>5</v>
      </c>
      <c r="B15" s="3">
        <f>(B8+B12)/(B7+B11)</f>
        <v>62.258368900096585</v>
      </c>
      <c r="C15" s="3">
        <f>(C8+C12)/(C7+C11)</f>
        <v>70.67319213568476</v>
      </c>
      <c r="D15" s="3">
        <f aca="true" t="shared" si="2" ref="D15:N15">(D8+D12)/(D7+D11)</f>
        <v>66.36032299342541</v>
      </c>
      <c r="E15" s="3">
        <f t="shared" si="2"/>
        <v>61.81440329865756</v>
      </c>
      <c r="F15" s="3">
        <f t="shared" si="2"/>
        <v>70.23329071196042</v>
      </c>
      <c r="G15" s="3">
        <f t="shared" si="2"/>
        <v>46.912052570611245</v>
      </c>
      <c r="H15" s="3">
        <f t="shared" si="2"/>
        <v>33.222004407969784</v>
      </c>
      <c r="I15" s="3">
        <f t="shared" si="2"/>
        <v>71.92609666260236</v>
      </c>
      <c r="J15" s="3">
        <f t="shared" si="2"/>
        <v>78.22451029375969</v>
      </c>
      <c r="K15" s="3">
        <f t="shared" si="2"/>
        <v>64.35372408830894</v>
      </c>
      <c r="L15" s="3">
        <f t="shared" si="2"/>
        <v>65.91439204209696</v>
      </c>
      <c r="M15" s="3">
        <f t="shared" si="2"/>
        <v>59.173487919222474</v>
      </c>
      <c r="N15" s="3">
        <f t="shared" si="2"/>
        <v>66.53448770591523</v>
      </c>
    </row>
    <row r="16" spans="2:14" ht="12.75"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22" ht="12.75">
      <c r="A17" s="10" t="s">
        <v>3</v>
      </c>
      <c r="B17" s="35"/>
      <c r="D17" s="2"/>
      <c r="F17" s="2"/>
      <c r="H17" s="2"/>
      <c r="J17" s="2"/>
      <c r="L17" s="2"/>
      <c r="N17" s="2"/>
      <c r="P17" s="2"/>
      <c r="R17" s="2"/>
      <c r="T17" s="2"/>
      <c r="V17" s="2"/>
    </row>
    <row r="18" spans="1:14" ht="12.75">
      <c r="A18" s="11" t="s">
        <v>0</v>
      </c>
      <c r="B18" s="32">
        <f>SUM(C18:N18)</f>
        <v>4655547</v>
      </c>
      <c r="C18" s="2">
        <v>330191</v>
      </c>
      <c r="D18" s="2">
        <v>281651</v>
      </c>
      <c r="E18" s="2">
        <v>330437</v>
      </c>
      <c r="F18" s="2">
        <v>334577</v>
      </c>
      <c r="G18" s="2">
        <v>659835</v>
      </c>
      <c r="H18" s="2">
        <v>702665</v>
      </c>
      <c r="I18" s="2">
        <v>563314</v>
      </c>
      <c r="J18" s="2">
        <v>283670</v>
      </c>
      <c r="K18" s="2">
        <v>249988</v>
      </c>
      <c r="L18" s="2">
        <v>271065</v>
      </c>
      <c r="M18" s="2">
        <v>278865</v>
      </c>
      <c r="N18" s="2">
        <v>369289</v>
      </c>
    </row>
    <row r="19" spans="1:14" ht="12.75">
      <c r="A19" s="11" t="s">
        <v>1</v>
      </c>
      <c r="B19" s="32">
        <f>SUM(C19:N19)</f>
        <v>4646604</v>
      </c>
      <c r="C19" s="33">
        <v>337508</v>
      </c>
      <c r="D19" s="33">
        <v>359087</v>
      </c>
      <c r="E19" s="33">
        <v>333340</v>
      </c>
      <c r="F19" s="33">
        <v>461585</v>
      </c>
      <c r="G19" s="33">
        <v>687701</v>
      </c>
      <c r="H19" s="33">
        <v>684973</v>
      </c>
      <c r="I19" s="33">
        <v>473072</v>
      </c>
      <c r="J19" s="33">
        <v>279913</v>
      </c>
      <c r="K19" s="33">
        <v>222460</v>
      </c>
      <c r="L19" s="33">
        <v>223939</v>
      </c>
      <c r="M19" s="33">
        <v>240182</v>
      </c>
      <c r="N19" s="33">
        <v>342844</v>
      </c>
    </row>
    <row r="20" spans="1:2" ht="12.75">
      <c r="A20" s="11"/>
      <c r="B20" s="12"/>
    </row>
    <row r="21" spans="1:14" ht="12.75">
      <c r="A21" s="11" t="s">
        <v>6</v>
      </c>
      <c r="B21" s="32">
        <f>SUM(C21:N21)</f>
        <v>8943</v>
      </c>
      <c r="C21" s="2">
        <f>C18-C19</f>
        <v>-7317</v>
      </c>
      <c r="D21" s="2">
        <f aca="true" t="shared" si="3" ref="D21:N21">D18-D19</f>
        <v>-77436</v>
      </c>
      <c r="E21" s="2">
        <f t="shared" si="3"/>
        <v>-2903</v>
      </c>
      <c r="F21" s="2">
        <f t="shared" si="3"/>
        <v>-127008</v>
      </c>
      <c r="G21" s="2">
        <f t="shared" si="3"/>
        <v>-27866</v>
      </c>
      <c r="H21" s="2">
        <f t="shared" si="3"/>
        <v>17692</v>
      </c>
      <c r="I21" s="2">
        <f t="shared" si="3"/>
        <v>90242</v>
      </c>
      <c r="J21" s="2">
        <f t="shared" si="3"/>
        <v>3757</v>
      </c>
      <c r="K21" s="2">
        <f t="shared" si="3"/>
        <v>27528</v>
      </c>
      <c r="L21" s="2">
        <f t="shared" si="3"/>
        <v>47126</v>
      </c>
      <c r="M21" s="2">
        <f t="shared" si="3"/>
        <v>38683</v>
      </c>
      <c r="N21" s="2">
        <f t="shared" si="3"/>
        <v>26445</v>
      </c>
    </row>
    <row r="22" spans="1:14" ht="12.75">
      <c r="A22" s="11" t="s">
        <v>7</v>
      </c>
      <c r="B22" s="38">
        <f>B21/8760</f>
        <v>1.020890410958904</v>
      </c>
      <c r="C22" s="50">
        <f>C21/C4</f>
        <v>-9.834677419354838</v>
      </c>
      <c r="D22" s="50">
        <f aca="true" t="shared" si="4" ref="D22:N22">D21/D4</f>
        <v>-111.25862068965517</v>
      </c>
      <c r="E22" s="50">
        <f t="shared" si="4"/>
        <v>-3.9071332436069985</v>
      </c>
      <c r="F22" s="50">
        <f t="shared" si="4"/>
        <v>-176.4</v>
      </c>
      <c r="G22" s="50">
        <f t="shared" si="4"/>
        <v>-37.454301075268816</v>
      </c>
      <c r="H22" s="50">
        <f t="shared" si="4"/>
        <v>24.572222222222223</v>
      </c>
      <c r="I22" s="50">
        <f t="shared" si="4"/>
        <v>121.29301075268818</v>
      </c>
      <c r="J22" s="50">
        <f t="shared" si="4"/>
        <v>5.049731182795699</v>
      </c>
      <c r="K22" s="50">
        <f t="shared" si="4"/>
        <v>38.233333333333334</v>
      </c>
      <c r="L22" s="50">
        <f t="shared" si="4"/>
        <v>63.34139784946237</v>
      </c>
      <c r="M22" s="50">
        <f t="shared" si="4"/>
        <v>53.65187239944522</v>
      </c>
      <c r="N22" s="50">
        <f t="shared" si="4"/>
        <v>35.54435483870968</v>
      </c>
    </row>
    <row r="23" spans="1:14" ht="12.75">
      <c r="A23" s="11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11" t="s">
        <v>19</v>
      </c>
      <c r="B24" s="14">
        <f>SUM(C24:N24)</f>
        <v>1865917.1223298768</v>
      </c>
      <c r="C24" s="4">
        <f>-IF(C21&lt;0,C$9*C21,C$13*C21)</f>
        <v>534875.387776231</v>
      </c>
      <c r="D24" s="4">
        <f aca="true" t="shared" si="5" ref="D24:N24">-IF(D21&lt;0,D9*D21,D13*D21)</f>
        <v>5239887.062835234</v>
      </c>
      <c r="E24" s="4">
        <f t="shared" si="5"/>
        <v>181224.67066000708</v>
      </c>
      <c r="F24" s="4">
        <f t="shared" si="5"/>
        <v>10429359.697984086</v>
      </c>
      <c r="G24" s="4">
        <f t="shared" si="5"/>
        <v>1661656.162519685</v>
      </c>
      <c r="H24" s="4">
        <f t="shared" si="5"/>
        <v>-621537.5296517666</v>
      </c>
      <c r="I24" s="4">
        <f t="shared" si="5"/>
        <v>-6441031.640233027</v>
      </c>
      <c r="J24" s="4">
        <f t="shared" si="5"/>
        <v>-288807.0277998461</v>
      </c>
      <c r="K24" s="4">
        <f t="shared" si="5"/>
        <v>-1795069.6505815806</v>
      </c>
      <c r="L24" s="4">
        <f t="shared" si="5"/>
        <v>-3071190.3131740256</v>
      </c>
      <c r="M24" s="4">
        <f t="shared" si="5"/>
        <v>-2250171.1709863935</v>
      </c>
      <c r="N24" s="4">
        <f t="shared" si="5"/>
        <v>-1713278.5270187287</v>
      </c>
    </row>
    <row r="25" spans="1:14" ht="12.75">
      <c r="A25" s="11"/>
      <c r="B25" s="1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5" t="s">
        <v>4</v>
      </c>
      <c r="B26" s="16">
        <f>SUM(C26:N26)</f>
        <v>1228333.2416297568</v>
      </c>
      <c r="C26" s="4">
        <f>C24*0.6583</f>
        <v>352108.4677730929</v>
      </c>
      <c r="D26" s="4">
        <f aca="true" t="shared" si="6" ref="D26:N26">D24*0.6583</f>
        <v>3449417.6534644347</v>
      </c>
      <c r="E26" s="4">
        <f t="shared" si="6"/>
        <v>119300.20069548265</v>
      </c>
      <c r="F26" s="4">
        <f t="shared" si="6"/>
        <v>6865647.489182924</v>
      </c>
      <c r="G26" s="4">
        <f t="shared" si="6"/>
        <v>1093868.2517867086</v>
      </c>
      <c r="H26" s="4">
        <f t="shared" si="6"/>
        <v>-409158.155769758</v>
      </c>
      <c r="I26" s="4">
        <f t="shared" si="6"/>
        <v>-4240131.128765401</v>
      </c>
      <c r="J26" s="4">
        <f t="shared" si="6"/>
        <v>-190121.66640063867</v>
      </c>
      <c r="K26" s="4">
        <f t="shared" si="6"/>
        <v>-1181694.3509778546</v>
      </c>
      <c r="L26" s="4">
        <f t="shared" si="6"/>
        <v>-2021764.583162461</v>
      </c>
      <c r="M26" s="4">
        <f t="shared" si="6"/>
        <v>-1481287.6818603429</v>
      </c>
      <c r="N26" s="4">
        <f t="shared" si="6"/>
        <v>-1127851.254336429</v>
      </c>
    </row>
    <row r="27" spans="1:2" ht="12.75">
      <c r="A27" s="8"/>
      <c r="B27" s="40"/>
    </row>
    <row r="28" spans="1:2" ht="12.75" hidden="1">
      <c r="A28" s="47" t="s">
        <v>48</v>
      </c>
      <c r="B28" s="40"/>
    </row>
    <row r="29" spans="1:14" ht="12.75" hidden="1">
      <c r="A29" s="46" t="s">
        <v>49</v>
      </c>
      <c r="B29" s="18">
        <f>SUM(C29:N29)</f>
        <v>705935</v>
      </c>
      <c r="C29" s="2">
        <v>147358</v>
      </c>
      <c r="D29" s="2">
        <v>45205</v>
      </c>
      <c r="E29" s="2">
        <v>92737</v>
      </c>
      <c r="F29" s="2">
        <v>9901</v>
      </c>
      <c r="G29" s="2">
        <v>383</v>
      </c>
      <c r="H29" s="2">
        <v>840</v>
      </c>
      <c r="I29" s="2">
        <v>13951</v>
      </c>
      <c r="J29" s="2">
        <v>94532</v>
      </c>
      <c r="K29" s="2">
        <v>59300</v>
      </c>
      <c r="L29" s="2">
        <v>107507</v>
      </c>
      <c r="M29" s="2">
        <v>58355</v>
      </c>
      <c r="N29" s="2">
        <v>75866</v>
      </c>
    </row>
    <row r="30" spans="1:14" ht="12.75" hidden="1">
      <c r="A30" s="46" t="s">
        <v>50</v>
      </c>
      <c r="B30" s="18">
        <f>SUM(C30:N30)</f>
        <v>-1035944</v>
      </c>
      <c r="C30" s="2">
        <v>-14968</v>
      </c>
      <c r="D30" s="2">
        <v>-34073</v>
      </c>
      <c r="E30" s="2">
        <v>-21830</v>
      </c>
      <c r="F30" s="2">
        <v>-130338</v>
      </c>
      <c r="G30" s="2">
        <v>-271672</v>
      </c>
      <c r="H30" s="2">
        <v>-278105</v>
      </c>
      <c r="I30" s="2">
        <v>-137895</v>
      </c>
      <c r="J30" s="2">
        <v>-20896</v>
      </c>
      <c r="K30" s="2">
        <v>-31209</v>
      </c>
      <c r="L30" s="2">
        <v>-22287</v>
      </c>
      <c r="M30" s="2">
        <v>-48835</v>
      </c>
      <c r="N30" s="2">
        <v>-23836</v>
      </c>
    </row>
    <row r="31" spans="1:2" ht="12.75" hidden="1">
      <c r="A31" s="8"/>
      <c r="B31" s="40"/>
    </row>
    <row r="32" spans="1:14" ht="12.75" hidden="1">
      <c r="A32" s="46" t="s">
        <v>51</v>
      </c>
      <c r="B32" s="14">
        <f>SUM(C32:N32)</f>
        <v>48575522.35205207</v>
      </c>
      <c r="C32" s="4">
        <f>C9*C29</f>
        <v>10771923.929469706</v>
      </c>
      <c r="D32" s="4">
        <f aca="true" t="shared" si="7" ref="D32:N32">D9*D29</f>
        <v>3058901.475740828</v>
      </c>
      <c r="E32" s="4">
        <f t="shared" si="7"/>
        <v>5789263.617980391</v>
      </c>
      <c r="F32" s="4">
        <f t="shared" si="7"/>
        <v>813028.2373530837</v>
      </c>
      <c r="G32" s="4">
        <f t="shared" si="7"/>
        <v>22838.380472440946</v>
      </c>
      <c r="H32" s="4">
        <f t="shared" si="7"/>
        <v>24991.091297811578</v>
      </c>
      <c r="I32" s="4">
        <f t="shared" si="7"/>
        <v>1012923.8644956788</v>
      </c>
      <c r="J32" s="4">
        <f t="shared" si="7"/>
        <v>7484626.550187852</v>
      </c>
      <c r="K32" s="4">
        <f t="shared" si="7"/>
        <v>3784033.401599013</v>
      </c>
      <c r="L32" s="4">
        <f t="shared" si="7"/>
        <v>7146459.385917125</v>
      </c>
      <c r="M32" s="4">
        <f t="shared" si="7"/>
        <v>3511129.2479872997</v>
      </c>
      <c r="N32" s="4">
        <f t="shared" si="7"/>
        <v>5155403.169550846</v>
      </c>
    </row>
    <row r="33" spans="1:14" ht="12.75" hidden="1">
      <c r="A33" s="46" t="s">
        <v>52</v>
      </c>
      <c r="B33" s="14">
        <f>SUM(C33:N33)</f>
        <v>-52024296.35954177</v>
      </c>
      <c r="C33" s="4">
        <f>C13*C30</f>
        <v>-963812.2649792606</v>
      </c>
      <c r="D33" s="4">
        <f aca="true" t="shared" si="8" ref="D33:N33">D13*D30</f>
        <v>-2196993.3250875785</v>
      </c>
      <c r="E33" s="4">
        <f t="shared" si="8"/>
        <v>-1335439.821167851</v>
      </c>
      <c r="F33" s="4">
        <f t="shared" si="8"/>
        <v>-7072984.390989701</v>
      </c>
      <c r="G33" s="4">
        <f t="shared" si="8"/>
        <v>-11363880.53243986</v>
      </c>
      <c r="H33" s="4">
        <f t="shared" si="8"/>
        <v>-9770104.831777332</v>
      </c>
      <c r="I33" s="4">
        <f t="shared" si="8"/>
        <v>-9842269.20979071</v>
      </c>
      <c r="J33" s="4">
        <f t="shared" si="8"/>
        <v>-1606311.326299064</v>
      </c>
      <c r="K33" s="4">
        <f t="shared" si="8"/>
        <v>-2035103.4846338474</v>
      </c>
      <c r="L33" s="4">
        <f t="shared" si="8"/>
        <v>-1452438.5373193037</v>
      </c>
      <c r="M33" s="4">
        <f t="shared" si="8"/>
        <v>-2840708.040615271</v>
      </c>
      <c r="N33" s="4">
        <f t="shared" si="8"/>
        <v>-1544250.5944419897</v>
      </c>
    </row>
    <row r="34" spans="1:2" ht="12.75" hidden="1">
      <c r="A34" s="46" t="s">
        <v>57</v>
      </c>
      <c r="B34" s="40">
        <f>SUM(B32:B33)</f>
        <v>-3448774.007489696</v>
      </c>
    </row>
    <row r="35" spans="1:2" ht="12.75" hidden="1">
      <c r="A35" s="46"/>
      <c r="B35" s="40"/>
    </row>
    <row r="36" spans="1:14" ht="12.75" hidden="1">
      <c r="A36" s="46" t="s">
        <v>53</v>
      </c>
      <c r="B36" s="14">
        <f>SUM(C36:N36)</f>
        <v>44793650</v>
      </c>
      <c r="C36" s="4">
        <v>9075662</v>
      </c>
      <c r="D36" s="4">
        <v>2751138</v>
      </c>
      <c r="E36" s="4">
        <v>5619553</v>
      </c>
      <c r="F36" s="4">
        <v>577177</v>
      </c>
      <c r="G36" s="4">
        <v>22410</v>
      </c>
      <c r="H36" s="4">
        <v>32375</v>
      </c>
      <c r="I36" s="4">
        <v>934723</v>
      </c>
      <c r="J36" s="4">
        <v>5871138</v>
      </c>
      <c r="K36" s="4">
        <v>3944699</v>
      </c>
      <c r="L36" s="4">
        <v>7107241</v>
      </c>
      <c r="M36" s="4">
        <v>3786293</v>
      </c>
      <c r="N36" s="4">
        <v>5071241</v>
      </c>
    </row>
    <row r="37" spans="1:14" ht="12.75" hidden="1">
      <c r="A37" s="46" t="s">
        <v>54</v>
      </c>
      <c r="B37" s="14">
        <f>SUM(C37:N37)</f>
        <v>-46402691</v>
      </c>
      <c r="C37" s="4">
        <v>-797058</v>
      </c>
      <c r="D37" s="4">
        <v>-2024244</v>
      </c>
      <c r="E37" s="4">
        <v>-1170113</v>
      </c>
      <c r="F37" s="4">
        <v>-6133173</v>
      </c>
      <c r="G37" s="4">
        <v>-10830415</v>
      </c>
      <c r="H37" s="4">
        <v>-9847543</v>
      </c>
      <c r="I37" s="4">
        <v>-6773305</v>
      </c>
      <c r="J37" s="4">
        <v>-1214676</v>
      </c>
      <c r="K37" s="4">
        <v>-1756109</v>
      </c>
      <c r="L37" s="4">
        <v>-1213524</v>
      </c>
      <c r="M37" s="4">
        <v>-3049337</v>
      </c>
      <c r="N37" s="4">
        <v>-1593194</v>
      </c>
    </row>
    <row r="38" spans="1:14" ht="12.75" hidden="1">
      <c r="A38" s="46"/>
      <c r="B38" s="40">
        <f>SUM(B36:B37)</f>
        <v>-1609041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 hidden="1">
      <c r="A39" s="46"/>
      <c r="B39" s="4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 hidden="1">
      <c r="A40" s="46" t="s">
        <v>55</v>
      </c>
      <c r="B40" s="14">
        <f>SUM(C40:N40)</f>
        <v>3781872.3520520763</v>
      </c>
      <c r="C40" s="4">
        <f>C32-C36</f>
        <v>1696261.9294697065</v>
      </c>
      <c r="D40" s="4">
        <f aca="true" t="shared" si="9" ref="D40:N40">D32-D36</f>
        <v>307763.4757408281</v>
      </c>
      <c r="E40" s="4">
        <f t="shared" si="9"/>
        <v>169710.6179803908</v>
      </c>
      <c r="F40" s="4">
        <f t="shared" si="9"/>
        <v>235851.23735308368</v>
      </c>
      <c r="G40" s="4">
        <f t="shared" si="9"/>
        <v>428.3804724409456</v>
      </c>
      <c r="H40" s="4">
        <f t="shared" si="9"/>
        <v>-7383.9087021884225</v>
      </c>
      <c r="I40" s="4">
        <f t="shared" si="9"/>
        <v>78200.8644956788</v>
      </c>
      <c r="J40" s="4">
        <f t="shared" si="9"/>
        <v>1613488.5501878522</v>
      </c>
      <c r="K40" s="4">
        <f t="shared" si="9"/>
        <v>-160665.59840098722</v>
      </c>
      <c r="L40" s="4">
        <f t="shared" si="9"/>
        <v>39218.38591712527</v>
      </c>
      <c r="M40" s="4">
        <f t="shared" si="9"/>
        <v>-275163.7520127003</v>
      </c>
      <c r="N40" s="4">
        <f t="shared" si="9"/>
        <v>84162.16955084633</v>
      </c>
    </row>
    <row r="41" spans="1:14" ht="12.75" hidden="1">
      <c r="A41" s="46" t="s">
        <v>56</v>
      </c>
      <c r="B41" s="14">
        <f>SUM(C41:N41)</f>
        <v>-5621605.359541769</v>
      </c>
      <c r="C41" s="4">
        <f>C33-C37</f>
        <v>-166754.26497926062</v>
      </c>
      <c r="D41" s="4">
        <f aca="true" t="shared" si="10" ref="D41:N41">D33-D37</f>
        <v>-172749.3250875785</v>
      </c>
      <c r="E41" s="4">
        <f t="shared" si="10"/>
        <v>-165326.8211678511</v>
      </c>
      <c r="F41" s="4">
        <f t="shared" si="10"/>
        <v>-939811.3909897013</v>
      </c>
      <c r="G41" s="4">
        <f t="shared" si="10"/>
        <v>-533465.5324398596</v>
      </c>
      <c r="H41" s="4">
        <f t="shared" si="10"/>
        <v>77438.16822266765</v>
      </c>
      <c r="I41" s="4">
        <f t="shared" si="10"/>
        <v>-3068964.2097907104</v>
      </c>
      <c r="J41" s="4">
        <f t="shared" si="10"/>
        <v>-391635.3262990641</v>
      </c>
      <c r="K41" s="4">
        <f t="shared" si="10"/>
        <v>-278994.4846338474</v>
      </c>
      <c r="L41" s="4">
        <f t="shared" si="10"/>
        <v>-238914.53731930372</v>
      </c>
      <c r="M41" s="4">
        <f t="shared" si="10"/>
        <v>208628.95938472915</v>
      </c>
      <c r="N41" s="4">
        <f t="shared" si="10"/>
        <v>48943.40555801033</v>
      </c>
    </row>
    <row r="42" spans="1:14" ht="12.75" hidden="1">
      <c r="A42" s="46" t="s">
        <v>58</v>
      </c>
      <c r="B42" s="49">
        <f>SUM(C42:N42)</f>
        <v>-1839733.0074896924</v>
      </c>
      <c r="C42" s="40">
        <f>SUM(C40:C41)</f>
        <v>1529507.664490446</v>
      </c>
      <c r="D42" s="40">
        <f aca="true" t="shared" si="11" ref="D42:N42">SUM(D40:D41)</f>
        <v>135014.15065324958</v>
      </c>
      <c r="E42" s="40">
        <f t="shared" si="11"/>
        <v>4383.796812539687</v>
      </c>
      <c r="F42" s="40">
        <f t="shared" si="11"/>
        <v>-703960.1536366176</v>
      </c>
      <c r="G42" s="40">
        <f t="shared" si="11"/>
        <v>-533037.1519674186</v>
      </c>
      <c r="H42" s="40">
        <f t="shared" si="11"/>
        <v>70054.25952047923</v>
      </c>
      <c r="I42" s="40">
        <f t="shared" si="11"/>
        <v>-2990763.3452950316</v>
      </c>
      <c r="J42" s="40">
        <f t="shared" si="11"/>
        <v>1221853.2238887881</v>
      </c>
      <c r="K42" s="40">
        <f t="shared" si="11"/>
        <v>-439660.0830348346</v>
      </c>
      <c r="L42" s="40">
        <f t="shared" si="11"/>
        <v>-199696.15140217845</v>
      </c>
      <c r="M42" s="40">
        <f t="shared" si="11"/>
        <v>-66534.79262797115</v>
      </c>
      <c r="N42" s="40">
        <f t="shared" si="11"/>
        <v>133105.57510885666</v>
      </c>
    </row>
    <row r="44" spans="1:2" ht="12.75">
      <c r="A44" s="10" t="s">
        <v>59</v>
      </c>
      <c r="B44" s="17"/>
    </row>
    <row r="45" spans="1:14" ht="12.75">
      <c r="A45" s="11" t="s">
        <v>60</v>
      </c>
      <c r="B45" s="32">
        <f>SUM(C45:N45)</f>
        <v>1734908</v>
      </c>
      <c r="C45" s="2">
        <v>196858</v>
      </c>
      <c r="D45" s="2">
        <v>187352</v>
      </c>
      <c r="E45" s="2">
        <v>178591</v>
      </c>
      <c r="F45" s="2">
        <v>98645</v>
      </c>
      <c r="G45" s="2">
        <v>45631</v>
      </c>
      <c r="H45" s="2">
        <v>3411</v>
      </c>
      <c r="I45" s="2">
        <v>102322</v>
      </c>
      <c r="J45" s="2">
        <v>185194</v>
      </c>
      <c r="K45" s="2">
        <v>178037</v>
      </c>
      <c r="L45" s="2">
        <v>189734</v>
      </c>
      <c r="M45" s="2">
        <v>166975</v>
      </c>
      <c r="N45" s="2">
        <v>202158</v>
      </c>
    </row>
    <row r="46" spans="1:14" ht="12.75">
      <c r="A46" s="11" t="s">
        <v>61</v>
      </c>
      <c r="B46" s="32">
        <f>SUM(C46:N46)</f>
        <v>1242354</v>
      </c>
      <c r="C46" s="7">
        <v>87146</v>
      </c>
      <c r="D46" s="7">
        <v>96907</v>
      </c>
      <c r="E46" s="7">
        <v>92739</v>
      </c>
      <c r="F46" s="7">
        <v>48442</v>
      </c>
      <c r="G46" s="7">
        <v>40685</v>
      </c>
      <c r="H46" s="7">
        <v>32091</v>
      </c>
      <c r="I46" s="7">
        <v>106258</v>
      </c>
      <c r="J46" s="7">
        <v>137756</v>
      </c>
      <c r="K46" s="7">
        <v>158330</v>
      </c>
      <c r="L46" s="7">
        <v>153559</v>
      </c>
      <c r="M46" s="7">
        <v>154096</v>
      </c>
      <c r="N46" s="7">
        <v>134345</v>
      </c>
    </row>
    <row r="47" spans="1:2" ht="12.75">
      <c r="A47" s="11"/>
      <c r="B47" s="12"/>
    </row>
    <row r="48" spans="1:14" ht="12.75">
      <c r="A48" s="11" t="s">
        <v>6</v>
      </c>
      <c r="B48" s="18">
        <f>SUM(C48:N48)</f>
        <v>492554</v>
      </c>
      <c r="C48" s="2">
        <f>C45-C46</f>
        <v>109712</v>
      </c>
      <c r="D48" s="2">
        <f aca="true" t="shared" si="12" ref="D48:N48">D45-D46</f>
        <v>90445</v>
      </c>
      <c r="E48" s="2">
        <f t="shared" si="12"/>
        <v>85852</v>
      </c>
      <c r="F48" s="2">
        <f t="shared" si="12"/>
        <v>50203</v>
      </c>
      <c r="G48" s="2">
        <f t="shared" si="12"/>
        <v>4946</v>
      </c>
      <c r="H48" s="2">
        <f t="shared" si="12"/>
        <v>-28680</v>
      </c>
      <c r="I48" s="2">
        <f t="shared" si="12"/>
        <v>-3936</v>
      </c>
      <c r="J48" s="2">
        <f t="shared" si="12"/>
        <v>47438</v>
      </c>
      <c r="K48" s="2">
        <f t="shared" si="12"/>
        <v>19707</v>
      </c>
      <c r="L48" s="2">
        <f t="shared" si="12"/>
        <v>36175</v>
      </c>
      <c r="M48" s="2">
        <f t="shared" si="12"/>
        <v>12879</v>
      </c>
      <c r="N48" s="2">
        <f t="shared" si="12"/>
        <v>67813</v>
      </c>
    </row>
    <row r="49" spans="1:2" ht="12.75">
      <c r="A49" s="11" t="s">
        <v>7</v>
      </c>
      <c r="B49" s="19">
        <f>B48/8760</f>
        <v>56.227625570776254</v>
      </c>
    </row>
    <row r="50" spans="1:14" ht="12.75">
      <c r="A50" s="11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11" t="s">
        <v>62</v>
      </c>
      <c r="B51" s="14">
        <f>SUM(C51:N51)</f>
        <v>-32372224.68582096</v>
      </c>
      <c r="C51" s="4">
        <f>-IF(C48&lt;0,C$9*C48,C$13*C48)</f>
        <v>-7064522.395470647</v>
      </c>
      <c r="D51" s="4">
        <f aca="true" t="shared" si="13" ref="D51:N51">-IF(D48&lt;0,D$9*D48,D$13*D48)</f>
        <v>-5831804.105524786</v>
      </c>
      <c r="E51" s="4">
        <f t="shared" si="13"/>
        <v>-5251955.08597812</v>
      </c>
      <c r="F51" s="4">
        <f t="shared" si="13"/>
        <v>-2724340.0649147294</v>
      </c>
      <c r="G51" s="4">
        <f t="shared" si="13"/>
        <v>-206888.28113845942</v>
      </c>
      <c r="H51" s="4">
        <f t="shared" si="13"/>
        <v>853267.2600252811</v>
      </c>
      <c r="I51" s="4">
        <f t="shared" si="13"/>
        <v>285776.5271776211</v>
      </c>
      <c r="J51" s="4">
        <f t="shared" si="13"/>
        <v>-3646640.3472901518</v>
      </c>
      <c r="K51" s="4">
        <f t="shared" si="13"/>
        <v>-1285071.113194246</v>
      </c>
      <c r="L51" s="4">
        <f t="shared" si="13"/>
        <v>-2357516.2241452783</v>
      </c>
      <c r="M51" s="4">
        <f t="shared" si="13"/>
        <v>-749165.1245025919</v>
      </c>
      <c r="N51" s="4">
        <f t="shared" si="13"/>
        <v>-4393365.730864854</v>
      </c>
    </row>
    <row r="52" spans="1:14" ht="12.75">
      <c r="A52" s="11" t="s">
        <v>63</v>
      </c>
      <c r="B52" s="14">
        <f>SUM(C52:N52)</f>
        <v>108284097</v>
      </c>
      <c r="C52" s="45">
        <v>11587183</v>
      </c>
      <c r="D52" s="45">
        <v>10874279</v>
      </c>
      <c r="E52" s="45">
        <v>10131592</v>
      </c>
      <c r="F52" s="45">
        <v>7496860</v>
      </c>
      <c r="G52" s="45">
        <v>3689940</v>
      </c>
      <c r="H52" s="45">
        <v>379788</v>
      </c>
      <c r="I52" s="45">
        <v>4268868</v>
      </c>
      <c r="J52" s="45">
        <v>11807212</v>
      </c>
      <c r="K52" s="45">
        <v>13875935</v>
      </c>
      <c r="L52" s="45">
        <v>11137257</v>
      </c>
      <c r="M52" s="45">
        <v>10191078</v>
      </c>
      <c r="N52" s="45">
        <v>12844105</v>
      </c>
    </row>
    <row r="53" spans="1:14" ht="12.75">
      <c r="A53" s="11" t="s">
        <v>64</v>
      </c>
      <c r="B53" s="14">
        <f>SUM(C53:N53)</f>
        <v>75022747</v>
      </c>
      <c r="C53" s="4">
        <v>5500597</v>
      </c>
      <c r="D53" s="4">
        <v>5979584</v>
      </c>
      <c r="E53" s="4">
        <v>5617375</v>
      </c>
      <c r="F53" s="4">
        <v>3069671</v>
      </c>
      <c r="G53" s="4">
        <v>2715420</v>
      </c>
      <c r="H53" s="4">
        <v>2339513</v>
      </c>
      <c r="I53" s="4">
        <v>6293663</v>
      </c>
      <c r="J53" s="4">
        <v>7936629</v>
      </c>
      <c r="K53" s="4">
        <v>8964531</v>
      </c>
      <c r="L53" s="4">
        <v>8719367</v>
      </c>
      <c r="M53" s="4">
        <v>9214143</v>
      </c>
      <c r="N53" s="4">
        <v>8672254</v>
      </c>
    </row>
    <row r="54" spans="1:14" ht="12.75">
      <c r="A54" s="11" t="s">
        <v>41</v>
      </c>
      <c r="B54" s="14">
        <f>SUM(C54:N54)</f>
        <v>33261350</v>
      </c>
      <c r="C54" s="48">
        <f>C52-C53</f>
        <v>6086586</v>
      </c>
      <c r="D54" s="48">
        <f aca="true" t="shared" si="14" ref="D54:N54">D52-D53</f>
        <v>4894695</v>
      </c>
      <c r="E54" s="48">
        <f t="shared" si="14"/>
        <v>4514217</v>
      </c>
      <c r="F54" s="48">
        <f t="shared" si="14"/>
        <v>4427189</v>
      </c>
      <c r="G54" s="48">
        <f t="shared" si="14"/>
        <v>974520</v>
      </c>
      <c r="H54" s="48">
        <f t="shared" si="14"/>
        <v>-1959725</v>
      </c>
      <c r="I54" s="48">
        <f t="shared" si="14"/>
        <v>-2024795</v>
      </c>
      <c r="J54" s="48">
        <f t="shared" si="14"/>
        <v>3870583</v>
      </c>
      <c r="K54" s="48">
        <f t="shared" si="14"/>
        <v>4911404</v>
      </c>
      <c r="L54" s="48">
        <f t="shared" si="14"/>
        <v>2417890</v>
      </c>
      <c r="M54" s="48">
        <f t="shared" si="14"/>
        <v>976935</v>
      </c>
      <c r="N54" s="48">
        <f t="shared" si="14"/>
        <v>4171851</v>
      </c>
    </row>
    <row r="55" spans="1:14" ht="12.75">
      <c r="A55" s="11"/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11" t="s">
        <v>65</v>
      </c>
      <c r="B56" s="14">
        <f>SUM(C56:N56)</f>
        <v>889125.3141790396</v>
      </c>
      <c r="C56" s="48">
        <f>C51+C54</f>
        <v>-977936.3954706471</v>
      </c>
      <c r="D56" s="48">
        <f aca="true" t="shared" si="15" ref="D56:N56">D51+D54</f>
        <v>-937109.1055247858</v>
      </c>
      <c r="E56" s="48">
        <f t="shared" si="15"/>
        <v>-737738.0859781196</v>
      </c>
      <c r="F56" s="48">
        <f t="shared" si="15"/>
        <v>1702848.9350852706</v>
      </c>
      <c r="G56" s="48">
        <f t="shared" si="15"/>
        <v>767631.7188615405</v>
      </c>
      <c r="H56" s="48">
        <f t="shared" si="15"/>
        <v>-1106457.739974719</v>
      </c>
      <c r="I56" s="48">
        <f t="shared" si="15"/>
        <v>-1739018.4728223789</v>
      </c>
      <c r="J56" s="48">
        <f t="shared" si="15"/>
        <v>223942.65270984825</v>
      </c>
      <c r="K56" s="48">
        <f t="shared" si="15"/>
        <v>3626332.886805754</v>
      </c>
      <c r="L56" s="48">
        <f t="shared" si="15"/>
        <v>60373.775854721665</v>
      </c>
      <c r="M56" s="48">
        <f t="shared" si="15"/>
        <v>227769.8754974081</v>
      </c>
      <c r="N56" s="48">
        <f t="shared" si="15"/>
        <v>-221514.7308648536</v>
      </c>
    </row>
    <row r="57" spans="1:14" ht="12.75">
      <c r="A57" s="11"/>
      <c r="B57" s="12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15" t="s">
        <v>4</v>
      </c>
      <c r="B58" s="22">
        <f>SUM(C58:N58)</f>
        <v>585311.1943240617</v>
      </c>
      <c r="C58" s="4">
        <f>C56*0.6583</f>
        <v>-643775.529138327</v>
      </c>
      <c r="D58" s="4">
        <f aca="true" t="shared" si="16" ref="D58:N58">D56*0.6583</f>
        <v>-616898.9241669665</v>
      </c>
      <c r="E58" s="4">
        <f t="shared" si="16"/>
        <v>-485652.9819993962</v>
      </c>
      <c r="F58" s="4">
        <f t="shared" si="16"/>
        <v>1120985.4539666336</v>
      </c>
      <c r="G58" s="4">
        <f t="shared" si="16"/>
        <v>505331.96052655217</v>
      </c>
      <c r="H58" s="4">
        <f t="shared" si="16"/>
        <v>-728381.1302253575</v>
      </c>
      <c r="I58" s="4">
        <f t="shared" si="16"/>
        <v>-1144795.860658972</v>
      </c>
      <c r="J58" s="4">
        <f t="shared" si="16"/>
        <v>147421.4482788931</v>
      </c>
      <c r="K58" s="4">
        <f t="shared" si="16"/>
        <v>2387214.939384228</v>
      </c>
      <c r="L58" s="4">
        <f t="shared" si="16"/>
        <v>39744.05664516327</v>
      </c>
      <c r="M58" s="4">
        <f t="shared" si="16"/>
        <v>149940.90903994374</v>
      </c>
      <c r="N58" s="4">
        <f t="shared" si="16"/>
        <v>-145823.1473283331</v>
      </c>
    </row>
    <row r="60" spans="1:14" ht="12.75">
      <c r="A60" s="10" t="s">
        <v>20</v>
      </c>
      <c r="B60" s="1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11" t="s">
        <v>21</v>
      </c>
      <c r="B61" s="32">
        <f>SUM(C61:N61)</f>
        <v>1757659</v>
      </c>
      <c r="C61" s="2">
        <v>163948</v>
      </c>
      <c r="D61" s="2">
        <v>153371</v>
      </c>
      <c r="E61" s="2">
        <v>163178</v>
      </c>
      <c r="F61" s="2">
        <v>150929</v>
      </c>
      <c r="G61" s="2">
        <v>137537</v>
      </c>
      <c r="H61" s="2">
        <v>73250</v>
      </c>
      <c r="I61" s="2">
        <v>140563</v>
      </c>
      <c r="J61" s="2">
        <v>153906</v>
      </c>
      <c r="K61" s="2">
        <v>134230</v>
      </c>
      <c r="L61" s="2">
        <v>163230</v>
      </c>
      <c r="M61" s="2">
        <v>159637</v>
      </c>
      <c r="N61" s="2">
        <v>163880</v>
      </c>
    </row>
    <row r="62" spans="1:14" ht="12.75">
      <c r="A62" s="11" t="s">
        <v>22</v>
      </c>
      <c r="B62" s="32">
        <f>SUM(C62:N62)</f>
        <v>1725226</v>
      </c>
      <c r="C62" s="7">
        <v>154932</v>
      </c>
      <c r="D62" s="7">
        <v>146356</v>
      </c>
      <c r="E62" s="7">
        <v>151397</v>
      </c>
      <c r="F62" s="7">
        <v>124649</v>
      </c>
      <c r="G62" s="7">
        <v>102558</v>
      </c>
      <c r="H62" s="7">
        <v>122128</v>
      </c>
      <c r="I62" s="7">
        <v>154838</v>
      </c>
      <c r="J62" s="7">
        <v>156448</v>
      </c>
      <c r="K62" s="7">
        <v>151403</v>
      </c>
      <c r="L62" s="7">
        <v>155183</v>
      </c>
      <c r="M62" s="7">
        <v>151403</v>
      </c>
      <c r="N62" s="7">
        <v>153931</v>
      </c>
    </row>
    <row r="63" spans="1:2" ht="12.75">
      <c r="A63" s="11"/>
      <c r="B63" s="12"/>
    </row>
    <row r="64" spans="1:14" ht="12.75">
      <c r="A64" s="11" t="s">
        <v>6</v>
      </c>
      <c r="B64" s="18">
        <f>SUM(C64:N64)</f>
        <v>32433</v>
      </c>
      <c r="C64" s="2">
        <f>C61-C62</f>
        <v>9016</v>
      </c>
      <c r="D64" s="2">
        <f aca="true" t="shared" si="17" ref="D64:N64">D61-D62</f>
        <v>7015</v>
      </c>
      <c r="E64" s="2">
        <f t="shared" si="17"/>
        <v>11781</v>
      </c>
      <c r="F64" s="2">
        <f t="shared" si="17"/>
        <v>26280</v>
      </c>
      <c r="G64" s="2">
        <f t="shared" si="17"/>
        <v>34979</v>
      </c>
      <c r="H64" s="2">
        <f t="shared" si="17"/>
        <v>-48878</v>
      </c>
      <c r="I64" s="2">
        <f t="shared" si="17"/>
        <v>-14275</v>
      </c>
      <c r="J64" s="2">
        <f t="shared" si="17"/>
        <v>-2542</v>
      </c>
      <c r="K64" s="2">
        <f t="shared" si="17"/>
        <v>-17173</v>
      </c>
      <c r="L64" s="2">
        <f t="shared" si="17"/>
        <v>8047</v>
      </c>
      <c r="M64" s="2">
        <f t="shared" si="17"/>
        <v>8234</v>
      </c>
      <c r="N64" s="2">
        <f t="shared" si="17"/>
        <v>9949</v>
      </c>
    </row>
    <row r="65" spans="1:2" ht="12.75">
      <c r="A65" s="11" t="s">
        <v>7</v>
      </c>
      <c r="B65" s="19">
        <f>B64/8760</f>
        <v>3.7023972602739725</v>
      </c>
    </row>
    <row r="66" spans="1:14" ht="12.75">
      <c r="A66" s="11"/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1" t="s">
        <v>23</v>
      </c>
      <c r="B67" s="14">
        <f>SUM(C67:N67)</f>
        <v>-2503060.2494879523</v>
      </c>
      <c r="C67" s="4">
        <f>-IF(C64&lt;0,C$9*C64,C$13*C64)</f>
        <v>-580553.940476551</v>
      </c>
      <c r="D67" s="4">
        <f aca="true" t="shared" si="18" ref="D67:N67">-IF(D64&lt;0,D$9*D64,D$13*D64)</f>
        <v>-452320.2587236041</v>
      </c>
      <c r="E67" s="4">
        <f t="shared" si="18"/>
        <v>-720697.0468702911</v>
      </c>
      <c r="F67" s="4">
        <f t="shared" si="18"/>
        <v>-1426123.0784207934</v>
      </c>
      <c r="G67" s="4">
        <f t="shared" si="18"/>
        <v>-1463151.0687307261</v>
      </c>
      <c r="H67" s="4">
        <f t="shared" si="18"/>
        <v>1454184.0005409934</v>
      </c>
      <c r="I67" s="4">
        <f t="shared" si="18"/>
        <v>1036448.1517938367</v>
      </c>
      <c r="J67" s="4">
        <f t="shared" si="18"/>
        <v>201264.34107579995</v>
      </c>
      <c r="K67" s="4">
        <f t="shared" si="18"/>
        <v>1095838.2058290024</v>
      </c>
      <c r="L67" s="4">
        <f t="shared" si="18"/>
        <v>-524421.0934539614</v>
      </c>
      <c r="M67" s="4">
        <f t="shared" si="18"/>
        <v>-478967.74867259426</v>
      </c>
      <c r="N67" s="4">
        <f t="shared" si="18"/>
        <v>-644560.7133790634</v>
      </c>
    </row>
    <row r="68" spans="1:14" ht="12.75">
      <c r="A68" s="11" t="s">
        <v>24</v>
      </c>
      <c r="B68" s="14">
        <f>SUM(C68:N68)</f>
        <v>19609259</v>
      </c>
      <c r="C68" s="45">
        <v>1693941</v>
      </c>
      <c r="D68" s="45">
        <v>1738116</v>
      </c>
      <c r="E68" s="45">
        <v>1691663</v>
      </c>
      <c r="F68" s="45">
        <v>1479583</v>
      </c>
      <c r="G68" s="45">
        <v>1265176</v>
      </c>
      <c r="H68" s="45">
        <v>784963</v>
      </c>
      <c r="I68" s="45">
        <v>1541332</v>
      </c>
      <c r="J68" s="45">
        <v>2085867</v>
      </c>
      <c r="K68" s="45">
        <v>1260985</v>
      </c>
      <c r="L68" s="45">
        <v>1358851</v>
      </c>
      <c r="M68" s="45">
        <v>1132866</v>
      </c>
      <c r="N68" s="45">
        <v>3575916</v>
      </c>
    </row>
    <row r="69" spans="1:14" ht="12.75">
      <c r="A69" s="11" t="s">
        <v>25</v>
      </c>
      <c r="B69" s="14">
        <f>SUM(C69:N69)</f>
        <v>14908842</v>
      </c>
      <c r="C69" s="39">
        <v>1338874</v>
      </c>
      <c r="D69" s="39">
        <v>1264764</v>
      </c>
      <c r="E69" s="39">
        <v>1308319</v>
      </c>
      <c r="F69" s="39">
        <v>1077180</v>
      </c>
      <c r="G69" s="39">
        <v>886276</v>
      </c>
      <c r="H69" s="39">
        <v>1055387</v>
      </c>
      <c r="I69" s="39">
        <v>1338060</v>
      </c>
      <c r="J69" s="39">
        <v>1351971</v>
      </c>
      <c r="K69" s="39">
        <v>1308376</v>
      </c>
      <c r="L69" s="39">
        <v>1341037</v>
      </c>
      <c r="M69" s="39">
        <v>1308376</v>
      </c>
      <c r="N69" s="39">
        <v>1330222</v>
      </c>
    </row>
    <row r="70" spans="1:14" ht="12.75">
      <c r="A70" s="11" t="s">
        <v>39</v>
      </c>
      <c r="B70" s="14">
        <f>B68-B69</f>
        <v>4700417</v>
      </c>
      <c r="C70" s="14">
        <f aca="true" t="shared" si="19" ref="C70:N70">C68-C69</f>
        <v>355067</v>
      </c>
      <c r="D70" s="14">
        <f t="shared" si="19"/>
        <v>473352</v>
      </c>
      <c r="E70" s="14">
        <f t="shared" si="19"/>
        <v>383344</v>
      </c>
      <c r="F70" s="14">
        <f t="shared" si="19"/>
        <v>402403</v>
      </c>
      <c r="G70" s="14">
        <f t="shared" si="19"/>
        <v>378900</v>
      </c>
      <c r="H70" s="14">
        <f t="shared" si="19"/>
        <v>-270424</v>
      </c>
      <c r="I70" s="14">
        <f t="shared" si="19"/>
        <v>203272</v>
      </c>
      <c r="J70" s="14">
        <f t="shared" si="19"/>
        <v>733896</v>
      </c>
      <c r="K70" s="14">
        <f t="shared" si="19"/>
        <v>-47391</v>
      </c>
      <c r="L70" s="14">
        <f t="shared" si="19"/>
        <v>17814</v>
      </c>
      <c r="M70" s="14">
        <f t="shared" si="19"/>
        <v>-175510</v>
      </c>
      <c r="N70" s="14">
        <f t="shared" si="19"/>
        <v>2245694</v>
      </c>
    </row>
    <row r="71" spans="1:14" ht="12.75">
      <c r="A71" s="11"/>
      <c r="B71" s="1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11" t="s">
        <v>26</v>
      </c>
      <c r="B72" s="14">
        <f>SUM(C72:N72)</f>
        <v>2197356.750512047</v>
      </c>
      <c r="C72" s="14">
        <f aca="true" t="shared" si="20" ref="C72:N72">C67+C70</f>
        <v>-225486.94047655095</v>
      </c>
      <c r="D72" s="14">
        <f t="shared" si="20"/>
        <v>21031.741276395915</v>
      </c>
      <c r="E72" s="14">
        <f t="shared" si="20"/>
        <v>-337353.0468702911</v>
      </c>
      <c r="F72" s="14">
        <f t="shared" si="20"/>
        <v>-1023720.0784207934</v>
      </c>
      <c r="G72" s="14">
        <f t="shared" si="20"/>
        <v>-1084251.0687307261</v>
      </c>
      <c r="H72" s="14">
        <f t="shared" si="20"/>
        <v>1183760.0005409934</v>
      </c>
      <c r="I72" s="14">
        <f t="shared" si="20"/>
        <v>1239720.1517938366</v>
      </c>
      <c r="J72" s="14">
        <f t="shared" si="20"/>
        <v>935160.3410757999</v>
      </c>
      <c r="K72" s="14">
        <f t="shared" si="20"/>
        <v>1048447.2058290024</v>
      </c>
      <c r="L72" s="14">
        <f t="shared" si="20"/>
        <v>-506607.0934539614</v>
      </c>
      <c r="M72" s="14">
        <f t="shared" si="20"/>
        <v>-654477.7486725943</v>
      </c>
      <c r="N72" s="14">
        <f t="shared" si="20"/>
        <v>1601133.2866209366</v>
      </c>
    </row>
    <row r="73" spans="1:14" ht="12.75">
      <c r="A73" s="11"/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15" t="s">
        <v>4</v>
      </c>
      <c r="B74" s="16">
        <f>SUM(C74:N74)</f>
        <v>1446519.948862081</v>
      </c>
      <c r="C74" s="4">
        <f>C72*0.6583</f>
        <v>-148438.0529157135</v>
      </c>
      <c r="D74" s="4">
        <f aca="true" t="shared" si="21" ref="D74:N74">D72*0.6583</f>
        <v>13845.19528225143</v>
      </c>
      <c r="E74" s="4">
        <f t="shared" si="21"/>
        <v>-222079.51075471265</v>
      </c>
      <c r="F74" s="4">
        <f t="shared" si="21"/>
        <v>-673914.9276244083</v>
      </c>
      <c r="G74" s="4">
        <f t="shared" si="21"/>
        <v>-713762.478545437</v>
      </c>
      <c r="H74" s="4">
        <f t="shared" si="21"/>
        <v>779269.208356136</v>
      </c>
      <c r="I74" s="4">
        <f t="shared" si="21"/>
        <v>816107.7759258826</v>
      </c>
      <c r="J74" s="4">
        <f t="shared" si="21"/>
        <v>615616.052530199</v>
      </c>
      <c r="K74" s="4">
        <f t="shared" si="21"/>
        <v>690192.7955972323</v>
      </c>
      <c r="L74" s="4">
        <f t="shared" si="21"/>
        <v>-333499.4496207428</v>
      </c>
      <c r="M74" s="4">
        <f t="shared" si="21"/>
        <v>-430842.7019511688</v>
      </c>
      <c r="N74" s="4">
        <f t="shared" si="21"/>
        <v>1054026.0425825627</v>
      </c>
    </row>
    <row r="75" spans="1:2" ht="12.75">
      <c r="A75" s="11"/>
      <c r="B75" s="40"/>
    </row>
    <row r="76" spans="1:2" ht="12.75">
      <c r="A76" s="10" t="s">
        <v>36</v>
      </c>
      <c r="B76" s="17"/>
    </row>
    <row r="77" spans="1:14" ht="12.75">
      <c r="A77" s="11" t="s">
        <v>31</v>
      </c>
      <c r="B77" s="32">
        <f>SUM(C77:N77)</f>
        <v>200423</v>
      </c>
      <c r="C77">
        <v>29837</v>
      </c>
      <c r="D77">
        <v>30893</v>
      </c>
      <c r="E77">
        <v>29524</v>
      </c>
      <c r="F77">
        <v>5075</v>
      </c>
      <c r="G77">
        <v>463</v>
      </c>
      <c r="H77">
        <v>-216</v>
      </c>
      <c r="I77">
        <v>-279</v>
      </c>
      <c r="J77">
        <v>22350</v>
      </c>
      <c r="K77">
        <v>13504</v>
      </c>
      <c r="L77">
        <v>8562</v>
      </c>
      <c r="M77">
        <v>27374</v>
      </c>
      <c r="N77">
        <v>33336</v>
      </c>
    </row>
    <row r="78" spans="1:14" ht="12.75">
      <c r="A78" s="11" t="s">
        <v>32</v>
      </c>
      <c r="B78" s="32">
        <f>SUM(C78:N78)</f>
        <v>334014</v>
      </c>
      <c r="C78" s="7">
        <v>33513</v>
      </c>
      <c r="D78" s="7">
        <v>31625</v>
      </c>
      <c r="E78" s="7">
        <v>33969</v>
      </c>
      <c r="F78" s="7">
        <v>32618</v>
      </c>
      <c r="G78" s="7">
        <v>2427</v>
      </c>
      <c r="H78" s="7">
        <v>0</v>
      </c>
      <c r="I78" s="7">
        <v>31474</v>
      </c>
      <c r="J78" s="7">
        <v>33683</v>
      </c>
      <c r="K78" s="7">
        <v>32911</v>
      </c>
      <c r="L78" s="7">
        <v>34300</v>
      </c>
      <c r="M78" s="7">
        <v>33194</v>
      </c>
      <c r="N78" s="7">
        <v>34300</v>
      </c>
    </row>
    <row r="79" spans="1:2" ht="12.75">
      <c r="A79" s="11"/>
      <c r="B79" s="12"/>
    </row>
    <row r="80" spans="1:14" ht="12.75">
      <c r="A80" s="11" t="s">
        <v>6</v>
      </c>
      <c r="B80" s="18">
        <f>SUM(C80:N80)</f>
        <v>-133591</v>
      </c>
      <c r="C80" s="2">
        <f>C77-C78</f>
        <v>-3676</v>
      </c>
      <c r="D80" s="2">
        <f aca="true" t="shared" si="22" ref="D80:N80">D77-D78</f>
        <v>-732</v>
      </c>
      <c r="E80" s="2">
        <f t="shared" si="22"/>
        <v>-4445</v>
      </c>
      <c r="F80" s="2">
        <f t="shared" si="22"/>
        <v>-27543</v>
      </c>
      <c r="G80" s="2">
        <f t="shared" si="22"/>
        <v>-1964</v>
      </c>
      <c r="H80" s="2">
        <f t="shared" si="22"/>
        <v>-216</v>
      </c>
      <c r="I80" s="2">
        <f t="shared" si="22"/>
        <v>-31753</v>
      </c>
      <c r="J80" s="2">
        <f t="shared" si="22"/>
        <v>-11333</v>
      </c>
      <c r="K80" s="2">
        <f t="shared" si="22"/>
        <v>-19407</v>
      </c>
      <c r="L80" s="2">
        <f t="shared" si="22"/>
        <v>-25738</v>
      </c>
      <c r="M80" s="2">
        <f t="shared" si="22"/>
        <v>-5820</v>
      </c>
      <c r="N80" s="2">
        <f t="shared" si="22"/>
        <v>-964</v>
      </c>
    </row>
    <row r="81" spans="1:2" ht="12.75">
      <c r="A81" s="11" t="s">
        <v>7</v>
      </c>
      <c r="B81" s="19">
        <f>B80/8760</f>
        <v>-15.250114155251142</v>
      </c>
    </row>
    <row r="82" spans="1:14" ht="12.75">
      <c r="A82" s="11"/>
      <c r="B82" s="1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11" t="s">
        <v>18</v>
      </c>
      <c r="B83" s="14">
        <f>SUM(C83:N83)</f>
        <v>9548739.178558284</v>
      </c>
      <c r="C83" s="4">
        <f>-IF(C80&lt;0,C$9*C80,C$13*C80)</f>
        <v>268716.9503164446</v>
      </c>
      <c r="D83" s="4">
        <f aca="true" t="shared" si="23" ref="D83:N83">-IF(D80&lt;0,D$9*D80,D$13*D80)</f>
        <v>49532.48269532764</v>
      </c>
      <c r="E83" s="4">
        <f t="shared" si="23"/>
        <v>277486.6211104827</v>
      </c>
      <c r="F83" s="4">
        <f t="shared" si="23"/>
        <v>2261714.649168365</v>
      </c>
      <c r="G83" s="4">
        <f t="shared" si="23"/>
        <v>117113.78393700787</v>
      </c>
      <c r="H83" s="4">
        <f t="shared" si="23"/>
        <v>6426.280619437263</v>
      </c>
      <c r="I83" s="4">
        <f t="shared" si="23"/>
        <v>2305452.761044462</v>
      </c>
      <c r="J83" s="4">
        <f t="shared" si="23"/>
        <v>897296.9226640601</v>
      </c>
      <c r="K83" s="4">
        <f t="shared" si="23"/>
        <v>1238393.5282433734</v>
      </c>
      <c r="L83" s="4">
        <f t="shared" si="23"/>
        <v>1710917.1651588732</v>
      </c>
      <c r="M83" s="4">
        <f t="shared" si="23"/>
        <v>350180.3139968483</v>
      </c>
      <c r="N83" s="4">
        <f t="shared" si="23"/>
        <v>65507.71960360393</v>
      </c>
    </row>
    <row r="84" spans="1:14" ht="12.75">
      <c r="A84" s="11" t="s">
        <v>27</v>
      </c>
      <c r="B84" s="14">
        <f>SUM(C84:N84)</f>
        <v>7499899</v>
      </c>
      <c r="C84" s="45">
        <v>872100</v>
      </c>
      <c r="D84" s="45">
        <v>923943</v>
      </c>
      <c r="E84" s="45">
        <v>1024035</v>
      </c>
      <c r="F84" s="45">
        <v>186626</v>
      </c>
      <c r="G84" s="45">
        <v>40673</v>
      </c>
      <c r="H84" s="45">
        <v>-51371</v>
      </c>
      <c r="I84" s="45">
        <v>0</v>
      </c>
      <c r="J84" s="45">
        <v>746061</v>
      </c>
      <c r="K84" s="45">
        <v>962991</v>
      </c>
      <c r="L84" s="45">
        <v>310557</v>
      </c>
      <c r="M84" s="45">
        <v>991369</v>
      </c>
      <c r="N84" s="45">
        <v>1492915</v>
      </c>
    </row>
    <row r="85" spans="1:14" ht="12.75">
      <c r="A85" s="11" t="s">
        <v>28</v>
      </c>
      <c r="B85" s="14">
        <f>SUM(C85:N85)</f>
        <v>9605369</v>
      </c>
      <c r="C85" s="39">
        <v>963808</v>
      </c>
      <c r="D85" s="39">
        <v>909218</v>
      </c>
      <c r="E85" s="39">
        <v>976372</v>
      </c>
      <c r="F85" s="39">
        <v>937983</v>
      </c>
      <c r="G85" s="39">
        <v>70701</v>
      </c>
      <c r="H85" s="39">
        <v>0</v>
      </c>
      <c r="I85" s="39">
        <v>907141</v>
      </c>
      <c r="J85" s="39">
        <v>968779</v>
      </c>
      <c r="K85" s="39">
        <v>945888</v>
      </c>
      <c r="L85" s="39">
        <v>985759</v>
      </c>
      <c r="M85" s="39">
        <v>953961</v>
      </c>
      <c r="N85" s="39">
        <v>985759</v>
      </c>
    </row>
    <row r="86" spans="1:14" ht="12.75">
      <c r="A86" s="11" t="s">
        <v>40</v>
      </c>
      <c r="B86" s="14">
        <f>SUM(C86:N86)</f>
        <v>-2105470</v>
      </c>
      <c r="C86" s="14">
        <f>C84-C85</f>
        <v>-91708</v>
      </c>
      <c r="D86" s="14">
        <f aca="true" t="shared" si="24" ref="D86:N86">D84-D85</f>
        <v>14725</v>
      </c>
      <c r="E86" s="14">
        <f t="shared" si="24"/>
        <v>47663</v>
      </c>
      <c r="F86" s="14">
        <f t="shared" si="24"/>
        <v>-751357</v>
      </c>
      <c r="G86" s="14">
        <f t="shared" si="24"/>
        <v>-30028</v>
      </c>
      <c r="H86" s="14">
        <f t="shared" si="24"/>
        <v>-51371</v>
      </c>
      <c r="I86" s="14">
        <f t="shared" si="24"/>
        <v>-907141</v>
      </c>
      <c r="J86" s="14">
        <f t="shared" si="24"/>
        <v>-222718</v>
      </c>
      <c r="K86" s="14">
        <f t="shared" si="24"/>
        <v>17103</v>
      </c>
      <c r="L86" s="14">
        <f t="shared" si="24"/>
        <v>-675202</v>
      </c>
      <c r="M86" s="14">
        <f t="shared" si="24"/>
        <v>37408</v>
      </c>
      <c r="N86" s="14">
        <f t="shared" si="24"/>
        <v>507156</v>
      </c>
    </row>
    <row r="87" spans="1:14" ht="12.75">
      <c r="A87" s="11"/>
      <c r="B87" s="1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11" t="s">
        <v>29</v>
      </c>
      <c r="B88" s="14">
        <f>SUM(C88:N88)</f>
        <v>7443269.178558287</v>
      </c>
      <c r="C88" s="14">
        <f>C83+C86</f>
        <v>177008.95031644462</v>
      </c>
      <c r="D88" s="14">
        <f aca="true" t="shared" si="25" ref="D88:N88">D83+D86</f>
        <v>64257.48269532764</v>
      </c>
      <c r="E88" s="14">
        <f t="shared" si="25"/>
        <v>325149.6211104827</v>
      </c>
      <c r="F88" s="14">
        <f t="shared" si="25"/>
        <v>1510357.6491683652</v>
      </c>
      <c r="G88" s="14">
        <f t="shared" si="25"/>
        <v>87085.78393700787</v>
      </c>
      <c r="H88" s="14">
        <f t="shared" si="25"/>
        <v>-44944.71938056274</v>
      </c>
      <c r="I88" s="14">
        <f t="shared" si="25"/>
        <v>1398311.7610444622</v>
      </c>
      <c r="J88" s="14">
        <f t="shared" si="25"/>
        <v>674578.9226640601</v>
      </c>
      <c r="K88" s="14">
        <f t="shared" si="25"/>
        <v>1255496.5282433734</v>
      </c>
      <c r="L88" s="14">
        <f t="shared" si="25"/>
        <v>1035715.1651588732</v>
      </c>
      <c r="M88" s="14">
        <f t="shared" si="25"/>
        <v>387588.3139968483</v>
      </c>
      <c r="N88" s="14">
        <f t="shared" si="25"/>
        <v>572663.7196036039</v>
      </c>
    </row>
    <row r="89" spans="1:14" ht="12.75">
      <c r="A89" s="11"/>
      <c r="B89" s="1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15" t="s">
        <v>4</v>
      </c>
      <c r="B90" s="16">
        <f>B88*0.6583</f>
        <v>4899904.100244921</v>
      </c>
      <c r="C90" s="4">
        <f>C88*0.6583</f>
        <v>116524.99199331549</v>
      </c>
      <c r="D90" s="4">
        <f aca="true" t="shared" si="26" ref="D90:N90">D88*0.6583</f>
        <v>42300.70085833419</v>
      </c>
      <c r="E90" s="4">
        <f t="shared" si="26"/>
        <v>214045.9955770308</v>
      </c>
      <c r="F90" s="4">
        <f t="shared" si="26"/>
        <v>994268.4404475348</v>
      </c>
      <c r="G90" s="4">
        <f t="shared" si="26"/>
        <v>57328.57156573228</v>
      </c>
      <c r="H90" s="4">
        <f t="shared" si="26"/>
        <v>-29587.10876822445</v>
      </c>
      <c r="I90" s="4">
        <f t="shared" si="26"/>
        <v>920508.6322955695</v>
      </c>
      <c r="J90" s="4">
        <f t="shared" si="26"/>
        <v>444075.3047897508</v>
      </c>
      <c r="K90" s="4">
        <f t="shared" si="26"/>
        <v>826493.3645426127</v>
      </c>
      <c r="L90" s="4">
        <f t="shared" si="26"/>
        <v>681811.2932240862</v>
      </c>
      <c r="M90" s="4">
        <f t="shared" si="26"/>
        <v>255149.38710412523</v>
      </c>
      <c r="N90" s="4">
        <f t="shared" si="26"/>
        <v>376984.5266150525</v>
      </c>
    </row>
    <row r="91" spans="1:2" ht="12.75">
      <c r="A91" s="11"/>
      <c r="B91" s="40"/>
    </row>
    <row r="92" spans="1:2" ht="12.75">
      <c r="A92" s="11"/>
      <c r="B92" s="41"/>
    </row>
    <row r="93" spans="1:2" ht="12.75">
      <c r="A93" s="10" t="s">
        <v>45</v>
      </c>
      <c r="B93" s="17"/>
    </row>
    <row r="94" spans="1:14" ht="12.75">
      <c r="A94" s="11" t="s">
        <v>46</v>
      </c>
      <c r="B94" s="14">
        <f aca="true" t="shared" si="27" ref="B94:B99">SUM(C94:N94)</f>
        <v>22300548</v>
      </c>
      <c r="C94" s="4">
        <v>1606902</v>
      </c>
      <c r="D94" s="4">
        <v>1538012</v>
      </c>
      <c r="E94" s="4">
        <v>1597504</v>
      </c>
      <c r="F94" s="4">
        <v>1589369</v>
      </c>
      <c r="G94" s="4">
        <v>1831134</v>
      </c>
      <c r="H94" s="4">
        <v>1952614</v>
      </c>
      <c r="I94" s="4">
        <v>1761391</v>
      </c>
      <c r="J94" s="4">
        <v>1681592</v>
      </c>
      <c r="K94" s="4">
        <v>1514526</v>
      </c>
      <c r="L94" s="4">
        <v>1787091</v>
      </c>
      <c r="M94" s="4">
        <v>2624937</v>
      </c>
      <c r="N94" s="4">
        <v>2815476</v>
      </c>
    </row>
    <row r="95" spans="1:14" ht="12.75">
      <c r="A95" s="11" t="s">
        <v>47</v>
      </c>
      <c r="B95" s="14">
        <f t="shared" si="27"/>
        <v>19294945</v>
      </c>
      <c r="C95" s="4">
        <v>1665181</v>
      </c>
      <c r="D95" s="4">
        <v>1563433</v>
      </c>
      <c r="E95" s="4">
        <v>1507095</v>
      </c>
      <c r="F95" s="4">
        <v>1641328</v>
      </c>
      <c r="G95" s="4">
        <v>1645353</v>
      </c>
      <c r="H95" s="4">
        <v>1574597</v>
      </c>
      <c r="I95" s="4">
        <v>1672634</v>
      </c>
      <c r="J95" s="4">
        <v>1556377</v>
      </c>
      <c r="K95" s="4">
        <v>1470671</v>
      </c>
      <c r="L95" s="4">
        <v>1577680</v>
      </c>
      <c r="M95" s="4">
        <v>1658286</v>
      </c>
      <c r="N95" s="4">
        <v>1762310</v>
      </c>
    </row>
    <row r="96" spans="1:2" ht="12.75" customHeight="1">
      <c r="A96" s="11"/>
      <c r="B96" s="12"/>
    </row>
    <row r="97" spans="1:14" ht="12.75">
      <c r="A97" s="11" t="s">
        <v>33</v>
      </c>
      <c r="B97" s="14">
        <f t="shared" si="27"/>
        <v>3005603</v>
      </c>
      <c r="C97" s="42">
        <f aca="true" t="shared" si="28" ref="C97:N97">C94-C95</f>
        <v>-58279</v>
      </c>
      <c r="D97" s="42">
        <f t="shared" si="28"/>
        <v>-25421</v>
      </c>
      <c r="E97" s="42">
        <f t="shared" si="28"/>
        <v>90409</v>
      </c>
      <c r="F97" s="42">
        <f t="shared" si="28"/>
        <v>-51959</v>
      </c>
      <c r="G97" s="42">
        <f t="shared" si="28"/>
        <v>185781</v>
      </c>
      <c r="H97" s="42">
        <f t="shared" si="28"/>
        <v>378017</v>
      </c>
      <c r="I97" s="42">
        <f t="shared" si="28"/>
        <v>88757</v>
      </c>
      <c r="J97" s="42">
        <f t="shared" si="28"/>
        <v>125215</v>
      </c>
      <c r="K97" s="42">
        <f t="shared" si="28"/>
        <v>43855</v>
      </c>
      <c r="L97" s="42">
        <f t="shared" si="28"/>
        <v>209411</v>
      </c>
      <c r="M97" s="42">
        <f t="shared" si="28"/>
        <v>966651</v>
      </c>
      <c r="N97" s="42">
        <f t="shared" si="28"/>
        <v>1053166</v>
      </c>
    </row>
    <row r="98" spans="1:2" ht="12.75">
      <c r="A98" s="11"/>
      <c r="B98" s="12"/>
    </row>
    <row r="99" spans="1:14" ht="14.25" customHeight="1">
      <c r="A99" s="15" t="s">
        <v>4</v>
      </c>
      <c r="B99" s="49">
        <f t="shared" si="27"/>
        <v>1978588.4549</v>
      </c>
      <c r="C99" s="4">
        <f>C97*0.6583</f>
        <v>-38365.0657</v>
      </c>
      <c r="D99" s="4">
        <f aca="true" t="shared" si="29" ref="D99:N99">D97*0.6583</f>
        <v>-16734.6443</v>
      </c>
      <c r="E99" s="4">
        <f t="shared" si="29"/>
        <v>59516.2447</v>
      </c>
      <c r="F99" s="4">
        <f t="shared" si="29"/>
        <v>-34204.6097</v>
      </c>
      <c r="G99" s="4">
        <f t="shared" si="29"/>
        <v>122299.6323</v>
      </c>
      <c r="H99" s="4">
        <f t="shared" si="29"/>
        <v>248848.5911</v>
      </c>
      <c r="I99" s="4">
        <f t="shared" si="29"/>
        <v>58428.7331</v>
      </c>
      <c r="J99" s="4">
        <f t="shared" si="29"/>
        <v>82429.0345</v>
      </c>
      <c r="K99" s="4">
        <f t="shared" si="29"/>
        <v>28869.7465</v>
      </c>
      <c r="L99" s="4">
        <f t="shared" si="29"/>
        <v>137855.2613</v>
      </c>
      <c r="M99" s="4">
        <f t="shared" si="29"/>
        <v>636346.3533</v>
      </c>
      <c r="N99" s="4">
        <f t="shared" si="29"/>
        <v>693299.1778</v>
      </c>
    </row>
    <row r="100" spans="1:2" ht="14.25" customHeight="1">
      <c r="A100" s="11"/>
      <c r="B100" s="43"/>
    </row>
    <row r="101" spans="1:14" ht="12.75">
      <c r="A101" s="10" t="s">
        <v>37</v>
      </c>
      <c r="B101" s="1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11" t="s">
        <v>8</v>
      </c>
      <c r="B102" s="18">
        <f>SUM(C102:N102)</f>
        <v>9231616</v>
      </c>
      <c r="C102" s="2">
        <v>929759</v>
      </c>
      <c r="D102" s="2">
        <v>799025</v>
      </c>
      <c r="E102" s="2">
        <v>798494</v>
      </c>
      <c r="F102" s="2">
        <v>730822</v>
      </c>
      <c r="G102" s="2">
        <v>693621</v>
      </c>
      <c r="H102" s="2">
        <v>678258</v>
      </c>
      <c r="I102" s="2">
        <v>764120</v>
      </c>
      <c r="J102" s="2">
        <v>745712</v>
      </c>
      <c r="K102" s="2">
        <v>673392</v>
      </c>
      <c r="L102" s="2">
        <v>726525</v>
      </c>
      <c r="M102" s="2">
        <v>746122</v>
      </c>
      <c r="N102" s="2">
        <v>945766</v>
      </c>
    </row>
    <row r="103" spans="1:14" ht="12.75">
      <c r="A103" s="11" t="s">
        <v>9</v>
      </c>
      <c r="B103" s="18">
        <f>SUM(C103:N103)</f>
        <v>9351999</v>
      </c>
      <c r="C103" s="44">
        <v>927827</v>
      </c>
      <c r="D103" s="44">
        <v>819939</v>
      </c>
      <c r="E103" s="44">
        <v>835722</v>
      </c>
      <c r="F103" s="44">
        <v>704435</v>
      </c>
      <c r="G103" s="44">
        <v>698833</v>
      </c>
      <c r="H103" s="44">
        <v>688847</v>
      </c>
      <c r="I103" s="44">
        <v>762842</v>
      </c>
      <c r="J103" s="44">
        <v>790994</v>
      </c>
      <c r="K103" s="44">
        <v>695484</v>
      </c>
      <c r="L103" s="44">
        <v>769599</v>
      </c>
      <c r="M103" s="44">
        <v>760344</v>
      </c>
      <c r="N103" s="44">
        <v>897133</v>
      </c>
    </row>
    <row r="104" spans="1:2" ht="9.75" customHeight="1">
      <c r="A104" s="11"/>
      <c r="B104" s="12"/>
    </row>
    <row r="105" spans="1:14" ht="12.75">
      <c r="A105" s="11" t="s">
        <v>6</v>
      </c>
      <c r="B105" s="18">
        <f>SUM(C105:N105)</f>
        <v>-120383</v>
      </c>
      <c r="C105" s="2">
        <f>C102-C103</f>
        <v>1932</v>
      </c>
      <c r="D105" s="2">
        <f aca="true" t="shared" si="30" ref="D105:N105">D102-D103</f>
        <v>-20914</v>
      </c>
      <c r="E105" s="2">
        <f t="shared" si="30"/>
        <v>-37228</v>
      </c>
      <c r="F105" s="2">
        <f t="shared" si="30"/>
        <v>26387</v>
      </c>
      <c r="G105" s="2">
        <f t="shared" si="30"/>
        <v>-5212</v>
      </c>
      <c r="H105" s="2">
        <f t="shared" si="30"/>
        <v>-10589</v>
      </c>
      <c r="I105" s="2">
        <f t="shared" si="30"/>
        <v>1278</v>
      </c>
      <c r="J105" s="2">
        <f t="shared" si="30"/>
        <v>-45282</v>
      </c>
      <c r="K105" s="2">
        <f t="shared" si="30"/>
        <v>-22092</v>
      </c>
      <c r="L105" s="2">
        <f t="shared" si="30"/>
        <v>-43074</v>
      </c>
      <c r="M105" s="2">
        <f t="shared" si="30"/>
        <v>-14222</v>
      </c>
      <c r="N105" s="2">
        <f t="shared" si="30"/>
        <v>48633</v>
      </c>
    </row>
    <row r="106" spans="1:2" ht="12.75" customHeight="1">
      <c r="A106" s="11" t="s">
        <v>7</v>
      </c>
      <c r="B106" s="38">
        <f>B105/8760</f>
        <v>-13.742351598173515</v>
      </c>
    </row>
    <row r="107" spans="1:14" ht="12.75">
      <c r="A107" s="11"/>
      <c r="B107" s="1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11" t="s">
        <v>10</v>
      </c>
      <c r="B108" s="14">
        <f>SUM(C108:N108)</f>
        <v>-8280721.157397212</v>
      </c>
      <c r="C108" s="4">
        <f>IF(C105&lt;0,C$9*C105,C$13*C105)</f>
        <v>124404.41581640377</v>
      </c>
      <c r="D108" s="4">
        <f aca="true" t="shared" si="31" ref="D108:N108">IF(D105&lt;0,D$9*D105,D$13*D105)</f>
        <v>-1415194.4577733364</v>
      </c>
      <c r="E108" s="4">
        <f t="shared" si="31"/>
        <v>-2324020.6818225086</v>
      </c>
      <c r="F108" s="4">
        <f t="shared" si="31"/>
        <v>1431929.5917157333</v>
      </c>
      <c r="G108" s="4">
        <f t="shared" si="31"/>
        <v>-310792.79118110234</v>
      </c>
      <c r="H108" s="4">
        <f t="shared" si="31"/>
        <v>-315036.5068482462</v>
      </c>
      <c r="I108" s="4">
        <f t="shared" si="31"/>
        <v>91217.37590277042</v>
      </c>
      <c r="J108" s="4">
        <f t="shared" si="31"/>
        <v>-3585228.911327448</v>
      </c>
      <c r="K108" s="4">
        <f t="shared" si="31"/>
        <v>-1409727.9242516928</v>
      </c>
      <c r="L108" s="4">
        <f t="shared" si="31"/>
        <v>-2863316.729040846</v>
      </c>
      <c r="M108" s="4">
        <f t="shared" si="31"/>
        <v>-855715.5370555286</v>
      </c>
      <c r="N108" s="4">
        <f t="shared" si="31"/>
        <v>3150760.998468589</v>
      </c>
    </row>
    <row r="109" spans="1:14" ht="12.75">
      <c r="A109" s="11" t="s">
        <v>30</v>
      </c>
      <c r="B109" s="14">
        <f>SUM(C109:N109)</f>
        <v>-5451198.737914585</v>
      </c>
      <c r="C109" s="4">
        <f>C108*0.6583</f>
        <v>81895.4269319386</v>
      </c>
      <c r="D109" s="4">
        <f aca="true" t="shared" si="32" ref="D109:N109">D108*0.6583</f>
        <v>-931622.5115521874</v>
      </c>
      <c r="E109" s="4">
        <f t="shared" si="32"/>
        <v>-1529902.8148437573</v>
      </c>
      <c r="F109" s="4">
        <f t="shared" si="32"/>
        <v>942639.2502264673</v>
      </c>
      <c r="G109" s="4">
        <f t="shared" si="32"/>
        <v>-204594.89443451967</v>
      </c>
      <c r="H109" s="4">
        <f t="shared" si="32"/>
        <v>-207388.53245820047</v>
      </c>
      <c r="I109" s="4">
        <f t="shared" si="32"/>
        <v>60048.39855679377</v>
      </c>
      <c r="J109" s="4">
        <f t="shared" si="32"/>
        <v>-2360156.192326859</v>
      </c>
      <c r="K109" s="4">
        <f t="shared" si="32"/>
        <v>-928023.8925348894</v>
      </c>
      <c r="L109" s="4">
        <f t="shared" si="32"/>
        <v>-1884921.402727589</v>
      </c>
      <c r="M109" s="4">
        <f t="shared" si="32"/>
        <v>-563317.5380436545</v>
      </c>
      <c r="N109" s="4">
        <f t="shared" si="32"/>
        <v>2074145.9652918722</v>
      </c>
    </row>
    <row r="110" spans="1:14" ht="12.75">
      <c r="A110" s="11" t="s">
        <v>12</v>
      </c>
      <c r="B110" s="14">
        <f>SUM(C110:N110)</f>
        <v>6821676</v>
      </c>
      <c r="C110" s="36">
        <v>126425</v>
      </c>
      <c r="D110" s="36">
        <v>-255548</v>
      </c>
      <c r="E110" s="36">
        <v>1606076</v>
      </c>
      <c r="F110" s="36">
        <v>206958</v>
      </c>
      <c r="G110" s="36">
        <v>1303361</v>
      </c>
      <c r="H110" s="36">
        <v>998707</v>
      </c>
      <c r="I110" s="37">
        <v>1047830</v>
      </c>
      <c r="J110" s="37">
        <v>695075</v>
      </c>
      <c r="K110" s="37">
        <v>303217</v>
      </c>
      <c r="L110" s="37">
        <v>1566119</v>
      </c>
      <c r="M110" s="37">
        <v>840776</v>
      </c>
      <c r="N110" s="37">
        <v>-1617320</v>
      </c>
    </row>
    <row r="111" spans="1:14" ht="9" customHeight="1">
      <c r="A111" s="11"/>
      <c r="B111" s="1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15" t="s">
        <v>11</v>
      </c>
      <c r="B112" s="16">
        <f>SUM(C112:N112)</f>
        <v>1370477.2620854154</v>
      </c>
      <c r="C112" s="4">
        <f>C109+C110</f>
        <v>208320.4269319386</v>
      </c>
      <c r="D112" s="4">
        <f aca="true" t="shared" si="33" ref="D112:N112">D109+D110</f>
        <v>-1187170.5115521874</v>
      </c>
      <c r="E112" s="4">
        <f t="shared" si="33"/>
        <v>76173.18515624269</v>
      </c>
      <c r="F112" s="4">
        <f t="shared" si="33"/>
        <v>1149597.2502264674</v>
      </c>
      <c r="G112" s="4">
        <f t="shared" si="33"/>
        <v>1098766.1055654804</v>
      </c>
      <c r="H112" s="4">
        <f t="shared" si="33"/>
        <v>791318.4675417995</v>
      </c>
      <c r="I112" s="4">
        <f t="shared" si="33"/>
        <v>1107878.3985567938</v>
      </c>
      <c r="J112" s="4">
        <f t="shared" si="33"/>
        <v>-1665081.192326859</v>
      </c>
      <c r="K112" s="4">
        <f t="shared" si="33"/>
        <v>-624806.8925348894</v>
      </c>
      <c r="L112" s="4">
        <f t="shared" si="33"/>
        <v>-318802.402727589</v>
      </c>
      <c r="M112" s="4">
        <f t="shared" si="33"/>
        <v>277458.4619563455</v>
      </c>
      <c r="N112" s="4">
        <f t="shared" si="33"/>
        <v>456825.96529187215</v>
      </c>
    </row>
    <row r="113" spans="1:14" ht="8.25" customHeight="1">
      <c r="A113" s="11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5" spans="1:14" ht="12.75">
      <c r="A115" s="20" t="s">
        <v>34</v>
      </c>
      <c r="B115" s="21">
        <f>SUM(C115:N115)</f>
        <v>11509134.202046234</v>
      </c>
      <c r="C115" s="21">
        <f aca="true" t="shared" si="34" ref="C115:N115">C26+C58+C74+C90+C99+C112</f>
        <v>-153624.76105569347</v>
      </c>
      <c r="D115" s="21">
        <f t="shared" si="34"/>
        <v>1684759.469585867</v>
      </c>
      <c r="E115" s="21">
        <f t="shared" si="34"/>
        <v>-238696.8666253527</v>
      </c>
      <c r="F115" s="21">
        <f t="shared" si="34"/>
        <v>9422379.09649915</v>
      </c>
      <c r="G115" s="21">
        <f t="shared" si="34"/>
        <v>2163832.0431990363</v>
      </c>
      <c r="H115" s="21">
        <f t="shared" si="34"/>
        <v>652309.8722345956</v>
      </c>
      <c r="I115" s="21">
        <f t="shared" si="34"/>
        <v>-2482003.4495461285</v>
      </c>
      <c r="J115" s="21">
        <f t="shared" si="34"/>
        <v>-565661.0186286548</v>
      </c>
      <c r="K115" s="21">
        <f t="shared" si="34"/>
        <v>2126269.602511329</v>
      </c>
      <c r="L115" s="21">
        <f t="shared" si="34"/>
        <v>-1814655.8243415435</v>
      </c>
      <c r="M115" s="21">
        <f t="shared" si="34"/>
        <v>-593235.2724110974</v>
      </c>
      <c r="N115" s="21">
        <f t="shared" si="34"/>
        <v>1307461.310624725</v>
      </c>
    </row>
    <row r="116" spans="1:2" ht="12.75">
      <c r="A116" s="11" t="s">
        <v>35</v>
      </c>
      <c r="B116" s="12"/>
    </row>
    <row r="117" spans="1:2" ht="12.75">
      <c r="A117" s="11"/>
      <c r="B117" s="12"/>
    </row>
    <row r="118" spans="1:2" ht="12.75">
      <c r="A118" s="11" t="s">
        <v>15</v>
      </c>
      <c r="B118" s="14">
        <v>14498426</v>
      </c>
    </row>
    <row r="119" spans="1:2" ht="12.75">
      <c r="A119" s="11"/>
      <c r="B119" s="12"/>
    </row>
    <row r="120" spans="1:2" ht="12.75">
      <c r="A120" s="15" t="s">
        <v>13</v>
      </c>
      <c r="B120" s="22">
        <f>B118-B115</f>
        <v>2989291.797953766</v>
      </c>
    </row>
  </sheetData>
  <printOptions/>
  <pageMargins left="0" right="0" top="0" bottom="0" header="0.5" footer="0.5"/>
  <pageSetup horizontalDpi="600" verticalDpi="600" orientation="landscape" scale="74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I47"/>
  <sheetViews>
    <sheetView tabSelected="1" workbookViewId="0" topLeftCell="E24">
      <selection activeCell="K41" sqref="K41"/>
    </sheetView>
  </sheetViews>
  <sheetFormatPr defaultColWidth="9.140625" defaultRowHeight="12.75"/>
  <cols>
    <col min="3" max="3" width="60.421875" style="0" customWidth="1"/>
    <col min="4" max="4" width="2.8515625" style="0" customWidth="1"/>
    <col min="5" max="5" width="13.8515625" style="0" bestFit="1" customWidth="1"/>
    <col min="7" max="7" width="49.28125" style="0" customWidth="1"/>
  </cols>
  <sheetData>
    <row r="1" ht="13.5" thickBot="1"/>
    <row r="2" spans="3:5" ht="12.75">
      <c r="C2" s="62" t="s">
        <v>38</v>
      </c>
      <c r="D2" s="63"/>
      <c r="E2" s="64"/>
    </row>
    <row r="3" spans="3:5" ht="12.75">
      <c r="C3" s="65" t="s">
        <v>43</v>
      </c>
      <c r="D3" s="66"/>
      <c r="E3" s="67"/>
    </row>
    <row r="4" spans="3:5" ht="12.75">
      <c r="C4" s="24"/>
      <c r="D4" s="8"/>
      <c r="E4" s="25"/>
    </row>
    <row r="5" spans="3:5" ht="12.75">
      <c r="C5" s="24" t="s">
        <v>66</v>
      </c>
      <c r="D5" s="8"/>
      <c r="E5" s="26">
        <f>Calculation!B26</f>
        <v>1228333.2416297568</v>
      </c>
    </row>
    <row r="6" spans="3:5" ht="6.75" customHeight="1">
      <c r="C6" s="24"/>
      <c r="D6" s="8"/>
      <c r="E6" s="26"/>
    </row>
    <row r="7" spans="3:5" ht="12.75">
      <c r="C7" s="24" t="s">
        <v>70</v>
      </c>
      <c r="D7" s="8"/>
      <c r="E7" s="26">
        <f>Calculation!B58</f>
        <v>585311.1943240617</v>
      </c>
    </row>
    <row r="8" spans="3:5" ht="6.75" customHeight="1">
      <c r="C8" s="24"/>
      <c r="D8" s="8"/>
      <c r="E8" s="26"/>
    </row>
    <row r="9" spans="3:5" ht="12.75" customHeight="1">
      <c r="C9" s="24" t="s">
        <v>71</v>
      </c>
      <c r="D9" s="8"/>
      <c r="E9" s="26">
        <f>Calculation!B74</f>
        <v>1446519.948862081</v>
      </c>
    </row>
    <row r="10" spans="3:5" ht="6.75" customHeight="1">
      <c r="C10" s="24"/>
      <c r="D10" s="8"/>
      <c r="E10" s="26"/>
    </row>
    <row r="11" spans="3:5" ht="12.75" customHeight="1">
      <c r="C11" s="24" t="s">
        <v>72</v>
      </c>
      <c r="D11" s="8"/>
      <c r="E11" s="26">
        <f>Calculation!B90</f>
        <v>4899904.100244921</v>
      </c>
    </row>
    <row r="12" spans="3:5" ht="6.75" customHeight="1">
      <c r="C12" s="24"/>
      <c r="D12" s="8"/>
      <c r="E12" s="26"/>
    </row>
    <row r="13" spans="3:5" ht="12.75" customHeight="1">
      <c r="C13" s="24" t="s">
        <v>69</v>
      </c>
      <c r="D13" s="8"/>
      <c r="E13" s="26">
        <f>Calculation!B99+0.1</f>
        <v>1978588.5549</v>
      </c>
    </row>
    <row r="14" spans="3:5" ht="6.75" customHeight="1">
      <c r="C14" s="24"/>
      <c r="D14" s="8"/>
      <c r="E14" s="26"/>
    </row>
    <row r="15" spans="3:5" ht="12.75" customHeight="1">
      <c r="C15" s="24" t="s">
        <v>67</v>
      </c>
      <c r="D15" s="8"/>
      <c r="E15" s="26">
        <f>Calculation!B112+0.3</f>
        <v>1370477.5620854155</v>
      </c>
    </row>
    <row r="16" spans="3:5" ht="6.75" customHeight="1">
      <c r="C16" s="24"/>
      <c r="D16" s="8"/>
      <c r="E16" s="26"/>
    </row>
    <row r="17" spans="3:5" ht="12.75">
      <c r="C17" s="27" t="s">
        <v>68</v>
      </c>
      <c r="D17" s="23"/>
      <c r="E17" s="28">
        <f>Calculation!B120-1</f>
        <v>2989290.797953766</v>
      </c>
    </row>
    <row r="18" spans="3:5" ht="8.25" customHeight="1">
      <c r="C18" s="24"/>
      <c r="D18" s="8"/>
      <c r="E18" s="26"/>
    </row>
    <row r="19" spans="3:5" ht="13.5" thickBot="1">
      <c r="C19" s="29" t="s">
        <v>42</v>
      </c>
      <c r="D19" s="30"/>
      <c r="E19" s="31">
        <f>SUM(E5:E17)+1</f>
        <v>14498426.400000002</v>
      </c>
    </row>
    <row r="20" ht="13.5" thickBot="1"/>
    <row r="21" spans="7:9" ht="12.75">
      <c r="G21" s="62" t="s">
        <v>79</v>
      </c>
      <c r="H21" s="63"/>
      <c r="I21" s="64"/>
    </row>
    <row r="22" spans="7:9" ht="12.75">
      <c r="G22" s="65"/>
      <c r="H22" s="66"/>
      <c r="I22" s="67"/>
    </row>
    <row r="23" spans="7:9" ht="12.75">
      <c r="G23" s="51"/>
      <c r="H23" s="55" t="s">
        <v>77</v>
      </c>
      <c r="I23" s="56" t="s">
        <v>77</v>
      </c>
    </row>
    <row r="24" spans="7:9" ht="12.75">
      <c r="G24" s="24"/>
      <c r="H24" s="54" t="s">
        <v>73</v>
      </c>
      <c r="I24" s="57" t="s">
        <v>78</v>
      </c>
    </row>
    <row r="25" spans="7:9" ht="12.75">
      <c r="G25" s="24"/>
      <c r="H25" s="53"/>
      <c r="I25" s="58"/>
    </row>
    <row r="26" spans="7:9" ht="12.75">
      <c r="G26" s="24" t="s">
        <v>66</v>
      </c>
      <c r="H26" s="52">
        <f>Calculation!B22</f>
        <v>1.020890410958904</v>
      </c>
      <c r="I26" s="59">
        <f>Calculation!B21/Calculation!B19</f>
        <v>0.001924631408228461</v>
      </c>
    </row>
    <row r="27" spans="7:9" ht="12.75">
      <c r="G27" s="24"/>
      <c r="H27" s="52"/>
      <c r="I27" s="58"/>
    </row>
    <row r="28" spans="7:9" ht="12.75">
      <c r="G28" s="24" t="s">
        <v>74</v>
      </c>
      <c r="H28" s="52">
        <f>Calculation!B49</f>
        <v>56.227625570776254</v>
      </c>
      <c r="I28" s="59">
        <f>Calculation!B48/Calculation!B46</f>
        <v>0.39646831740389615</v>
      </c>
    </row>
    <row r="29" spans="7:9" ht="12.75">
      <c r="G29" s="24"/>
      <c r="H29" s="52"/>
      <c r="I29" s="58"/>
    </row>
    <row r="30" spans="7:9" ht="12.75">
      <c r="G30" s="24" t="s">
        <v>75</v>
      </c>
      <c r="H30" s="52">
        <f>Calculation!B65</f>
        <v>3.7023972602739725</v>
      </c>
      <c r="I30" s="59">
        <f>Calculation!B64/Calculation!B62</f>
        <v>0.018799276152805487</v>
      </c>
    </row>
    <row r="31" spans="7:9" ht="12.75">
      <c r="G31" s="24"/>
      <c r="H31" s="52"/>
      <c r="I31" s="58"/>
    </row>
    <row r="32" spans="7:9" ht="12.75">
      <c r="G32" s="24" t="s">
        <v>76</v>
      </c>
      <c r="H32" s="52">
        <f>Calculation!B81</f>
        <v>-15.250114155251142</v>
      </c>
      <c r="I32" s="59">
        <f>Calculation!B80/Calculation!B78</f>
        <v>-0.3999562892573365</v>
      </c>
    </row>
    <row r="33" spans="7:9" ht="12.75">
      <c r="G33" s="24"/>
      <c r="H33" s="52"/>
      <c r="I33" s="58"/>
    </row>
    <row r="34" spans="7:9" ht="13.5" thickBot="1">
      <c r="G34" s="29" t="s">
        <v>67</v>
      </c>
      <c r="H34" s="60">
        <f>Calculation!B106</f>
        <v>-13.742351598173515</v>
      </c>
      <c r="I34" s="61">
        <f>Calculation!B105/Calculation!B103</f>
        <v>-0.01287243508045713</v>
      </c>
    </row>
    <row r="37" ht="13.5" thickBot="1"/>
    <row r="38" spans="7:9" ht="12.75">
      <c r="G38" s="62" t="s">
        <v>80</v>
      </c>
      <c r="H38" s="64"/>
      <c r="I38" s="69"/>
    </row>
    <row r="39" spans="7:9" ht="12.75">
      <c r="G39" s="70"/>
      <c r="H39" s="71"/>
      <c r="I39" s="69"/>
    </row>
    <row r="40" spans="7:9" ht="12.75">
      <c r="G40" s="24"/>
      <c r="H40" s="72"/>
      <c r="I40" s="53"/>
    </row>
    <row r="41" spans="7:9" ht="12.75">
      <c r="G41" s="24" t="s">
        <v>81</v>
      </c>
      <c r="H41" s="59">
        <v>0.979</v>
      </c>
      <c r="I41" s="68"/>
    </row>
    <row r="42" spans="7:9" ht="12.75">
      <c r="G42" s="24"/>
      <c r="H42" s="72"/>
      <c r="I42" s="53"/>
    </row>
    <row r="43" spans="7:9" ht="12.75">
      <c r="G43" s="24" t="s">
        <v>82</v>
      </c>
      <c r="H43" s="59">
        <v>0.962</v>
      </c>
      <c r="I43" s="68"/>
    </row>
    <row r="44" spans="7:9" ht="12.75">
      <c r="G44" s="24"/>
      <c r="H44" s="59"/>
      <c r="I44" s="53"/>
    </row>
    <row r="45" spans="7:9" ht="12.75">
      <c r="G45" s="24" t="s">
        <v>83</v>
      </c>
      <c r="H45" s="59">
        <v>0.836</v>
      </c>
      <c r="I45" s="68"/>
    </row>
    <row r="46" spans="7:9" ht="12.75">
      <c r="G46" s="24"/>
      <c r="H46" s="59"/>
      <c r="I46" s="53"/>
    </row>
    <row r="47" spans="7:9" ht="13.5" thickBot="1">
      <c r="G47" s="29" t="s">
        <v>36</v>
      </c>
      <c r="H47" s="61">
        <v>0.9962</v>
      </c>
      <c r="I47" s="68"/>
    </row>
  </sheetData>
  <mergeCells count="5">
    <mergeCell ref="G38:H38"/>
    <mergeCell ref="C2:E2"/>
    <mergeCell ref="C3:E3"/>
    <mergeCell ref="G21:I21"/>
    <mergeCell ref="G22:I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bj4046</dc:creator>
  <cp:keywords/>
  <dc:description/>
  <cp:lastModifiedBy>bj4046</cp:lastModifiedBy>
  <cp:lastPrinted>2008-03-10T17:17:11Z</cp:lastPrinted>
  <dcterms:created xsi:type="dcterms:W3CDTF">2006-03-02T19:40:17Z</dcterms:created>
  <dcterms:modified xsi:type="dcterms:W3CDTF">2009-03-04T22:51:37Z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090452</vt:lpwstr>
  </property>
  <property fmtid="{D5CDD505-2E9C-101B-9397-08002B2CF9AE}" pid="6" name="IsConfidenti">
    <vt:lpwstr>0</vt:lpwstr>
  </property>
  <property fmtid="{D5CDD505-2E9C-101B-9397-08002B2CF9AE}" pid="7" name="Dat">
    <vt:lpwstr>2009-03-27T00:00:00Z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2009-03-27T00:00:00Z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