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B80F6F8-DE15-4AC6-BB01-B1777A21F235}" xr6:coauthVersionLast="47" xr6:coauthVersionMax="47" xr10:uidLastSave="{00000000-0000-0000-0000-000000000000}"/>
  <bookViews>
    <workbookView xWindow="-20610" yWindow="3015" windowWidth="20730" windowHeight="11160" tabRatio="854" firstSheet="1" activeTab="7" xr2:uid="{00000000-000D-0000-FFFF-FFFF00000000}"/>
  </bookViews>
  <sheets>
    <sheet name="Summary" sheetId="12834" r:id="rId1"/>
    <sheet name="Sch.16 Bill Comparisons wRiders" sheetId="12835" r:id="rId2"/>
    <sheet name="Sch.16,17,19" sheetId="12820" r:id="rId3"/>
    <sheet name="Sch.24" sheetId="12821" r:id="rId4"/>
    <sheet name="Sch.29,36" sheetId="12822" r:id="rId5"/>
    <sheet name="Sch.48T" sheetId="12825" r:id="rId6"/>
    <sheet name="Sch.48T-DF" sheetId="12826" r:id="rId7"/>
    <sheet name="Sch.47T" sheetId="12824" r:id="rId8"/>
    <sheet name="Sch.40" sheetId="12823" r:id="rId9"/>
    <sheet name="Sch.15,51,53,54" sheetId="12827" r:id="rId10"/>
    <sheet name="Cost of Service and Proposed $" sheetId="12833" r:id="rId11"/>
    <sheet name="Normalized Units" sheetId="12817" r:id="rId12"/>
    <sheet name="AutoPay&amp;Paperless" sheetId="12831" r:id="rId13"/>
    <sheet name="Unbilled" sheetId="12830" r:id="rId14"/>
    <sheet name="Normalized Summary" sheetId="12818" r:id="rId15"/>
    <sheet name="Sch.24,29,36,40 Customers" sheetId="12816" r:id="rId16"/>
    <sheet name="Sch.40 Bills" sheetId="12819" r:id="rId17"/>
    <sheet name="RVN" sheetId="12811" r:id="rId18"/>
    <sheet name="Code" sheetId="1279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0" hidden="1">{#N/A,#N/A,FALSE,"CRPT";#N/A,#N/A,FALSE,"TREND";#N/A,#N/A,FALSE,"%Curve"}</definedName>
    <definedName name="__________________six6" localSheetId="15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0" hidden="1">{#N/A,#N/A,FALSE,"schA"}</definedName>
    <definedName name="__________________www1" localSheetId="15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0" hidden="1">{#N/A,#N/A,FALSE,"CRPT";#N/A,#N/A,FALSE,"TREND";#N/A,#N/A,FALSE,"%Curve"}</definedName>
    <definedName name="_________________six6" localSheetId="15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0" hidden="1">{#N/A,#N/A,FALSE,"schA"}</definedName>
    <definedName name="_________________www1" localSheetId="15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0" hidden="1">{#N/A,#N/A,FALSE,"CRPT";#N/A,#N/A,FALSE,"TREND";#N/A,#N/A,FALSE,"%Curve"}</definedName>
    <definedName name="________________six6" localSheetId="15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0" hidden="1">{#N/A,#N/A,FALSE,"schA"}</definedName>
    <definedName name="________________www1" localSheetId="15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0" hidden="1">{#N/A,#N/A,FALSE,"CRPT";#N/A,#N/A,FALSE,"TREND";#N/A,#N/A,FALSE,"%Curve"}</definedName>
    <definedName name="_______________six6" localSheetId="15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0" hidden="1">{#N/A,#N/A,FALSE,"schA"}</definedName>
    <definedName name="_______________www1" localSheetId="15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0" hidden="1">{#N/A,#N/A,FALSE,"CRPT";#N/A,#N/A,FALSE,"TREND";#N/A,#N/A,FALSE,"%Curve"}</definedName>
    <definedName name="______________six6" localSheetId="15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0" hidden="1">{#N/A,#N/A,FALSE,"schA"}</definedName>
    <definedName name="______________www1" localSheetId="15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0" hidden="1">{#N/A,#N/A,FALSE,"CRPT";#N/A,#N/A,FALSE,"TREND";#N/A,#N/A,FALSE,"%Curve"}</definedName>
    <definedName name="_____________six6" localSheetId="15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0" hidden="1">{#N/A,#N/A,FALSE,"schA"}</definedName>
    <definedName name="_____________www1" localSheetId="15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0" hidden="1">{#N/A,#N/A,FALSE,"CRPT";#N/A,#N/A,FALSE,"TREND";#N/A,#N/A,FALSE,"%Curve"}</definedName>
    <definedName name="____________six6" localSheetId="15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0" hidden="1">{#N/A,#N/A,FALSE,"schA"}</definedName>
    <definedName name="____________www1" localSheetId="15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localSheetId="15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0" hidden="1">{#N/A,#N/A,FALSE,"CRPT";#N/A,#N/A,FALSE,"TREND";#N/A,#N/A,FALSE,"%Curve"}</definedName>
    <definedName name="___________six6" localSheetId="15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0" hidden="1">{#N/A,#N/A,FALSE,"schA"}</definedName>
    <definedName name="___________www1" localSheetId="15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0" hidden="1">{#N/A,#N/A,FALSE,"CRPT";#N/A,#N/A,FALSE,"TREND";#N/A,#N/A,FALSE,"%Curve"}</definedName>
    <definedName name="__________six6" localSheetId="15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0" hidden="1">{#N/A,#N/A,FALSE,"schA"}</definedName>
    <definedName name="__________www1" localSheetId="15" hidden="1">{#N/A,#N/A,FALSE,"schA"}</definedName>
    <definedName name="__________www1" localSheetId="0" hidden="1">{#N/A,#N/A,FALSE,"schA"}</definedName>
    <definedName name="__________www1" hidden="1">{#N/A,#N/A,FALSE,"schA"}</definedName>
    <definedName name="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localSheetId="15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0" hidden="1">{#N/A,#N/A,FALSE,"CRPT";#N/A,#N/A,FALSE,"TREND";#N/A,#N/A,FALSE,"%Curve"}</definedName>
    <definedName name="_________six6" localSheetId="15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0" hidden="1">{#N/A,#N/A,FALSE,"schA"}</definedName>
    <definedName name="_________www1" localSheetId="15" hidden="1">{#N/A,#N/A,FALSE,"schA"}</definedName>
    <definedName name="_________www1" localSheetId="0" hidden="1">{#N/A,#N/A,FALSE,"schA"}</definedName>
    <definedName name="_________www1" hidden="1">{#N/A,#N/A,FALSE,"schA"}</definedName>
    <definedName name="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0" hidden="1">{#N/A,#N/A,FALSE,"CRPT";#N/A,#N/A,FALSE,"TREND";#N/A,#N/A,FALSE,"%Curve"}</definedName>
    <definedName name="________six6" localSheetId="15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0" hidden="1">{#N/A,#N/A,FALSE,"schA"}</definedName>
    <definedName name="________www1" localSheetId="15" hidden="1">{#N/A,#N/A,FALSE,"schA"}</definedName>
    <definedName name="________www1" localSheetId="0" hidden="1">{#N/A,#N/A,FALSE,"schA"}</definedName>
    <definedName name="________www1" hidden="1">{#N/A,#N/A,FALSE,"schA"}</definedName>
    <definedName name="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localSheetId="15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0" hidden="1">{#N/A,#N/A,FALSE,"CRPT";#N/A,#N/A,FALSE,"TREND";#N/A,#N/A,FALSE,"%Curve"}</definedName>
    <definedName name="_______six6" localSheetId="15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0" hidden="1">{#N/A,#N/A,FALSE,"schA"}</definedName>
    <definedName name="_______www1" localSheetId="15" hidden="1">{#N/A,#N/A,FALSE,"schA"}</definedName>
    <definedName name="_______www1" localSheetId="0" hidden="1">{#N/A,#N/A,FALSE,"schA"}</definedName>
    <definedName name="_______www1" hidden="1">{#N/A,#N/A,FALSE,"schA"}</definedName>
    <definedName name="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0" hidden="1">{#N/A,#N/A,FALSE,"Summary";#N/A,#N/A,FALSE,"SmPlants";#N/A,#N/A,FALSE,"Utah";#N/A,#N/A,FALSE,"Idaho";#N/A,#N/A,FALSE,"Lewis River";#N/A,#N/A,FALSE,"NrthUmpq";#N/A,#N/A,FALSE,"KlamRog"}</definedName>
    <definedName name="______OM1" localSheetId="15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0" hidden="1">{#N/A,#N/A,FALSE,"CRPT";#N/A,#N/A,FALSE,"TREND";#N/A,#N/A,FALSE,"%Curve"}</definedName>
    <definedName name="______six6" localSheetId="15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0" hidden="1">{#N/A,#N/A,FALSE,"schA"}</definedName>
    <definedName name="______www1" localSheetId="15" hidden="1">{#N/A,#N/A,FALSE,"schA"}</definedName>
    <definedName name="______www1" localSheetId="0" hidden="1">{#N/A,#N/A,FALSE,"schA"}</definedName>
    <definedName name="______www1" hidden="1">{#N/A,#N/A,FALSE,"schA"}</definedName>
    <definedName name="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localSheetId="15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0" hidden="1">{#N/A,#N/A,FALSE,"CRPT";#N/A,#N/A,FALSE,"TREND";#N/A,#N/A,FALSE,"%Curve"}</definedName>
    <definedName name="_____six6" localSheetId="15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0" hidden="1">{#N/A,#N/A,FALSE,"schA"}</definedName>
    <definedName name="_____www1" localSheetId="15" hidden="1">{#N/A,#N/A,FALSE,"schA"}</definedName>
    <definedName name="_____www1" localSheetId="0" hidden="1">{#N/A,#N/A,FALSE,"schA"}</definedName>
    <definedName name="_____www1" hidden="1">{#N/A,#N/A,FALSE,"schA"}</definedName>
    <definedName name="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localSheetId="15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0" hidden="1">{#N/A,#N/A,FALSE,"CRPT";#N/A,#N/A,FALSE,"TREND";#N/A,#N/A,FALSE,"%Curve"}</definedName>
    <definedName name="____six6" localSheetId="15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0" hidden="1">{#N/A,#N/A,FALSE,"schA"}</definedName>
    <definedName name="____www1" localSheetId="15" hidden="1">{#N/A,#N/A,FALSE,"schA"}</definedName>
    <definedName name="____www1" localSheetId="0" hidden="1">{#N/A,#N/A,FALSE,"schA"}</definedName>
    <definedName name="____www1" hidden="1">{#N/A,#N/A,FALSE,"schA"}</definedName>
    <definedName name="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0" hidden="1">{#N/A,#N/A,FALSE,"Summary";#N/A,#N/A,FALSE,"SmPlants";#N/A,#N/A,FALSE,"Utah";#N/A,#N/A,FALSE,"Idaho";#N/A,#N/A,FALSE,"Lewis River";#N/A,#N/A,FALSE,"NrthUmpq";#N/A,#N/A,FALSE,"KlamRog"}</definedName>
    <definedName name="___OM1" localSheetId="15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0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0" hidden="1">{#N/A,#N/A,FALSE,"schA"}</definedName>
    <definedName name="___www1" localSheetId="15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hidden="1">[3]Inputs!#REF!</definedName>
    <definedName name="__123Graph_E" hidden="1">[4]Input!$E$22:$E$37</definedName>
    <definedName name="__123Graph_ECURRENT" localSheetId="10" hidden="1">[5]ConsolidatingPL!#REF!</definedName>
    <definedName name="__123Graph_ECURRENT" localSheetId="15" hidden="1">[5]ConsolidatingPL!#REF!</definedName>
    <definedName name="__123Graph_ECURRENT" localSheetId="0" hidden="1">[5]ConsolidatingPL!#REF!</definedName>
    <definedName name="__123Graph_ECURRENT" hidden="1">[5]ConsolidatingPL!#REF!</definedName>
    <definedName name="__123Graph_F" hidden="1">[4]Input!$D$22:$D$37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localSheetId="15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0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0" hidden="1">{#N/A,#N/A,FALSE,"schA"}</definedName>
    <definedName name="__www1" localSheetId="15" hidden="1">{#N/A,#N/A,FALSE,"schA"}</definedName>
    <definedName name="__www1" localSheetId="0" hidden="1">{#N/A,#N/A,FALSE,"schA"}</definedName>
    <definedName name="__www1" hidden="1">{#N/A,#N/A,FALSE,"schA"}</definedName>
    <definedName name="_1Price_Ta">#REF!</definedName>
    <definedName name="_2Price_Ta">#REF!</definedName>
    <definedName name="_B">'[6]Rate Design'!#REF!</definedName>
    <definedName name="_ex1" localSheetId="10" hidden="1">{#N/A,#N/A,FALSE,"Summ";#N/A,#N/A,FALSE,"General"}</definedName>
    <definedName name="_ex1" localSheetId="15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0" hidden="1">#REF!</definedName>
    <definedName name="_Fill" localSheetId="15" hidden="1">#REF!</definedName>
    <definedName name="_Fill" localSheetId="0" hidden="1">#REF!</definedName>
    <definedName name="_Fill" hidden="1">#REF!</definedName>
    <definedName name="_xlnm._FilterDatabase" localSheetId="18" hidden="1">Code!$A$1:$B$79</definedName>
    <definedName name="_xlnm._FilterDatabase" localSheetId="10" hidden="1">#REF!</definedName>
    <definedName name="_xlnm._FilterDatabase" localSheetId="17" hidden="1">RVN!$A$2:$J$151</definedName>
    <definedName name="_xlnm._FilterDatabase" localSheetId="15" hidden="1">#REF!</definedName>
    <definedName name="_xlnm._FilterDatabase" localSheetId="0" hidden="1">#REF!</definedName>
    <definedName name="_xlnm._FilterDatabase" hidden="1">#REF!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localSheetId="15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localSheetId="15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localSheetId="15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localSheetId="15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localSheetId="15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0" hidden="1">#REF!</definedName>
    <definedName name="_Key1" localSheetId="15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10" hidden="1">{#N/A,#N/A,FALSE,"Summ";#N/A,#N/A,FALSE,"General"}</definedName>
    <definedName name="_new1" localSheetId="15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localSheetId="15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>#REF!</definedName>
    <definedName name="_Regression_Int" hidden="1">1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_six6" localSheetId="10" hidden="1">{#N/A,#N/A,FALSE,"CRPT";#N/A,#N/A,FALSE,"TREND";#N/A,#N/A,FALSE,"%Curve"}</definedName>
    <definedName name="_six6" localSheetId="15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15" hidden="1">#REF!</definedName>
    <definedName name="_Sort" localSheetId="0" hidden="1">#REF!</definedName>
    <definedName name="_Sort" hidden="1">#REF!</definedName>
    <definedName name="_TOP1">[1]Jan!#REF!</definedName>
    <definedName name="_www1" localSheetId="10" hidden="1">{#N/A,#N/A,FALSE,"schA"}</definedName>
    <definedName name="_www1" localSheetId="15" hidden="1">{#N/A,#N/A,FALSE,"schA"}</definedName>
    <definedName name="_www1" localSheetId="0" hidden="1">{#N/A,#N/A,FALSE,"schA"}</definedName>
    <definedName name="_www1" hidden="1">{#N/A,#N/A,FALSE,"schA"}</definedName>
    <definedName name="_x1" localSheetId="10" hidden="1">{"PRINT",#N/A,TRUE,"APPA";"PRINT",#N/A,TRUE,"APS";"PRINT",#N/A,TRUE,"BHPL";"PRINT",#N/A,TRUE,"BHPL2";"PRINT",#N/A,TRUE,"CDWR";"PRINT",#N/A,TRUE,"EWEB";"PRINT",#N/A,TRUE,"LADWP";"PRINT",#N/A,TRUE,"NEVBASE"}</definedName>
    <definedName name="_x1" localSheetId="15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0" hidden="1">{"PRINT",#N/A,TRUE,"APPA";"PRINT",#N/A,TRUE,"APS";"PRINT",#N/A,TRUE,"BHPL";"PRINT",#N/A,TRUE,"BHPL2";"PRINT",#N/A,TRUE,"CDWR";"PRINT",#N/A,TRUE,"EWEB";"PRINT",#N/A,TRUE,"LADWP";"PRINT",#N/A,TRUE,"NEVBASE"}</definedName>
    <definedName name="_x2" localSheetId="15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0" hidden="1">{"PRINT",#N/A,TRUE,"APPA";"PRINT",#N/A,TRUE,"APS";"PRINT",#N/A,TRUE,"BHPL";"PRINT",#N/A,TRUE,"BHPL2";"PRINT",#N/A,TRUE,"CDWR";"PRINT",#N/A,TRUE,"EWEB";"PRINT",#N/A,TRUE,"LADWP";"PRINT",#N/A,TRUE,"NEVBASE"}</definedName>
    <definedName name="_x3" localSheetId="15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0" hidden="1">{"PRINT",#N/A,TRUE,"APPA";"PRINT",#N/A,TRUE,"APS";"PRINT",#N/A,TRUE,"BHPL";"PRINT",#N/A,TRUE,"BHPL2";"PRINT",#N/A,TRUE,"CDWR";"PRINT",#N/A,TRUE,"EWEB";"PRINT",#N/A,TRUE,"LADWP";"PRINT",#N/A,TRUE,"NEVBASE"}</definedName>
    <definedName name="_x4" localSheetId="15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0" hidden="1">{"PRINT",#N/A,TRUE,"APPA";"PRINT",#N/A,TRUE,"APS";"PRINT",#N/A,TRUE,"BHPL";"PRINT",#N/A,TRUE,"BHPL2";"PRINT",#N/A,TRUE,"CDWR";"PRINT",#N/A,TRUE,"EWEB";"PRINT",#N/A,TRUE,"LADWP";"PRINT",#N/A,TRUE,"NEVBASE"}</definedName>
    <definedName name="_x5" localSheetId="15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5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'[7]Func Study'!#REF!</definedName>
    <definedName name="Acct108364S">'[7]Func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>'[10]Functional Study'!#REF!</definedName>
    <definedName name="Acct41011BADDEBT">'[10]Functional Study'!#REF!</definedName>
    <definedName name="Acct41011DITEXP">'[10]Functional Study'!#REF!</definedName>
    <definedName name="Acct41011S">'[10]Functional Study'!#REF!</definedName>
    <definedName name="Acct41011SE">'[10]Functional Study'!#REF!</definedName>
    <definedName name="Acct41011SG1">'[10]Functional Study'!#REF!</definedName>
    <definedName name="Acct41011SG2">'[10]Functional Study'!#REF!</definedName>
    <definedName name="ACCT41011SGCT">'[10]Functional Study'!#REF!</definedName>
    <definedName name="Acct41011SGPP">'[10]Functional Study'!#REF!</definedName>
    <definedName name="Acct41011SNP">'[10]Functional Study'!#REF!</definedName>
    <definedName name="ACCT41011SNPD">'[10]Functional Study'!#REF!</definedName>
    <definedName name="Acct41011SO">'[10]Functional Study'!#REF!</definedName>
    <definedName name="Acct41011TROJP">'[10]Functional Study'!#REF!</definedName>
    <definedName name="Acct41111">'[10]Functional Study'!#REF!</definedName>
    <definedName name="Acct41111BADDEBT">'[10]Functional Study'!#REF!</definedName>
    <definedName name="Acct41111DITEXP">'[10]Functional Study'!#REF!</definedName>
    <definedName name="Acct41111S">'[10]Functional Study'!#REF!</definedName>
    <definedName name="Acct41111SE">'[10]Functional Study'!#REF!</definedName>
    <definedName name="Acct41111SG1">'[10]Functional Study'!#REF!</definedName>
    <definedName name="Acct41111SG2">'[10]Functional Study'!#REF!</definedName>
    <definedName name="Acct41111SG3">'[10]Functional Study'!#REF!</definedName>
    <definedName name="Acct41111SGPP">'[10]Functional Study'!#REF!</definedName>
    <definedName name="Acct41111SNP">'[10]Functional Study'!#REF!</definedName>
    <definedName name="Acct41111SNTP">'[10]Functional Study'!#REF!</definedName>
    <definedName name="Acct41111SO">'[10]Functional Study'!#REF!</definedName>
    <definedName name="Acct41111TROJP">'[10]Functional Study'!#REF!</definedName>
    <definedName name="Acct411BADDEBT">'[10]Functional Study'!#REF!</definedName>
    <definedName name="Acct411DGP">'[10]Functional Study'!#REF!</definedName>
    <definedName name="Acct411DGU">'[10]Functional Study'!#REF!</definedName>
    <definedName name="Acct411DITEXP">'[10]Functional Study'!#REF!</definedName>
    <definedName name="Acct411DNPP">'[10]Functional Study'!#REF!</definedName>
    <definedName name="Acct411DNPTP">'[10]Functional Study'!#REF!</definedName>
    <definedName name="Acct411S">'[10]Functional Study'!#REF!</definedName>
    <definedName name="Acct411SE">'[10]Functional Study'!#REF!</definedName>
    <definedName name="Acct411SG">'[10]Functional Study'!#REF!</definedName>
    <definedName name="Acct411SGPP">'[10]Functional Study'!#REF!</definedName>
    <definedName name="Acct411SO">'[10]Functional Study'!#REF!</definedName>
    <definedName name="Acct411TROJP">'[10]Functional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>'[9]Func Study'!#REF!</definedName>
    <definedName name="Acct510DNPPSU">'[9]Func Study'!#REF!</definedName>
    <definedName name="ACCT510JBG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>'[11]Functional Study'!#REF!</definedName>
    <definedName name="AcctAGA">'[9]Func Study'!$H$296</definedName>
    <definedName name="AcctDFAD">'[9]Func Study'!#REF!</definedName>
    <definedName name="AcctDFAP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djustInput">[14]Inputs!$L$3:$T$998</definedName>
    <definedName name="AdjustSwitch">[14]Variables!$AG$3:$AI$3</definedName>
    <definedName name="anscount" hidden="1">1</definedName>
    <definedName name="APR">[15]Backup!#REF!</definedName>
    <definedName name="APRT">#REF!</definedName>
    <definedName name="AS2DocOpenMode" hidden="1">"AS2DocumentEdit"</definedName>
    <definedName name="asa" localSheetId="10" hidden="1">{"Factors Pages 1-2",#N/A,FALSE,"Factors";"Factors Page 3",#N/A,FALSE,"Factors";"Factors Page 4",#N/A,FALSE,"Factors";"Factors Page 5",#N/A,FALSE,"Factors";"Factors Pages 8-27",#N/A,FALSE,"Factors"}</definedName>
    <definedName name="asa" localSheetId="15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[15]Backup!#REF!</definedName>
    <definedName name="AUGT">#REF!</definedName>
    <definedName name="AverageFactors">[14]UTCR!$AC$22:$AQ$108</definedName>
    <definedName name="AverageInput">[14]Inputs!$F$3:$I$1719</definedName>
    <definedName name="AvgFactors">[12]Factors!$B$3:$P$99</definedName>
    <definedName name="b" localSheetId="10" hidden="1">{#N/A,#N/A,FALSE,"Coversheet";#N/A,#N/A,FALSE,"QA"}</definedName>
    <definedName name="b" localSheetId="15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10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0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0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0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0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0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0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0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0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0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0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0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0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0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0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0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0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0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0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0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0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0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0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0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0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0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0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0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0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0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0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0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0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0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0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0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0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0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0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0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0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0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0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0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0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0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0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0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0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0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0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0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0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0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0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0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0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0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0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0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0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0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0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0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0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0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0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0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0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0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0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0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0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0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0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0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0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0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0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0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0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0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0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0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0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0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0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0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0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0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0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0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0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0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0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0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0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0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0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0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0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0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0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0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0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0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0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0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0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0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0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0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0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0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0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0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0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0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0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0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0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0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0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0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0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0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0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0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0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0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0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0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0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0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0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0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0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0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0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0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0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0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0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0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0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0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0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0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0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0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0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0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0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0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0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0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0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0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0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0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0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0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0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0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0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0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0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0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0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0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0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0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0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0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0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0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0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0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0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0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0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0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0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0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0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0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0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0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0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0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0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0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0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0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0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0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0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0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0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0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0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0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0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0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0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0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0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0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0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0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0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0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0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0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0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0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0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0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0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0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0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0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0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0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0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0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0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0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0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0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0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0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0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0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0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0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0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0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0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0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0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0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0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0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0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0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0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0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0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0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0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0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0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0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0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0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0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0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0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0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0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0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0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0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0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0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0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0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0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0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0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0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0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0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0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0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0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0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0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0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0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0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0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0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0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0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0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0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0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0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0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0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0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0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0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0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0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0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0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0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0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0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0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0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0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0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0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0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0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0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0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0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0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0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0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0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0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0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0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0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0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0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0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0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0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0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0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0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0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0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0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0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0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0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0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0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0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0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0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0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0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0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0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0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0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0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0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0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0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0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0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0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0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0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0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0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0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0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0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0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0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0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0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0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0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0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0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0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0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0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0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0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0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0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0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0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0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0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0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0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0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0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0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0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0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0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0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0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0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0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0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0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0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0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0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0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0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0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0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0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0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0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0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0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0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0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0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0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0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0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0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0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0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0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0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0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0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0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0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0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0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0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0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0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0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0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0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0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0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0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0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0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0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0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0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0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0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0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0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0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0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0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0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0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0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0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0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0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0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0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0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0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0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0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0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0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0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0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0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0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0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0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0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0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0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0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0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0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0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0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0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0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0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0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0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0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0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0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0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0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0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0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0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0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0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0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0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0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0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0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0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0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0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0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0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0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0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0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0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0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0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0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0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0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0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0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0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0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0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0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0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0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0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0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0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0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0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0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0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0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0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0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0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0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0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0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0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0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0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0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0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0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0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0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0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0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0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0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0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0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0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0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0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0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0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0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0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0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0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0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0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0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0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0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0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0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0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0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0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0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0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0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0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0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0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0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0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0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0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0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0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0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0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0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0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0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0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0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0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0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0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0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0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0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0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0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0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0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0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0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0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0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0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0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0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0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0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0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0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0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0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0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0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0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0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0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0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0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0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0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0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0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0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0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0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0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0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0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0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0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0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0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0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0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0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0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0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0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0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0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0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0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0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0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0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0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0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0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0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0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0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0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0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0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0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0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0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0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0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0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0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0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0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0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0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0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0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0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0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0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0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0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0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0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0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0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0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0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0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0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0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0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0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0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0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0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0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0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0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0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0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0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0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0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0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0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0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0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0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0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0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0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0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0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0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0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0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0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0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0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0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0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0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0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0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0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0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0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0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0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0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0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0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0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0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0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0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0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0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0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0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0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0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0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0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0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0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0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0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0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0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0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0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0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0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0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0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0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0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0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0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0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0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0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0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0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0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0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0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0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0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0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0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0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0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0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0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0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0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0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0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0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0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0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0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0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0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0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0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0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0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0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0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0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0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0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0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0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0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0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0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0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0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0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0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0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0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0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0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0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0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0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0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0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0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0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0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0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0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0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0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0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0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0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0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0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0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0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0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0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0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0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0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0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0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0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0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0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0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0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0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0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0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0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0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0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0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0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0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0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0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0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0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0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0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0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0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0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0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0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0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0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0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0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0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0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0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0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0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0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0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0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0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0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0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0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0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0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0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0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0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0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0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0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0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0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0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0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0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0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0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0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0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0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0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0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0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0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0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0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0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0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0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0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0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0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0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0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0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0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0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0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0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0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0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0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0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0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0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0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0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0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0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0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0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0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0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0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0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0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0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0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0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0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0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0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0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0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0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0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0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0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0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0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0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0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0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0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0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0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0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0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0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0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0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0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0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0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0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0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0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0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0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0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0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0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0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0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0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0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0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0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0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0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0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0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0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0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0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0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0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0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0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0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0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0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0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0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0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0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0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0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0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0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0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0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0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0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0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0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0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0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0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0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0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0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0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0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0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0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0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0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0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0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0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0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0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0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0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0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0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0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0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0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0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0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0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0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0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0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0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0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0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0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0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0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0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0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0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0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0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0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0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0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0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0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0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0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0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0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0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0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0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0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0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0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0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0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0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0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0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0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0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0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0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0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0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0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0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0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0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0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0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0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0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0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0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0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0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0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0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0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0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0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0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0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0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0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0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0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0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0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0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0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0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0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0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0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0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0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0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0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0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0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0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0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0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0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0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0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0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0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0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0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0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0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0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0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0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0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0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0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0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0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0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0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0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0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0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0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0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0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0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0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0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0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0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0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0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0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0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0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0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0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0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0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0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0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0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0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0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0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0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0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0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0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0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0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0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0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0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0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0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0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0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0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0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0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0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0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0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0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0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0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0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0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0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0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0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0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0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0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0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0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0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0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0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0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0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0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0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0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0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0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0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0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0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0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0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0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0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0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0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0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0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0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0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0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0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0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0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0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0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0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0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0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0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0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0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0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0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0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0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0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0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0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0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0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0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0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0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0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0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0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0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0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0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0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0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0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0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0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0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0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0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0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0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0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0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0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0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0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0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0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0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0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0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0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0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0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0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0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0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0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0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0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0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0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0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0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0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0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0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0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0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0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0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0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0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0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0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0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0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0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0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0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0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0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0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0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0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0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0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0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0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0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0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0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0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0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0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0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0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0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0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0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0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0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0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0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0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0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0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0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0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0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0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0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0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0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0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0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0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0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0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0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0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0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0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0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0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0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0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0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0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0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0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0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0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0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0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0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0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0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0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0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0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0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0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0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0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0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0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0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0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0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0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0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0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0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0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0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0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0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0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0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0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0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0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0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0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0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0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0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0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0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0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0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0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0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0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0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0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0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0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0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0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0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0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0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0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0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0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0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0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0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0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0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0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0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0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0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0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0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0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0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0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0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0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0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0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0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0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0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0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0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0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0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0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0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0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0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0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0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0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0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0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0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0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0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0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0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0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0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0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0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0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0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0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0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0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0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0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0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0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0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0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0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0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0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0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0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0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0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0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0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0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0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0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0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0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0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0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0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0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0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0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0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0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0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0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0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0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0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0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0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0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0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0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0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0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0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0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0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0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0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0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0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0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0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0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0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0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0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0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0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0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0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0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0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0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0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0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0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0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0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0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0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0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0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0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0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0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0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0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0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0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0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0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0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0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0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0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0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0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0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0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0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0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0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0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0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0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0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0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0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0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0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0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0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0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0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0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0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0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0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0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0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0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0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0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0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0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0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0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0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0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0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0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0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0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0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0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0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0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0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0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0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0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0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0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0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0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0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0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0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0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0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0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0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0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0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0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0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0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0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0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0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0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0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0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0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0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0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0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0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0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0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0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0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0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0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0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0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0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0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0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0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0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0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0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0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0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0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0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0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0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0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0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0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0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0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0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0" hidden="1">#REF!</definedName>
    <definedName name="BExZZZEMIIFKMLLV4DJKX5TB9R5V" hidden="1">#REF!</definedName>
    <definedName name="BOOKADJ">#REF!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localSheetId="15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BWorkbookPriority" hidden="1">-2060790043</definedName>
    <definedName name="cgf" localSheetId="10" hidden="1">{"PRINT",#N/A,TRUE,"APPA";"PRINT",#N/A,TRUE,"APS";"PRINT",#N/A,TRUE,"BHPL";"PRINT",#N/A,TRUE,"BHPL2";"PRINT",#N/A,TRUE,"CDWR";"PRINT",#N/A,TRUE,"EWEB";"PRINT",#N/A,TRUE,"LADWP";"PRINT",#N/A,TRUE,"NEVBASE"}</definedName>
    <definedName name="cgf" localSheetId="15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[14]Inputs!$J$1</definedName>
    <definedName name="Classification">'[9]Func Study'!$AB$251</definedName>
    <definedName name="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0" hidden="1">{"YTD-Total",#N/A,TRUE,"Provision";"YTD-Utility",#N/A,TRUE,"Prov Utility";"YTD-NonUtility",#N/A,TRUE,"Prov NonUtility"}</definedName>
    <definedName name="combined1" localSheetId="15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10" hidden="1">#REF!</definedName>
    <definedName name="copy" localSheetId="0" hidden="1">#REF!</definedName>
    <definedName name="copy" hidden="1">#REF!</definedName>
    <definedName name="COSFacVal">[9]Inputs!$R$5</definedName>
    <definedName name="dad">[17]Variables!$H$2</definedName>
    <definedName name="dana" localSheetId="10" hidden="1">{#N/A,#N/A,FALSE,"Summary EPS";#N/A,#N/A,FALSE,"1st Qtr Electric";#N/A,#N/A,FALSE,"1st Qtr Australia";#N/A,#N/A,FALSE,"1st Qtr Telecom";#N/A,#N/A,FALSE,"1st QTR Other"}</definedName>
    <definedName name="dana" localSheetId="15" hidden="1">{#N/A,#N/A,FALSE,"Summary EPS";#N/A,#N/A,FALSE,"1st Qtr Electric";#N/A,#N/A,FALSE,"1st Qtr Australia";#N/A,#N/A,FALSE,"1st Qtr Telecom";#N/A,#N/A,FALSE,"1st QTR Other"}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0" hidden="1">{#N/A,#N/A,FALSE,"Summary 1";#N/A,#N/A,FALSE,"Domestic";#N/A,#N/A,FALSE,"Australia";#N/A,#N/A,FALSE,"Other"}</definedName>
    <definedName name="dana1" localSheetId="15" hidden="1">{#N/A,#N/A,FALSE,"Summary 1";#N/A,#N/A,FALSE,"Domestic";#N/A,#N/A,FALSE,"Australia";#N/A,#N/A,FALSE,"Other"}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>#REF!</definedName>
    <definedName name="DATE">[18]Jan!#REF!</definedName>
    <definedName name="DEC">[15]Backup!#REF!</definedName>
    <definedName name="DECT">#REF!</definedName>
    <definedName name="DELETE01" localSheetId="10" hidden="1">{#N/A,#N/A,FALSE,"Coversheet";#N/A,#N/A,FALSE,"QA"}</definedName>
    <definedName name="DELETE01" localSheetId="15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15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15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15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15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15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15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and">[8]Inputs!$D$8</definedName>
    <definedName name="Demand2">[19]Inputs!$D$11</definedName>
    <definedName name="DFIT" localSheetId="10" hidden="1">{#N/A,#N/A,FALSE,"Coversheet";#N/A,#N/A,FALSE,"QA"}</definedName>
    <definedName name="DFIT" localSheetId="15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is">'[9]Func Study'!$AB$250</definedName>
    <definedName name="DisFac">'[9]Func Dist Factor Table'!$A$11:$G$25</definedName>
    <definedName name="Dist_factor">#REF!</definedName>
    <definedName name="DistPeakMethod">[11]Inputs!#REF!</definedName>
    <definedName name="dsd" localSheetId="10" hidden="1">[3]Inputs!#REF!</definedName>
    <definedName name="dsd" hidden="1">[3]Inputs!#REF!</definedName>
    <definedName name="DUDE" localSheetId="10" hidden="1">#REF!</definedName>
    <definedName name="DUDE" localSheetId="15" hidden="1">#REF!</definedName>
    <definedName name="DUDE" localSheetId="0" hidden="1">#REF!</definedName>
    <definedName name="DUDE" hidden="1">#REF!</definedName>
    <definedName name="ee" localSheetId="10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ergy">[16]Readings!$B$3</definedName>
    <definedName name="Engy">[8]Inputs!$D$9</definedName>
    <definedName name="Engy2">[19]Inputs!$D$12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0" hidden="1">{#N/A,#N/A,FALSE,"Coversheet";#N/A,#N/A,FALSE,"QA"}</definedName>
    <definedName name="error" localSheetId="15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0" hidden="1">{#N/A,#N/A,FALSE,"Summ";#N/A,#N/A,FALSE,"General"}</definedName>
    <definedName name="Estimate" localSheetId="15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localSheetId="15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10" hidden="1">{#N/A,#N/A,FALSE,"Loans";#N/A,#N/A,FALSE,"Program Costs";#N/A,#N/A,FALSE,"Measures";#N/A,#N/A,FALSE,"Net Lost Rev";#N/A,#N/A,FALSE,"Incentive"}</definedName>
    <definedName name="extra2" localSheetId="15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0" hidden="1">{#N/A,#N/A,FALSE,"Loans";#N/A,#N/A,FALSE,"Program Costs";#N/A,#N/A,FALSE,"Measures";#N/A,#N/A,FALSE,"Net Lost Rev";#N/A,#N/A,FALSE,"Incentive"}</definedName>
    <definedName name="extra3" localSheetId="15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0" hidden="1">{#N/A,#N/A,FALSE,"Loans";#N/A,#N/A,FALSE,"Program Costs";#N/A,#N/A,FALSE,"Measures";#N/A,#N/A,FALSE,"Net Lost Rev";#N/A,#N/A,FALSE,"Incentive"}</definedName>
    <definedName name="extra4" localSheetId="15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0" hidden="1">{#N/A,#N/A,FALSE,"Loans";#N/A,#N/A,FALSE,"Program Costs";#N/A,#N/A,FALSE,"Measures";#N/A,#N/A,FALSE,"Net Lost Rev";#N/A,#N/A,FALSE,"Incentive"}</definedName>
    <definedName name="extra5" localSheetId="15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'[9]COS Factor Table'!$O$15:$O$113</definedName>
    <definedName name="FactorMethod">[14]Variables!$AB$2</definedName>
    <definedName name="FactorType">[12]Variables!$AK$2:$AL$12</definedName>
    <definedName name="FACTP">#REF!</definedName>
    <definedName name="FactSum">'[9]COS Factor Table'!$A$14:$O$113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>[15]Backup!#REF!</definedName>
    <definedName name="FEBT">#REF!</definedName>
    <definedName name="ffff" localSheetId="10" hidden="1">{#N/A,#N/A,FALSE,"Coversheet";#N/A,#N/A,FALSE,"QA"}</definedName>
    <definedName name="ffff" localSheetId="15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0" hidden="1">{#N/A,#N/A,FALSE,"Coversheet";#N/A,#N/A,FALSE,"QA"}</definedName>
    <definedName name="fffgf" localSheetId="15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[13]Variables!$D$26</definedName>
    <definedName name="friend" localSheetId="1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5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'[9]Func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'[9]Func Study'!$AB$250</definedName>
    <definedName name="GREATER10MW">#REF!</definedName>
    <definedName name="GTD_Percents">#REF!</definedName>
    <definedName name="HEIGHT">#REF!</definedName>
    <definedName name="helllo" localSheetId="10" hidden="1">{#N/A,#N/A,FALSE,"Pg 6b CustCount_Gas";#N/A,#N/A,FALSE,"QA";#N/A,#N/A,FALSE,"Report";#N/A,#N/A,FALSE,"forecast"}</definedName>
    <definedName name="helllo" localSheetId="15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0" hidden="1">{#N/A,#N/A,FALSE,"Coversheet";#N/A,#N/A,FALSE,"QA"}</definedName>
    <definedName name="HELP" localSheetId="15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localSheetId="15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0" hidden="1">{"'Sheet1'!$A$1:$J$121"}</definedName>
    <definedName name="HTML_Control" localSheetId="15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[20]Summary!#REF!</definedName>
    <definedName name="Instructions">#REF!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localSheetId="15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[15]Backup!#REF!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10" hidden="1">{#N/A,#N/A,FALSE,"Summ";#N/A,#N/A,FALSE,"General"}</definedName>
    <definedName name="jfkljsdkljiejgr" localSheetId="15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[21]Inputs!$N$18</definedName>
    <definedName name="JUL">[15]Backup!#REF!</definedName>
    <definedName name="JULT">#REF!</definedName>
    <definedName name="JUN">[15]Backup!#REF!</definedName>
    <definedName name="junk" localSheetId="10" hidden="1">{"PRINT",#N/A,TRUE,"APPA";"PRINT",#N/A,TRUE,"APS";"PRINT",#N/A,TRUE,"BHPL";"PRINT",#N/A,TRUE,"BHPL2";"PRINT",#N/A,TRUE,"CDWR";"PRINT",#N/A,TRUE,"EWEB";"PRINT",#N/A,TRUE,"LADWP";"PRINT",#N/A,TRUE,"NEVBASE"}</definedName>
    <definedName name="junk" localSheetId="15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0" hidden="1">{"PRINT",#N/A,TRUE,"APPA";"PRINT",#N/A,TRUE,"APS";"PRINT",#N/A,TRUE,"BHPL";"PRINT",#N/A,TRUE,"BHPL2";"PRINT",#N/A,TRUE,"CDWR";"PRINT",#N/A,TRUE,"EWEB";"PRINT",#N/A,TRUE,"LADWP";"PRINT",#N/A,TRUE,"NEVBASE"}</definedName>
    <definedName name="junk1" localSheetId="15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0" hidden="1">{"PRINT",#N/A,TRUE,"APPA";"PRINT",#N/A,TRUE,"APS";"PRINT",#N/A,TRUE,"BHPL";"PRINT",#N/A,TRUE,"BHPL2";"PRINT",#N/A,TRUE,"CDWR";"PRINT",#N/A,TRUE,"EWEB";"PRINT",#N/A,TRUE,"LADWP";"PRINT",#N/A,TRUE,"NEVBASE"}</definedName>
    <definedName name="junk2" localSheetId="15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0" hidden="1">{"PRINT",#N/A,TRUE,"APPA";"PRINT",#N/A,TRUE,"APS";"PRINT",#N/A,TRUE,"BHPL";"PRINT",#N/A,TRUE,"BHPL2";"PRINT",#N/A,TRUE,"CDWR";"PRINT",#N/A,TRUE,"EWEB";"PRINT",#N/A,TRUE,"LADWP";"PRINT",#N/A,TRUE,"NEVBASE"}</definedName>
    <definedName name="junk3" localSheetId="15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0" hidden="1">{"PRINT",#N/A,TRUE,"APPA";"PRINT",#N/A,TRUE,"APS";"PRINT",#N/A,TRUE,"BHPL";"PRINT",#N/A,TRUE,"BHPL2";"PRINT",#N/A,TRUE,"CDWR";"PRINT",#N/A,TRUE,"EWEB";"PRINT",#N/A,TRUE,"LADWP";"PRINT",#N/A,TRUE,"NEVBASE"}</definedName>
    <definedName name="junk4" localSheetId="15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0" hidden="1">{"PRINT",#N/A,TRUE,"APPA";"PRINT",#N/A,TRUE,"APS";"PRINT",#N/A,TRUE,"BHPL";"PRINT",#N/A,TRUE,"BHPL2";"PRINT",#N/A,TRUE,"CDWR";"PRINT",#N/A,TRUE,"EWEB";"PRINT",#N/A,TRUE,"LADWP";"PRINT",#N/A,TRUE,"NEVBASE"}</definedName>
    <definedName name="junk5" localSheetId="15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[12]Variables!$AK$15</definedName>
    <definedName name="JurisNumber">[12]Variables!$AL$15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localSheetId="1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'[9]JAM Download'!$K$4</definedName>
    <definedName name="ListOffset" hidden="1">1</definedName>
    <definedName name="LOG">[15]Backup!#REF!</definedName>
    <definedName name="lookup" localSheetId="10" hidden="1">{#N/A,#N/A,FALSE,"Coversheet";#N/A,#N/A,FALSE,"QA"}</definedName>
    <definedName name="lookup" localSheetId="15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LOSS">[15]Backup!#REF!</definedName>
    <definedName name="MACTIT">#REF!</definedName>
    <definedName name="MAR">[15]Backup!#REF!</definedName>
    <definedName name="MART">#REF!</definedName>
    <definedName name="Master" localSheetId="10" hidden="1">{#N/A,#N/A,FALSE,"Actual";#N/A,#N/A,FALSE,"Normalized";#N/A,#N/A,FALSE,"Electric Actual";#N/A,#N/A,FALSE,"Electric Normalized"}</definedName>
    <definedName name="Master" localSheetId="15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[15]Backup!#REF!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[8]Inputs!$C$6</definedName>
    <definedName name="Miller" localSheetId="10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0" hidden="1">{"PRINT",#N/A,TRUE,"APPA";"PRINT",#N/A,TRUE,"APS";"PRINT",#N/A,TRUE,"BHPL";"PRINT",#N/A,TRUE,"BHPL2";"PRINT",#N/A,TRUE,"CDWR";"PRINT",#N/A,TRUE,"EWEB";"PRINT",#N/A,TRUE,"LADWP";"PRINT",#N/A,TRUE,"NEVBASE"}</definedName>
    <definedName name="mmm" localSheetId="15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[15]Backup!#REF!</definedName>
    <definedName name="monthlist">[22]Table!$R$2:$S$13</definedName>
    <definedName name="monthtotals">#REF!</definedName>
    <definedName name="MSPAverageInput">[14]Inputs!#REF!</definedName>
    <definedName name="MSPYearEndInput">[14]Inputs!#REF!</definedName>
    <definedName name="MTKWH">#REF!</definedName>
    <definedName name="MTR_YR3">[23]Variables!$E$14</definedName>
    <definedName name="MTREV">#REF!</definedName>
    <definedName name="MULT">#REF!</definedName>
    <definedName name="Net_to_Gross_Factor">[9]Inputs!$G$8</definedName>
    <definedName name="NetToGross">[13]Variables!$D$23</definedName>
    <definedName name="new" localSheetId="10" hidden="1">{#N/A,#N/A,TRUE,"Section6";#N/A,#N/A,TRUE,"OHcycles";#N/A,#N/A,TRUE,"OHtiming";#N/A,#N/A,TRUE,"OHcosts";#N/A,#N/A,TRUE,"GTdegradation";#N/A,#N/A,TRUE,"GTperformance";#N/A,#N/A,TRUE,"GraphEquip"}</definedName>
    <definedName name="new" localSheetId="15" hidden="1">{#N/A,#N/A,FALSE,"Summ";#N/A,#N/A,FALSE,"General"}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[15]Backup!#REF!</definedName>
    <definedName name="NOVT">#REF!</definedName>
    <definedName name="NPC">[11]Inputs!$N$18</definedName>
    <definedName name="NUM">#REF!</definedName>
    <definedName name="OCT">[15]Backup!#REF!</definedName>
    <definedName name="OCTT">#REF!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localSheetId="15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localSheetId="15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'[24]Dist Misc'!$F$120</definedName>
    <definedName name="others" localSheetId="10" hidden="1">{"Factors Pages 1-2",#N/A,FALSE,"Factors";"Factors Page 3",#N/A,FALSE,"Factors";"Factors Page 4",#N/A,FALSE,"Factors";"Factors Page 5",#N/A,FALSE,"Factors";"Factors Pages 8-27",#N/A,FALSE,"Factors"}</definedName>
    <definedName name="others" localSheetId="15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[25]TransInvest!#REF!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[8]Inputs!$T$5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[15]Backup!#REF!</definedName>
    <definedName name="PRESENT">#REF!</definedName>
    <definedName name="PRICCHNG">#REF!</definedName>
    <definedName name="PricingInfo" localSheetId="10" hidden="1">[26]Inputs!#REF!</definedName>
    <definedName name="PricingInfo" localSheetId="15" hidden="1">[27]Inputs!#REF!</definedName>
    <definedName name="PricingInfo" localSheetId="0" hidden="1">[26]Inputs!#REF!</definedName>
    <definedName name="PricingInfo" hidden="1">[26]Inputs!#REF!</definedName>
    <definedName name="_xlnm.Print_Area" localSheetId="12">'AutoPay&amp;Paperless'!$A$1:$G$23</definedName>
    <definedName name="_xlnm.Print_Area" localSheetId="14">'Normalized Summary'!$A$1:$S$118</definedName>
    <definedName name="_xlnm.Print_Area" localSheetId="11">'Normalized Units'!$A$2:$V$257</definedName>
    <definedName name="_xlnm.Print_Area" localSheetId="9">'Sch.15,51,53,54'!$A$1:$G$132</definedName>
    <definedName name="_xlnm.Print_Area" localSheetId="2">'Sch.16,17,19'!$A$1:$K$157,'Sch.16,17,19'!$L$4:$Q$57</definedName>
    <definedName name="_xlnm.Print_Area" localSheetId="3">Sch.24!$A$1:$M$115,Sch.24!$N$4:$S$180</definedName>
    <definedName name="_xlnm.Print_Area" localSheetId="15">'Sch.24,29,36,40 Customers'!$A$2:$T$67</definedName>
    <definedName name="_xlnm.Print_Area" localSheetId="4">'Sch.29,36'!$A$1:$L$29,'Sch.29,36'!$M$4:$S$152</definedName>
    <definedName name="_xlnm.Print_Area" localSheetId="8">Sch.40!$A$43:$M$68,Sch.40!$N$1:$S$88</definedName>
    <definedName name="_xlnm.Print_Area" localSheetId="16">'Sch.40 Bills'!$A$1:$O$5</definedName>
    <definedName name="_xlnm.Print_Area" localSheetId="7">Sch.47T!$A$1:$F$37</definedName>
    <definedName name="_xlnm.Print_Area" localSheetId="5">Sch.48T!$A$1:$M$46,Sch.48T!$N$4:$T$147</definedName>
    <definedName name="_xlnm.Print_Area" localSheetId="6">'Sch.48T-DF'!$A$27:$K$46,'Sch.48T-DF'!$L$1:$O$46</definedName>
    <definedName name="_xlnm.Print_Area" localSheetId="0">Summary!$B$1:$O$25,Summary!$A$26:$O$73,Summary!$S$1:$V$21,Summary!$R$27:$U$60</definedName>
    <definedName name="_xlnm.Print_Area" localSheetId="13">Unbilled!$A$1:$E$22</definedName>
    <definedName name="_xlnm.Print_Titles" localSheetId="12">'AutoPay&amp;Paperless'!$1:$4</definedName>
    <definedName name="_xlnm.Print_Titles" localSheetId="14">'Normalized Summary'!$1:$7</definedName>
    <definedName name="_xlnm.Print_Titles" localSheetId="11">'Normalized Units'!$2:$2</definedName>
    <definedName name="_xlnm.Print_Titles" localSheetId="9">'Sch.15,51,53,54'!$1:$6</definedName>
    <definedName name="_xlnm.Print_Titles" localSheetId="2">'Sch.16,17,19'!$1:$7</definedName>
    <definedName name="_xlnm.Print_Titles" localSheetId="3">Sch.24!$1:$7</definedName>
    <definedName name="_xlnm.Print_Titles" localSheetId="4">'Sch.29,36'!$1:$7</definedName>
    <definedName name="_xlnm.Print_Titles" localSheetId="8">Sch.40!$1:$4</definedName>
    <definedName name="_xlnm.Print_Titles" localSheetId="7">Sch.47T!$1:$4</definedName>
    <definedName name="_xlnm.Print_Titles" localSheetId="5">Sch.48T!$1:$7</definedName>
    <definedName name="_xlnm.Print_Titles" localSheetId="6">'Sch.48T-DF'!$1:$4</definedName>
    <definedName name="_xlnm.Print_Titles" localSheetId="13">Unbilled!$1:$3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10" hidden="1">{#N/A,#N/A,FALSE,"Coversheet";#N/A,#N/A,FALSE,"QA"}</definedName>
    <definedName name="q" localSheetId="15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0" hidden="1">{#N/A,#N/A,FALSE,"schA"}</definedName>
    <definedName name="qqq" localSheetId="15" hidden="1">{#N/A,#N/A,FALSE,"schA"}</definedName>
    <definedName name="qqq" localSheetId="0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[13]Variables!$D$28</definedName>
    <definedName name="retail" localSheetId="10" hidden="1">{#N/A,#N/A,FALSE,"Loans";#N/A,#N/A,FALSE,"Program Costs";#N/A,#N/A,FALSE,"Measures";#N/A,#N/A,FALSE,"Net Lost Rev";#N/A,#N/A,FALSE,"Incentive"}</definedName>
    <definedName name="retail" localSheetId="15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localSheetId="15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localSheetId="15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10" hidden="1">{"PRINT",#N/A,TRUE,"APPA";"PRINT",#N/A,TRUE,"APS";"PRINT",#N/A,TRUE,"BHPL";"PRINT",#N/A,TRUE,"BHPL2";"PRINT",#N/A,TRUE,"CDWR";"PRINT",#N/A,TRUE,"EWEB";"PRINT",#N/A,TRUE,"LADWP";"PRINT",#N/A,TRUE,"NEVBASE"}</definedName>
    <definedName name="rrr" localSheetId="15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[11]Inputs!$N$14</definedName>
    <definedName name="sdlfhsdlhfkl" localSheetId="10" hidden="1">{#N/A,#N/A,FALSE,"Summ";#N/A,#N/A,FALSE,"General"}</definedName>
    <definedName name="sdlfhsdlhfkl" localSheetId="15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[15]Backup!#REF!</definedName>
    <definedName name="SEPT">#REF!</definedName>
    <definedName name="SERVICES_3">#REF!</definedName>
    <definedName name="seven" localSheetId="10" hidden="1">{#N/A,#N/A,FALSE,"CRPT";#N/A,#N/A,FALSE,"TREND";#N/A,#N/A,FALSE,"%Curve"}</definedName>
    <definedName name="seven" localSheetId="15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localSheetId="15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[14]Variables!$AE$32</definedName>
    <definedName name="six" localSheetId="10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localSheetId="15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0" hidden="1">{#N/A,#N/A,FALSE,"Actual";#N/A,#N/A,FALSE,"Normalized";#N/A,#N/A,FALSE,"Electric Actual";#N/A,#N/A,FALSE,"Electric Normalized"}</definedName>
    <definedName name="spippw" localSheetId="15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0" hidden="1">{"PRINT",#N/A,TRUE,"APPA";"PRINT",#N/A,TRUE,"APS";"PRINT",#N/A,TRUE,"BHPL";"PRINT",#N/A,TRUE,"BHPL2";"PRINT",#N/A,TRUE,"CDWR";"PRINT",#N/A,TRUE,"EWEB";"PRINT",#N/A,TRUE,"LADWP";"PRINT",#N/A,TRUE,"NEVBASE"}</definedName>
    <definedName name="ss" localSheetId="15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0" hidden="1">{"YTD-Total",#N/A,FALSE,"Provision"}</definedName>
    <definedName name="standard1" localSheetId="15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10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[8]Inputs!$G$29</definedName>
    <definedName name="TDMOD">#REF!</definedName>
    <definedName name="TDROLL">#REF!</definedName>
    <definedName name="tem" localSheetId="10" hidden="1">{#N/A,#N/A,FALSE,"Summ";#N/A,#N/A,FALSE,"General"}</definedName>
    <definedName name="tem" localSheetId="15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0" hidden="1">{#N/A,#N/A,FALSE,"Summ";#N/A,#N/A,FALSE,"General"}</definedName>
    <definedName name="TEMP" localSheetId="15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[9]Inputs!$C$5</definedName>
    <definedName name="TotalRateBase">'[9]G+T+D+R+M'!$H$58</definedName>
    <definedName name="tr" localSheetId="10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0" hidden="1">#REF!</definedName>
    <definedName name="Transfer" localSheetId="15" hidden="1">#REF!</definedName>
    <definedName name="Transfer" localSheetId="0" hidden="1">#REF!</definedName>
    <definedName name="Transfer" hidden="1">#REF!</definedName>
    <definedName name="Transfers" localSheetId="10" hidden="1">#REF!</definedName>
    <definedName name="Transfers" localSheetId="0" hidden="1">#REF!</definedName>
    <definedName name="Transfers" hidden="1">#REF!</definedName>
    <definedName name="TRANSM_2">[29]Transm2!$A$1:$M$461:'[29]10 Yr FC'!$M$47</definedName>
    <definedName name="u" localSheetId="10" hidden="1">{#N/A,#N/A,FALSE,"Summ";#N/A,#N/A,FALSE,"General"}</definedName>
    <definedName name="u" localSheetId="15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>'[11]Functional Study'!#REF!</definedName>
    <definedName name="UACCT115DGP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>'[10]Functional Study'!#REF!</definedName>
    <definedName name="UACCT41020BADDEBT">'[10]Functional Study'!#REF!</definedName>
    <definedName name="UACCT41020DITEXP">'[10]Functional Study'!#REF!</definedName>
    <definedName name="UACCT41020DNPU">'[10]Functional Study'!#REF!</definedName>
    <definedName name="UACCT41020S">'[10]Functional Study'!#REF!</definedName>
    <definedName name="UACCT41020SE">'[10]Functional Study'!#REF!</definedName>
    <definedName name="UACCT41020SG">'[10]Functional Study'!#REF!</definedName>
    <definedName name="UACCT41020SGCT">'[10]Functional Study'!#REF!</definedName>
    <definedName name="UACCT41020SGPP">'[10]Functional Study'!#REF!</definedName>
    <definedName name="UACCT41020SO">'[10]Functional Study'!#REF!</definedName>
    <definedName name="UACCT41020TROJP">'[10]Functional Study'!#REF!</definedName>
    <definedName name="UACCT4102SNPD">'[10]Functional Study'!#REF!</definedName>
    <definedName name="UAcct41110">'[9]Func Study'!$AB$1325</definedName>
    <definedName name="UAcct41111">'[10]Functional Study'!#REF!</definedName>
    <definedName name="UAcct41111Baddebt">'[10]Functional Study'!#REF!</definedName>
    <definedName name="UAcct41111Dgp">'[10]Functional Study'!#REF!</definedName>
    <definedName name="UAcct41111Dgu">'[10]Functional Study'!#REF!</definedName>
    <definedName name="UAcct41111Ditexp">'[10]Functional Study'!#REF!</definedName>
    <definedName name="UAcct41111Dnpp">'[10]Functional Study'!#REF!</definedName>
    <definedName name="UAcct41111Dnptp">'[10]Functional Study'!#REF!</definedName>
    <definedName name="UAcct41111S">'[10]Functional Study'!#REF!</definedName>
    <definedName name="UAcct41111Se">'[10]Functional Study'!#REF!</definedName>
    <definedName name="UAcct41111Sg">'[10]Functional Study'!#REF!</definedName>
    <definedName name="UAcct41111Sgpp">'[10]Functional Study'!#REF!</definedName>
    <definedName name="UAcct41111So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>'[7]Func Study'!#REF!</definedName>
    <definedName name="UAcct447CAGE">'[7]Func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>'[7]Func Study'!#REF!</definedName>
    <definedName name="UAcct506">'[9]Func Study'!$AB$455</definedName>
    <definedName name="UAcct506CAGE">'[9]Func Study'!$AB$452</definedName>
    <definedName name="UAcct506JBG">'[7]Func Study'!#REF!</definedName>
    <definedName name="UAcct507">'[9]Func Study'!$AB$464</definedName>
    <definedName name="UAcct507CAGE">'[9]Func Study'!$AB$462</definedName>
    <definedName name="UAcct507JBG">'[7]Func Study'!#REF!</definedName>
    <definedName name="UAcct510">'[9]Func Study'!$AB$469</definedName>
    <definedName name="UAcct510CAGE">'[9]Func Study'!$AB$467</definedName>
    <definedName name="UAcct510JBG">'[7]Func Study'!#REF!</definedName>
    <definedName name="UAcct511">'[9]Func Study'!$AB$474</definedName>
    <definedName name="UAcct511CAGE">'[9]Func Study'!$AB$472</definedName>
    <definedName name="UAcct511JBG">'[7]Func Study'!#REF!</definedName>
    <definedName name="UAcct512">'[9]Func Study'!$AB$479</definedName>
    <definedName name="UAcct512CAGE">'[9]Func Study'!$AB$477</definedName>
    <definedName name="UAcct512JBG">'[7]Func Study'!#REF!</definedName>
    <definedName name="UAcct513">'[9]Func Study'!$AB$484</definedName>
    <definedName name="UAcct513CAGE">'[9]Func Study'!$AB$482</definedName>
    <definedName name="UAcct513JBG">'[7]Func Study'!#REF!</definedName>
    <definedName name="UAcct514">'[9]Func Study'!$AB$489</definedName>
    <definedName name="UAcct514CAGE">'[9]Func Study'!$AB$487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>'[7]Func Study'!#REF!</definedName>
    <definedName name="UAcct555CAEW">'[9]Func Study'!$AB$665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>'[9]Func Study'!#REF!</definedName>
    <definedName name="UAcctdfad">'[9]Func Study'!#REF!</definedName>
    <definedName name="UAcctdfap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>#REF!</definedName>
    <definedName name="UncollectibleAccounts">[13]Variables!$D$25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[13]Variables!$D$29</definedName>
    <definedName name="v" localSheetId="10" hidden="1">{#N/A,#N/A,FALSE,"Coversheet";#N/A,#N/A,FALSE,"QA"}</definedName>
    <definedName name="v" localSheetId="15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idAccount">[12]Variables!$AK$43:$AK$369</definedName>
    <definedName name="Value" localSheetId="10" hidden="1">{#N/A,#N/A,FALSE,"Summ";#N/A,#N/A,FALSE,"General"}</definedName>
    <definedName name="Value" localSheetId="15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VAR">[15]Backup!#REF!</definedName>
    <definedName name="VARIABLE">[20]Summary!#REF!</definedName>
    <definedName name="VOUCHER">#REF!</definedName>
    <definedName name="w" localSheetId="10" hidden="1">[30]Inputs!#REF!</definedName>
    <definedName name="w" localSheetId="15" hidden="1">[31]Inputs!#REF!</definedName>
    <definedName name="w" localSheetId="0" hidden="1">[30]Inputs!#REF!</definedName>
    <definedName name="w" hidden="1">[30]Inputs!#REF!</definedName>
    <definedName name="WaRevenueTax">[13]Variables!$D$27</definedName>
    <definedName name="we" localSheetId="10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0" hidden="1">{#N/A,#N/A,FALSE,"Coversheet";#N/A,#N/A,FALSE,"QA"}</definedName>
    <definedName name="WH" localSheetId="15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IDTH">#REF!</definedName>
    <definedName name="WinterPeak">'[32]Load Data'!$D$9:$H$12,'[32]Load Data'!$D$20:$H$22</definedName>
    <definedName name="WORK1">#REF!</definedName>
    <definedName name="WORK2">#REF!</definedName>
    <definedName name="WORK3">#REF!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0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0" hidden="1">{"Page 3.4.1",#N/A,FALSE,"Totals";"Page 3.4.2",#N/A,FALSE,"Totals"}</definedName>
    <definedName name="wrn.Adj._.Back_Up." localSheetId="15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localSheetId="15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0" hidden="1">{#N/A,#N/A,FALSE,"cover";#N/A,#N/A,FALSE,"lead sheet";#N/A,#N/A,FALSE,"Adj backup";#N/A,#N/A,FALSE,"t Accounts"}</definedName>
    <definedName name="wrn.All._.Pages." localSheetId="15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0" hidden="1">{"YTD-Total",#N/A,TRUE,"Provision";"YTD-Utility",#N/A,TRUE,"Prov Utility";"YTD-NonUtility",#N/A,TRUE,"Prov NonUtility"}</definedName>
    <definedName name="wrn.Combined._.YTD." localSheetId="15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0" hidden="1">{"Conol gross povision grouped",#N/A,FALSE,"Consol Gross";"Consol Gross Grouped",#N/A,FALSE,"Consol Gross"}</definedName>
    <definedName name="wrn.ConsolGrossGrp." localSheetId="15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0" hidden="1">{#N/A,#N/A,TRUE,"Cover";#N/A,#N/A,TRUE,"Contents"}</definedName>
    <definedName name="wrn.Cover." localSheetId="15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0" hidden="1">{#N/A,#N/A,FALSE,"Cover";#N/A,#N/A,FALSE,"Contents"}</definedName>
    <definedName name="wrn.CoverContents." localSheetId="15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localSheetId="15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1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0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0" hidden="1">{#N/A,#N/A,FALSE,"Output Ass";#N/A,#N/A,FALSE,"Sum Tot";#N/A,#N/A,FALSE,"Ex Sum Year";#N/A,#N/A,FALSE,"Sum Qtr"}</definedName>
    <definedName name="wrn.Exec._.Summary." localSheetId="15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0" hidden="1">{"FullView",#N/A,FALSE,"Consltd-For contngcy"}</definedName>
    <definedName name="wrn.Full._.View." localSheetId="15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10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15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0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0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0" hidden="1">{#N/A,#N/A,TRUE,"Filing Back-Up Pages_4.8.4-7";#N/A,#N/A,TRUE,"GI Back-up Page_4.8.8"}</definedName>
    <definedName name="wrn.new." localSheetId="15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0" hidden="1">{#N/A,#N/A,TRUE,"Detail Lead Sheet_4.8.1-3";#N/A,#N/A,TRUE,"Filing Back-Up Pages_4.8.4-7";#N/A,#N/A,TRUE,"GI Back-up Page_4.8.8"}</definedName>
    <definedName name="wrn.om." localSheetId="15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0" hidden="1">{"Open issues Only",#N/A,FALSE,"TIMELINE"}</definedName>
    <definedName name="wrn.Open._.Issues._.Only." localSheetId="15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localSheetId="15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localSheetId="15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0" hidden="1">{#N/A,#N/A,FALSE,"Consltd-For contngcy";"PaymentView",#N/A,FALSE,"Consltd-For contngcy"}</definedName>
    <definedName name="wrn.Payment._.View." localSheetId="15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0" hidden="1">{"PFS recon view",#N/A,FALSE,"Hyperion Proof"}</definedName>
    <definedName name="wrn.PFSreconview." localSheetId="15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0" hidden="1">{"PGHC recon view",#N/A,FALSE,"Hyperion Proof"}</definedName>
    <definedName name="wrn.PGHCreconview." localSheetId="15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0" hidden="1">{#N/A,#N/A,FALSE,"PHI MTD";#N/A,#N/A,FALSE,"PHI YTD"}</definedName>
    <definedName name="wrn.PHI._.all._.other._.months." localSheetId="15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0" hidden="1">{#N/A,#N/A,FALSE,"PHI"}</definedName>
    <definedName name="wrn.PHI._.only." localSheetId="15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0" hidden="1">{#N/A,#N/A,FALSE,"PHI MTD";#N/A,#N/A,FALSE,"PHI QTD";#N/A,#N/A,FALSE,"PHI YTD"}</definedName>
    <definedName name="wrn.PHI._.Sept._.Dec._.March." localSheetId="15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0" hidden="1">{"PPM Co Code View",#N/A,FALSE,"Comp Codes"}</definedName>
    <definedName name="wrn.PPMCoCodeView." localSheetId="15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0" hidden="1">{"PPM Recon View",#N/A,FALSE,"Hyperion Proof"}</definedName>
    <definedName name="wrn.PPMreconview." localSheetId="15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0" hidden="1">{"DATA_SET",#N/A,FALSE,"HOURLY SPREAD"}</definedName>
    <definedName name="wrn.PRINT._.SOURCE._.DATA." localSheetId="15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0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0" hidden="1">{"Electric Only",#N/A,FALSE,"Hyperion Proof"}</definedName>
    <definedName name="wrn.ProofElectricOnly." localSheetId="15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0" hidden="1">{"Proof Total",#N/A,FALSE,"Hyperion Proof"}</definedName>
    <definedName name="wrn.ProofTotal." localSheetId="15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0" hidden="1">{#N/A,#N/A,FALSE,"Dec 1999 mapping"}</definedName>
    <definedName name="wrn.Reformat._.only." localSheetId="15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0" hidden="1">{#N/A,#N/A,FALSE,"7617 Fab";#N/A,#N/A,FALSE,"7617 NSK"}</definedName>
    <definedName name="wrn.SCHEDULE." localSheetId="15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1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0" hidden="1">{#N/A,#N/A,TRUE,"Section1";#N/A,#N/A,TRUE,"SumF";#N/A,#N/A,TRUE,"FigExchange";#N/A,#N/A,TRUE,"Escalation";#N/A,#N/A,TRUE,"GraphEscalate";#N/A,#N/A,TRUE,"Scenarios"}</definedName>
    <definedName name="wrn.Section1Summaries." localSheetId="15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0" hidden="1">{#N/A,#N/A,TRUE,"Section4";#N/A,#N/A,TRUE,"PPAtable";#N/A,#N/A,TRUE,"RFPtable";#N/A,#N/A,TRUE,"RevCap";#N/A,#N/A,TRUE,"RevOther";#N/A,#N/A,TRUE,"RevGas";#N/A,#N/A,TRUE,"GraphRev"}</definedName>
    <definedName name="wrn.Section4Revenue." localSheetId="15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0" hidden="1">{#N/A,#N/A,TRUE,"Section7";#N/A,#N/A,TRUE,"DebtService";#N/A,#N/A,TRUE,"LoanSchedules";#N/A,#N/A,TRUE,"GraphDebt"}</definedName>
    <definedName name="wrn.Section7DebtService." localSheetId="15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0" hidden="1">{"YTD-Total",#N/A,FALSE,"Provision"}</definedName>
    <definedName name="wrn.Standard." localSheetId="15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0" hidden="1">{"YTD-NonUtility",#N/A,FALSE,"Prov NonUtility"}</definedName>
    <definedName name="wrn.Standard._.NonUtility._.Only." localSheetId="15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0" hidden="1">{"YTD-Utility",#N/A,FALSE,"Prov Utility"}</definedName>
    <definedName name="wrn.Standard._.Utility._.Only." localSheetId="15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0" hidden="1">{#N/A,#N/A,FALSE,"Sum Qtr";#N/A,#N/A,FALSE,"Oper Sum";#N/A,#N/A,FALSE,"Land Sales";#N/A,#N/A,FALSE,"Finance";#N/A,#N/A,FALSE,"Oper Ass"}</definedName>
    <definedName name="wrn.Summary." localSheetId="15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0" hidden="1">{#N/A,#N/A,FALSE,"Consltd-For contngcy"}</definedName>
    <definedName name="wrn.Summary._.View." localSheetId="15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0" hidden="1">{"Total Summary",#N/A,FALSE,"Summary"}</definedName>
    <definedName name="wrn.Total._.Summary." localSheetId="15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0" hidden="1">{#N/A,#N/A,FALSE,"Dec 1999 UK Continuing Ops"}</definedName>
    <definedName name="wrn.UK._.Conversion._.Only." localSheetId="15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0" hidden="1">{#N/A,#N/A,FALSE,"schA"}</definedName>
    <definedName name="www" localSheetId="15" hidden="1">{#N/A,#N/A,FALSE,"schA"}</definedName>
    <definedName name="www" localSheetId="0" hidden="1">{#N/A,#N/A,FALSE,"schA"}</definedName>
    <definedName name="www" hidden="1">{#N/A,#N/A,FALSE,"schA"}</definedName>
    <definedName name="x">'[33]Weather Present'!$K$7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5" hidden="1">#REF!</definedName>
    <definedName name="y" hidden="1">'[3]DSM Output'!$B$21:$B$23</definedName>
    <definedName name="Year">#REF!</definedName>
    <definedName name="YearEndFactors">[14]UTCR!$G$22:$U$108</definedName>
    <definedName name="YearEndInput">[14]Inputs!$A$3:$D$1668</definedName>
    <definedName name="YEFactors">[12]Factors!$S$3:$AG$99</definedName>
    <definedName name="yuf" localSheetId="10" hidden="1">{#N/A,#N/A,FALSE,"Summ";#N/A,#N/A,FALSE,"General"}</definedName>
    <definedName name="yuf" localSheetId="15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5" hidden="1">#REF!</definedName>
    <definedName name="z" hidden="1">'[3]DSM Output'!$G$21:$G$23</definedName>
    <definedName name="Z_01844156_6462_4A28_9785_1A86F4D0C834_.wvu.PrintTitles" localSheetId="10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42E97926_E608_454B_8BAC_0CDB06A413D8_.wvu.PrintTitles" localSheetId="14" hidden="1">'Normalized Summary'!$B$2:$S$7</definedName>
    <definedName name="ZA">'[34] annual balance 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12834" l="1"/>
  <c r="W17" i="12834"/>
  <c r="W16" i="12834"/>
  <c r="W15" i="12834"/>
  <c r="U16" i="12834"/>
  <c r="U15" i="12834"/>
  <c r="U11" i="12834"/>
  <c r="U12" i="12834"/>
  <c r="Q22" i="12834" l="1"/>
  <c r="E70" i="12834"/>
  <c r="E69" i="12834"/>
  <c r="E68" i="12834"/>
  <c r="E65" i="12834"/>
  <c r="E64" i="12834"/>
  <c r="E63" i="12834"/>
  <c r="E62" i="12834"/>
  <c r="E59" i="12834"/>
  <c r="E58" i="12834"/>
  <c r="E57" i="12834"/>
  <c r="E56" i="12834"/>
  <c r="E55" i="12834" a="1"/>
  <c r="E55" i="12834" s="1"/>
  <c r="E44" i="12834"/>
  <c r="E43" i="12834"/>
  <c r="E42" i="12834"/>
  <c r="E39" i="12834"/>
  <c r="E38" i="12834"/>
  <c r="E37" i="12834"/>
  <c r="E36" i="12834"/>
  <c r="E35" i="12834"/>
  <c r="E34" i="12834"/>
  <c r="E33" i="12834"/>
  <c r="E45" i="12834" a="1"/>
  <c r="E45" i="12834" s="1"/>
  <c r="E46" i="12834"/>
  <c r="E47" i="12834"/>
  <c r="E48" i="12834"/>
  <c r="E49" i="12834"/>
  <c r="E52" i="12834"/>
  <c r="E53" i="12834"/>
  <c r="E54" i="12834"/>
  <c r="K70" i="12834"/>
  <c r="K65" i="12834"/>
  <c r="K64" i="12834"/>
  <c r="K63" i="12834"/>
  <c r="K59" i="12834"/>
  <c r="K58" i="12834"/>
  <c r="K57" i="12834"/>
  <c r="K49" i="12834"/>
  <c r="K48" i="12834"/>
  <c r="K47" i="12834"/>
  <c r="K39" i="12834"/>
  <c r="K38" i="12834"/>
  <c r="K37" i="12834"/>
  <c r="G70" i="12834"/>
  <c r="G65" i="12834"/>
  <c r="G64" i="12834"/>
  <c r="G63" i="12834"/>
  <c r="G59" i="12834"/>
  <c r="G58" i="12834"/>
  <c r="G57" i="12834"/>
  <c r="G49" i="12834"/>
  <c r="G48" i="12834"/>
  <c r="G47" i="12834"/>
  <c r="G39" i="12834"/>
  <c r="G38" i="12834"/>
  <c r="G37" i="12834"/>
  <c r="F70" i="12834"/>
  <c r="F65" i="12834"/>
  <c r="F64" i="12834"/>
  <c r="F63" i="12834"/>
  <c r="F59" i="12834"/>
  <c r="F58" i="12834"/>
  <c r="F57" i="12834"/>
  <c r="F49" i="12834"/>
  <c r="F48" i="12834"/>
  <c r="F47" i="12834"/>
  <c r="F39" i="12834"/>
  <c r="F38" i="12834"/>
  <c r="F37" i="12834"/>
  <c r="T56" i="12834" l="1"/>
  <c r="T46" i="12834"/>
  <c r="T39" i="12834"/>
  <c r="T33" i="12834"/>
  <c r="T16" i="12834"/>
  <c r="T15" i="12834"/>
  <c r="I8" i="12827"/>
  <c r="I9" i="12827"/>
  <c r="I10" i="12827"/>
  <c r="I11" i="12827"/>
  <c r="I12" i="12827"/>
  <c r="I13" i="12827"/>
  <c r="I14" i="12827"/>
  <c r="I15" i="12827"/>
  <c r="I16" i="12827"/>
  <c r="I17" i="12827"/>
  <c r="I18" i="12827"/>
  <c r="I19" i="12827"/>
  <c r="I20" i="12827"/>
  <c r="I21" i="12827"/>
  <c r="I22" i="12827"/>
  <c r="I23" i="12827"/>
  <c r="I24" i="12827"/>
  <c r="I25" i="12827"/>
  <c r="I26" i="12827"/>
  <c r="I27" i="12827"/>
  <c r="I7" i="12827"/>
  <c r="H15" i="12827"/>
  <c r="H14" i="12827"/>
  <c r="H13" i="12827"/>
  <c r="H12" i="12827"/>
  <c r="H11" i="12827"/>
  <c r="H10" i="12827"/>
  <c r="H23" i="12827" l="1"/>
  <c r="H24" i="12827"/>
  <c r="H25" i="12827"/>
  <c r="H26" i="12827"/>
  <c r="H27" i="12827"/>
  <c r="H22" i="12827"/>
  <c r="U175" i="12825" l="1"/>
  <c r="U169" i="12825"/>
  <c r="U168" i="12825"/>
  <c r="U161" i="12825"/>
  <c r="U160" i="12825"/>
  <c r="U109" i="12825"/>
  <c r="U103" i="12825"/>
  <c r="U102" i="12825"/>
  <c r="U95" i="12825"/>
  <c r="U94" i="12825"/>
  <c r="P58" i="12826"/>
  <c r="P35" i="12826"/>
  <c r="P29" i="12826" l="1"/>
  <c r="P30" i="12826"/>
  <c r="F112" i="12821" l="1"/>
  <c r="F111" i="12821"/>
  <c r="F110" i="12821"/>
  <c r="F109" i="12821"/>
  <c r="F108" i="12821"/>
  <c r="F107" i="12821"/>
  <c r="F106" i="12821"/>
  <c r="F105" i="12821"/>
  <c r="F104" i="12821"/>
  <c r="F103" i="12821"/>
  <c r="F102" i="12821"/>
  <c r="F101" i="12821"/>
  <c r="F100" i="12821"/>
  <c r="F99" i="12821"/>
  <c r="F98" i="12821"/>
  <c r="F94" i="12821"/>
  <c r="F93" i="12821"/>
  <c r="F92" i="12821"/>
  <c r="F91" i="12821"/>
  <c r="F90" i="12821"/>
  <c r="F89" i="12821"/>
  <c r="F88" i="12821"/>
  <c r="F87" i="12821"/>
  <c r="F86" i="12821"/>
  <c r="F85" i="12821"/>
  <c r="F84" i="12821"/>
  <c r="F83" i="12821"/>
  <c r="F82" i="12821"/>
  <c r="F81" i="12821"/>
  <c r="F80" i="12821"/>
  <c r="F76" i="12821"/>
  <c r="F75" i="12821"/>
  <c r="F74" i="12821"/>
  <c r="F73" i="12821"/>
  <c r="F72" i="12821"/>
  <c r="F71" i="12821"/>
  <c r="F70" i="12821"/>
  <c r="F69" i="12821"/>
  <c r="F68" i="12821"/>
  <c r="F67" i="12821"/>
  <c r="F66" i="12821"/>
  <c r="F65" i="12821"/>
  <c r="F64" i="12821"/>
  <c r="F63" i="12821"/>
  <c r="F62" i="12821"/>
  <c r="F58" i="12821"/>
  <c r="F57" i="12821"/>
  <c r="F56" i="12821"/>
  <c r="F55" i="12821"/>
  <c r="F54" i="12821"/>
  <c r="F53" i="12821"/>
  <c r="F52" i="12821"/>
  <c r="F51" i="12821"/>
  <c r="F50" i="12821"/>
  <c r="F49" i="12821"/>
  <c r="F48" i="12821"/>
  <c r="F47" i="12821"/>
  <c r="F46" i="12821"/>
  <c r="F45" i="12821"/>
  <c r="F44" i="12821"/>
  <c r="F40" i="12821"/>
  <c r="F39" i="12821"/>
  <c r="F38" i="12821"/>
  <c r="F37" i="12821"/>
  <c r="F36" i="12821"/>
  <c r="F35" i="12821"/>
  <c r="F34" i="12821"/>
  <c r="F33" i="12821"/>
  <c r="F32" i="12821"/>
  <c r="F31" i="12821"/>
  <c r="F30" i="12821"/>
  <c r="F29" i="12821"/>
  <c r="F28" i="12821"/>
  <c r="F27" i="12821"/>
  <c r="F26" i="12821"/>
  <c r="F9" i="12821"/>
  <c r="F10" i="12821"/>
  <c r="F11" i="12821"/>
  <c r="F12" i="12821"/>
  <c r="F13" i="12821"/>
  <c r="F14" i="12821"/>
  <c r="F15" i="12821"/>
  <c r="F16" i="12821"/>
  <c r="F17" i="12821"/>
  <c r="F18" i="12821"/>
  <c r="F19" i="12821"/>
  <c r="F20" i="12821"/>
  <c r="F21" i="12821"/>
  <c r="F22" i="12821"/>
  <c r="F8" i="12821"/>
  <c r="E11" i="12835"/>
  <c r="D32" i="12835"/>
  <c r="D31" i="12835"/>
  <c r="C11" i="12835"/>
  <c r="C10" i="12835"/>
  <c r="E10" i="12835" s="1"/>
  <c r="C9" i="12835"/>
  <c r="E9" i="12835" s="1"/>
  <c r="C8" i="12835"/>
  <c r="E8" i="12835" s="1"/>
  <c r="E14" i="12835"/>
  <c r="E15" i="12835"/>
  <c r="E16" i="12835"/>
  <c r="E17" i="12835"/>
  <c r="E18" i="12835"/>
  <c r="E19" i="12835"/>
  <c r="E13" i="12835"/>
  <c r="E12" i="12835"/>
  <c r="D14" i="12835"/>
  <c r="I14" i="12835" s="1"/>
  <c r="D15" i="12835"/>
  <c r="F15" i="12835" s="1"/>
  <c r="D16" i="12835"/>
  <c r="F16" i="12835" s="1"/>
  <c r="D17" i="12835"/>
  <c r="I17" i="12835" s="1"/>
  <c r="D18" i="12835"/>
  <c r="F18" i="12835" s="1"/>
  <c r="D19" i="12835"/>
  <c r="I19" i="12835" s="1"/>
  <c r="D12" i="12835"/>
  <c r="I12" i="12835" s="1"/>
  <c r="J12" i="12835" s="1"/>
  <c r="L12" i="12835" s="1"/>
  <c r="G16" i="12835" l="1"/>
  <c r="H16" i="12835" s="1"/>
  <c r="I16" i="12835"/>
  <c r="K16" i="12835" s="1"/>
  <c r="G15" i="12835"/>
  <c r="H15" i="12835" s="1"/>
  <c r="F17" i="12835"/>
  <c r="G17" i="12835" s="1"/>
  <c r="H17" i="12835" s="1"/>
  <c r="I15" i="12835"/>
  <c r="K15" i="12835" s="1"/>
  <c r="F12" i="12835"/>
  <c r="G12" i="12835" s="1"/>
  <c r="H12" i="12835" s="1"/>
  <c r="J14" i="12835"/>
  <c r="L14" i="12835" s="1"/>
  <c r="K14" i="12835"/>
  <c r="J19" i="12835"/>
  <c r="L19" i="12835" s="1"/>
  <c r="K19" i="12835"/>
  <c r="K17" i="12835"/>
  <c r="J17" i="12835"/>
  <c r="L17" i="12835" s="1"/>
  <c r="G18" i="12835"/>
  <c r="H18" i="12835" s="1"/>
  <c r="I18" i="12835"/>
  <c r="F19" i="12835"/>
  <c r="G19" i="12835" s="1"/>
  <c r="H19" i="12835" s="1"/>
  <c r="F14" i="12835"/>
  <c r="G14" i="12835" s="1"/>
  <c r="H14" i="12835" s="1"/>
  <c r="O12" i="12835"/>
  <c r="P12" i="12835" s="1"/>
  <c r="K12" i="12835"/>
  <c r="M12" i="12835" s="1"/>
  <c r="N12" i="12835" s="1"/>
  <c r="J16" i="12835" l="1"/>
  <c r="L16" i="12835" s="1"/>
  <c r="M16" i="12835" s="1"/>
  <c r="N16" i="12835" s="1"/>
  <c r="J15" i="12835"/>
  <c r="L15" i="12835" s="1"/>
  <c r="M15" i="12835" s="1"/>
  <c r="N15" i="12835" s="1"/>
  <c r="K18" i="12835"/>
  <c r="J18" i="12835"/>
  <c r="L18" i="12835" s="1"/>
  <c r="M19" i="12835"/>
  <c r="N19" i="12835" s="1"/>
  <c r="O19" i="12835"/>
  <c r="P19" i="12835" s="1"/>
  <c r="M14" i="12835"/>
  <c r="N14" i="12835" s="1"/>
  <c r="O14" i="12835"/>
  <c r="P14" i="12835" s="1"/>
  <c r="M17" i="12835"/>
  <c r="N17" i="12835" s="1"/>
  <c r="O17" i="12835"/>
  <c r="P17" i="12835" s="1"/>
  <c r="O16" i="12835" l="1"/>
  <c r="P16" i="12835" s="1"/>
  <c r="O15" i="12835"/>
  <c r="P15" i="12835" s="1"/>
  <c r="M18" i="12835"/>
  <c r="N18" i="12835" s="1"/>
  <c r="O18" i="12835"/>
  <c r="P18" i="12835" s="1"/>
  <c r="C7" i="12835" l="1"/>
  <c r="E7" i="12835" s="1"/>
  <c r="T108" i="12821"/>
  <c r="T109" i="12821"/>
  <c r="T110" i="12821"/>
  <c r="T111" i="12821"/>
  <c r="T112" i="12821"/>
  <c r="T113" i="12821"/>
  <c r="T114" i="12821"/>
  <c r="T107" i="12821"/>
  <c r="H135" i="12827"/>
  <c r="H136" i="12827"/>
  <c r="H137" i="12827"/>
  <c r="H138" i="12827"/>
  <c r="H139" i="12827"/>
  <c r="H140" i="12827"/>
  <c r="H141" i="12827"/>
  <c r="H142" i="12827"/>
  <c r="H143" i="12827"/>
  <c r="H144" i="12827"/>
  <c r="H145" i="12827"/>
  <c r="H146" i="12827"/>
  <c r="H147" i="12827"/>
  <c r="H148" i="12827"/>
  <c r="H149" i="12827"/>
  <c r="H150" i="12827"/>
  <c r="H151" i="12827"/>
  <c r="H152" i="12827"/>
  <c r="H134" i="12827"/>
  <c r="H84" i="12827"/>
  <c r="H85" i="12827"/>
  <c r="H86" i="12827"/>
  <c r="H87" i="12827"/>
  <c r="H88" i="12827"/>
  <c r="H89" i="12827"/>
  <c r="H90" i="12827"/>
  <c r="H91" i="12827"/>
  <c r="H92" i="12827"/>
  <c r="H93" i="12827"/>
  <c r="H94" i="12827"/>
  <c r="H95" i="12827"/>
  <c r="H96" i="12827"/>
  <c r="H97" i="12827"/>
  <c r="H98" i="12827"/>
  <c r="H99" i="12827"/>
  <c r="H100" i="12827"/>
  <c r="H101" i="12827"/>
  <c r="H83" i="12827"/>
  <c r="T102" i="12823"/>
  <c r="T103" i="12823"/>
  <c r="T104" i="12823"/>
  <c r="T105" i="12823"/>
  <c r="T106" i="12823"/>
  <c r="T107" i="12823"/>
  <c r="T108" i="12823"/>
  <c r="T109" i="12823"/>
  <c r="T110" i="12823"/>
  <c r="T111" i="12823"/>
  <c r="T101" i="12823"/>
  <c r="T61" i="12823"/>
  <c r="T62" i="12823"/>
  <c r="T63" i="12823"/>
  <c r="T64" i="12823"/>
  <c r="T65" i="12823"/>
  <c r="T66" i="12823"/>
  <c r="T67" i="12823"/>
  <c r="T68" i="12823"/>
  <c r="T69" i="12823"/>
  <c r="T70" i="12823"/>
  <c r="T60" i="12823"/>
  <c r="P59" i="12826"/>
  <c r="P60" i="12826"/>
  <c r="P61" i="12826"/>
  <c r="P62" i="12826"/>
  <c r="P57" i="12826"/>
  <c r="P36" i="12826"/>
  <c r="P37" i="12826"/>
  <c r="P38" i="12826"/>
  <c r="P39" i="12826"/>
  <c r="P34" i="12826"/>
  <c r="U179" i="12825"/>
  <c r="U178" i="12825"/>
  <c r="U177" i="12825"/>
  <c r="U176" i="12825"/>
  <c r="U159" i="12825"/>
  <c r="U162" i="12825"/>
  <c r="U163" i="12825"/>
  <c r="U164" i="12825"/>
  <c r="U165" i="12825"/>
  <c r="U166" i="12825"/>
  <c r="U167" i="12825"/>
  <c r="U170" i="12825"/>
  <c r="U171" i="12825"/>
  <c r="U172" i="12825"/>
  <c r="U173" i="12825"/>
  <c r="U158" i="12825"/>
  <c r="U113" i="12825"/>
  <c r="U112" i="12825"/>
  <c r="U111" i="12825"/>
  <c r="U110" i="12825"/>
  <c r="U93" i="12825"/>
  <c r="U96" i="12825"/>
  <c r="U97" i="12825"/>
  <c r="U98" i="12825"/>
  <c r="U99" i="12825"/>
  <c r="U100" i="12825"/>
  <c r="U101" i="12825"/>
  <c r="U104" i="12825"/>
  <c r="U105" i="12825"/>
  <c r="U106" i="12825"/>
  <c r="U107" i="12825"/>
  <c r="U92" i="12825"/>
  <c r="T179" i="12822"/>
  <c r="T178" i="12822"/>
  <c r="T177" i="12822"/>
  <c r="T167" i="12822"/>
  <c r="T168" i="12822"/>
  <c r="T169" i="12822"/>
  <c r="T170" i="12822"/>
  <c r="T171" i="12822"/>
  <c r="T172" i="12822"/>
  <c r="T173" i="12822"/>
  <c r="T166" i="12822"/>
  <c r="T115" i="12822"/>
  <c r="T116" i="12822"/>
  <c r="T114" i="12822"/>
  <c r="T104" i="12822"/>
  <c r="T105" i="12822"/>
  <c r="T106" i="12822"/>
  <c r="T107" i="12822"/>
  <c r="T108" i="12822"/>
  <c r="T109" i="12822"/>
  <c r="T110" i="12822"/>
  <c r="T103" i="12822"/>
  <c r="T206" i="12821"/>
  <c r="T193" i="12821"/>
  <c r="T194" i="12821"/>
  <c r="T195" i="12821"/>
  <c r="T196" i="12821"/>
  <c r="T197" i="12821"/>
  <c r="T198" i="12821"/>
  <c r="T199" i="12821"/>
  <c r="T200" i="12821"/>
  <c r="T201" i="12821"/>
  <c r="T202" i="12821"/>
  <c r="T192" i="12821"/>
  <c r="T129" i="12821"/>
  <c r="T116" i="12821"/>
  <c r="T117" i="12821"/>
  <c r="T118" i="12821"/>
  <c r="T119" i="12821"/>
  <c r="T120" i="12821"/>
  <c r="T121" i="12821"/>
  <c r="T122" i="12821"/>
  <c r="T123" i="12821"/>
  <c r="T124" i="12821"/>
  <c r="T125" i="12821"/>
  <c r="T115" i="12821"/>
  <c r="R65" i="12820"/>
  <c r="R66" i="12820"/>
  <c r="R67" i="12820"/>
  <c r="R68" i="12820"/>
  <c r="R69" i="12820"/>
  <c r="R70" i="12820"/>
  <c r="R71" i="12820"/>
  <c r="R64" i="12820"/>
  <c r="R41" i="12820"/>
  <c r="R42" i="12820"/>
  <c r="R43" i="12820"/>
  <c r="R44" i="12820"/>
  <c r="R45" i="12820"/>
  <c r="R46" i="12820"/>
  <c r="R47" i="12820"/>
  <c r="R40" i="12820"/>
  <c r="T94" i="12823"/>
  <c r="T95" i="12823"/>
  <c r="T96" i="12823"/>
  <c r="T97" i="12823"/>
  <c r="T98" i="12823"/>
  <c r="T99" i="12823"/>
  <c r="T100" i="12823"/>
  <c r="T93" i="12823"/>
  <c r="T54" i="12823"/>
  <c r="T55" i="12823"/>
  <c r="T56" i="12823"/>
  <c r="T57" i="12823"/>
  <c r="T58" i="12823"/>
  <c r="T59" i="12823"/>
  <c r="T53" i="12823"/>
  <c r="P52" i="12826"/>
  <c r="P53" i="12826"/>
  <c r="P54" i="12826"/>
  <c r="P55" i="12826"/>
  <c r="P56" i="12826"/>
  <c r="P51" i="12826"/>
  <c r="P31" i="12826"/>
  <c r="P32" i="12826"/>
  <c r="P33" i="12826"/>
  <c r="U153" i="12825"/>
  <c r="U154" i="12825"/>
  <c r="U155" i="12825"/>
  <c r="U156" i="12825"/>
  <c r="U157" i="12825"/>
  <c r="U152" i="12825"/>
  <c r="U88" i="12825"/>
  <c r="U89" i="12825"/>
  <c r="U90" i="12825"/>
  <c r="U91" i="12825"/>
  <c r="U87" i="12825"/>
  <c r="T158" i="12822"/>
  <c r="T159" i="12822"/>
  <c r="T160" i="12822"/>
  <c r="T161" i="12822"/>
  <c r="T162" i="12822"/>
  <c r="T163" i="12822"/>
  <c r="T164" i="12822"/>
  <c r="T165" i="12822"/>
  <c r="T157" i="12822"/>
  <c r="T96" i="12822"/>
  <c r="T97" i="12822"/>
  <c r="T98" i="12822"/>
  <c r="T99" i="12822"/>
  <c r="T100" i="12822"/>
  <c r="T101" i="12822"/>
  <c r="T102" i="12822"/>
  <c r="T95" i="12822"/>
  <c r="T184" i="12821"/>
  <c r="T185" i="12821"/>
  <c r="T186" i="12821"/>
  <c r="T187" i="12821"/>
  <c r="T188" i="12821"/>
  <c r="T189" i="12821"/>
  <c r="T190" i="12821"/>
  <c r="T191" i="12821"/>
  <c r="T183" i="12821"/>
  <c r="D55" i="12834" l="1"/>
  <c r="D45" i="12834"/>
  <c r="O41" i="12834" l="1"/>
  <c r="O51" i="12834"/>
  <c r="O61" i="12834"/>
  <c r="O67" i="12834"/>
  <c r="O72" i="12834"/>
  <c r="V28" i="12820" l="1"/>
  <c r="X70" i="12820" s="1"/>
  <c r="X138" i="12821"/>
  <c r="W138" i="12821"/>
  <c r="S204" i="12821" l="1"/>
  <c r="S203" i="12821"/>
  <c r="S127" i="12821"/>
  <c r="S126" i="12821"/>
  <c r="X44" i="12820"/>
  <c r="X45" i="12820"/>
  <c r="X71" i="12820"/>
  <c r="X46" i="12820"/>
  <c r="X47" i="12820"/>
  <c r="X68" i="12820"/>
  <c r="X69" i="12820"/>
  <c r="AE78" i="12825" l="1"/>
  <c r="AE77" i="12825"/>
  <c r="V7" i="12833" l="1"/>
  <c r="W7" i="12833"/>
  <c r="X7" i="12833"/>
  <c r="Y7" i="12833"/>
  <c r="Z7" i="12833"/>
  <c r="AA7" i="12833"/>
  <c r="AB7" i="12833"/>
  <c r="U7" i="12833"/>
  <c r="M7" i="12833"/>
  <c r="N7" i="12833"/>
  <c r="O7" i="12833"/>
  <c r="P7" i="12833"/>
  <c r="Q7" i="12833"/>
  <c r="R7" i="12833"/>
  <c r="S7" i="12833"/>
  <c r="L7" i="12833"/>
  <c r="D70" i="12834" a="1"/>
  <c r="D70" i="12834" s="1"/>
  <c r="D63" i="12834" a="1"/>
  <c r="D63" i="12834" s="1"/>
  <c r="D64" i="12834" a="1"/>
  <c r="D64" i="12834" s="1"/>
  <c r="D65" i="12834" a="1"/>
  <c r="D65" i="12834" s="1"/>
  <c r="D57" i="12834" a="1"/>
  <c r="D57" i="12834" s="1"/>
  <c r="D58" i="12834" a="1"/>
  <c r="D58" i="12834" s="1"/>
  <c r="D59" i="12834" a="1"/>
  <c r="D59" i="12834" s="1"/>
  <c r="D47" i="12834" a="1"/>
  <c r="D47" i="12834" s="1"/>
  <c r="D48" i="12834" a="1"/>
  <c r="D48" i="12834" s="1"/>
  <c r="D49" i="12834" a="1"/>
  <c r="D49" i="12834" s="1"/>
  <c r="D37" i="12834" a="1"/>
  <c r="D37" i="12834" s="1"/>
  <c r="D38" i="12834" a="1"/>
  <c r="D38" i="12834" s="1"/>
  <c r="D39" i="12834" a="1"/>
  <c r="D39" i="12834" s="1"/>
  <c r="D23" i="12834" l="1"/>
  <c r="D21" i="12834"/>
  <c r="D22" i="12834"/>
  <c r="E22" i="12834"/>
  <c r="E23" i="12834"/>
  <c r="E21" i="12834"/>
  <c r="E51" i="12823" l="1"/>
  <c r="F51" i="12823" s="1"/>
  <c r="E52" i="12823"/>
  <c r="F52" i="12823" s="1"/>
  <c r="E53" i="12823"/>
  <c r="F53" i="12823" s="1"/>
  <c r="E54" i="12823"/>
  <c r="E55" i="12823"/>
  <c r="F55" i="12823" s="1"/>
  <c r="E56" i="12823"/>
  <c r="F56" i="12823" s="1"/>
  <c r="E57" i="12823"/>
  <c r="E58" i="12823"/>
  <c r="E59" i="12823"/>
  <c r="F59" i="12823" s="1"/>
  <c r="E60" i="12823"/>
  <c r="F60" i="12823" s="1"/>
  <c r="E61" i="12823"/>
  <c r="E62" i="12823"/>
  <c r="E63" i="12823"/>
  <c r="F63" i="12823" s="1"/>
  <c r="E64" i="12823"/>
  <c r="F64" i="12823" s="1"/>
  <c r="E65" i="12823"/>
  <c r="E66" i="12823"/>
  <c r="E67" i="12823"/>
  <c r="F67" i="12823" s="1"/>
  <c r="F65" i="12823" l="1"/>
  <c r="F58" i="12823"/>
  <c r="F66" i="12823"/>
  <c r="F62" i="12823"/>
  <c r="F61" i="12823"/>
  <c r="F57" i="12823"/>
  <c r="F54" i="12823"/>
  <c r="E50" i="12823"/>
  <c r="D9" i="12822"/>
  <c r="D10" i="12822"/>
  <c r="E10" i="12822" s="1"/>
  <c r="D11" i="12822"/>
  <c r="E11" i="12822" s="1"/>
  <c r="D12" i="12822"/>
  <c r="E12" i="12822" s="1"/>
  <c r="D13" i="12822"/>
  <c r="D14" i="12822"/>
  <c r="E14" i="12822" s="1"/>
  <c r="D15" i="12822"/>
  <c r="E15" i="12822" s="1"/>
  <c r="D16" i="12822"/>
  <c r="E16" i="12822" s="1"/>
  <c r="D17" i="12822"/>
  <c r="D18" i="12822"/>
  <c r="E18" i="12822" s="1"/>
  <c r="D19" i="12822"/>
  <c r="E19" i="12822" s="1"/>
  <c r="D20" i="12822"/>
  <c r="E20" i="12822" s="1"/>
  <c r="D21" i="12822"/>
  <c r="D22" i="12822"/>
  <c r="E22" i="12822" s="1"/>
  <c r="D23" i="12822"/>
  <c r="E23" i="12822" s="1"/>
  <c r="D24" i="12822"/>
  <c r="E24" i="12822" s="1"/>
  <c r="D25" i="12822"/>
  <c r="D26" i="12822"/>
  <c r="E26" i="12822" s="1"/>
  <c r="D27" i="12822"/>
  <c r="E27" i="12822" s="1"/>
  <c r="D28" i="12822"/>
  <c r="E28" i="12822" s="1"/>
  <c r="D8" i="12822"/>
  <c r="E8" i="12822" s="1"/>
  <c r="AB115" i="12822"/>
  <c r="AA116" i="12822"/>
  <c r="AA115" i="12822"/>
  <c r="AB179" i="12822"/>
  <c r="AB178" i="12822"/>
  <c r="AB116" i="12822"/>
  <c r="E8" i="12825"/>
  <c r="E9" i="12825"/>
  <c r="E10" i="12825"/>
  <c r="E9" i="12822" l="1"/>
  <c r="E25" i="12822"/>
  <c r="E21" i="12822"/>
  <c r="E17" i="12822"/>
  <c r="E13" i="12822"/>
  <c r="F50" i="12823"/>
  <c r="D8" i="12820" l="1"/>
  <c r="D9" i="12820"/>
  <c r="D10" i="12820"/>
  <c r="D11" i="12820"/>
  <c r="D12" i="12820"/>
  <c r="D13" i="12820"/>
  <c r="D14" i="12820"/>
  <c r="D15" i="12820"/>
  <c r="D16" i="12820"/>
  <c r="D17" i="12820"/>
  <c r="D18" i="12820"/>
  <c r="D19" i="12820"/>
  <c r="D20" i="12820"/>
  <c r="D21" i="12820"/>
  <c r="D23" i="12820"/>
  <c r="D24" i="12820"/>
  <c r="D25" i="12820"/>
  <c r="D26" i="12820"/>
  <c r="D27" i="12820"/>
  <c r="D28" i="12820"/>
  <c r="E112" i="12821" l="1"/>
  <c r="E111" i="12821"/>
  <c r="E110" i="12821"/>
  <c r="E109" i="12821"/>
  <c r="E108" i="12821"/>
  <c r="E107" i="12821"/>
  <c r="E106" i="12821"/>
  <c r="E105" i="12821"/>
  <c r="E104" i="12821"/>
  <c r="E103" i="12821"/>
  <c r="E102" i="12821"/>
  <c r="E101" i="12821"/>
  <c r="E100" i="12821"/>
  <c r="E99" i="12821"/>
  <c r="E98" i="12821"/>
  <c r="E94" i="12821"/>
  <c r="E93" i="12821"/>
  <c r="E92" i="12821"/>
  <c r="E91" i="12821"/>
  <c r="E90" i="12821"/>
  <c r="E89" i="12821"/>
  <c r="E88" i="12821"/>
  <c r="E87" i="12821"/>
  <c r="E86" i="12821"/>
  <c r="E85" i="12821"/>
  <c r="E84" i="12821"/>
  <c r="E83" i="12821"/>
  <c r="E82" i="12821"/>
  <c r="E81" i="12821"/>
  <c r="E80" i="12821"/>
  <c r="E76" i="12821"/>
  <c r="E75" i="12821"/>
  <c r="E74" i="12821"/>
  <c r="E73" i="12821"/>
  <c r="E72" i="12821"/>
  <c r="E71" i="12821"/>
  <c r="E70" i="12821"/>
  <c r="E69" i="12821"/>
  <c r="E68" i="12821"/>
  <c r="E67" i="12821"/>
  <c r="E66" i="12821"/>
  <c r="E65" i="12821"/>
  <c r="E64" i="12821"/>
  <c r="E63" i="12821"/>
  <c r="E62" i="12821"/>
  <c r="E58" i="12821"/>
  <c r="E57" i="12821"/>
  <c r="E56" i="12821"/>
  <c r="E55" i="12821"/>
  <c r="E54" i="12821"/>
  <c r="E53" i="12821"/>
  <c r="E52" i="12821"/>
  <c r="E51" i="12821"/>
  <c r="E50" i="12821"/>
  <c r="E49" i="12821"/>
  <c r="E48" i="12821"/>
  <c r="E47" i="12821"/>
  <c r="E46" i="12821"/>
  <c r="E45" i="12821"/>
  <c r="E44" i="12821"/>
  <c r="E40" i="12821"/>
  <c r="E39" i="12821"/>
  <c r="E38" i="12821"/>
  <c r="E37" i="12821"/>
  <c r="E36" i="12821"/>
  <c r="E35" i="12821"/>
  <c r="E34" i="12821"/>
  <c r="E33" i="12821"/>
  <c r="E32" i="12821"/>
  <c r="E31" i="12821"/>
  <c r="E30" i="12821"/>
  <c r="E29" i="12821"/>
  <c r="E28" i="12821"/>
  <c r="E27" i="12821"/>
  <c r="E26" i="12821"/>
  <c r="E9" i="12821"/>
  <c r="E10" i="12821"/>
  <c r="E11" i="12821"/>
  <c r="E12" i="12821"/>
  <c r="E13" i="12821"/>
  <c r="E14" i="12821"/>
  <c r="E15" i="12821"/>
  <c r="E16" i="12821"/>
  <c r="E17" i="12821"/>
  <c r="E18" i="12821"/>
  <c r="E19" i="12821"/>
  <c r="E20" i="12821"/>
  <c r="E21" i="12821"/>
  <c r="E22" i="12821"/>
  <c r="E8" i="12821"/>
  <c r="U211" i="12821" l="1"/>
  <c r="U213" i="12821"/>
  <c r="U215" i="12821"/>
  <c r="U222" i="12821"/>
  <c r="U223" i="12821"/>
  <c r="U224" i="12821"/>
  <c r="U225" i="12821"/>
  <c r="U241" i="12821"/>
  <c r="U243" i="12821"/>
  <c r="U257" i="12821"/>
  <c r="U134" i="12821" l="1"/>
  <c r="U136" i="12821"/>
  <c r="U138" i="12821"/>
  <c r="U145" i="12821"/>
  <c r="U146" i="12821"/>
  <c r="U147" i="12821"/>
  <c r="U166" i="12821"/>
  <c r="U180" i="12821"/>
  <c r="U16" i="12820"/>
  <c r="AB38" i="12820" l="1"/>
  <c r="AD37" i="12820"/>
  <c r="AD36" i="12820"/>
  <c r="AD35" i="12820"/>
  <c r="AD34" i="12820"/>
  <c r="AD33" i="12820"/>
  <c r="AC32" i="12820"/>
  <c r="AC31" i="12820"/>
  <c r="AC30" i="12820"/>
  <c r="AC29" i="12820"/>
  <c r="AD28" i="12820"/>
  <c r="AD27" i="12820"/>
  <c r="AD26" i="12820"/>
  <c r="C109" i="12820"/>
  <c r="D109" i="12820" s="1"/>
  <c r="C110" i="12820"/>
  <c r="D110" i="12820" s="1"/>
  <c r="C111" i="12820"/>
  <c r="D111" i="12820" s="1"/>
  <c r="C112" i="12820"/>
  <c r="D112" i="12820" s="1"/>
  <c r="C113" i="12820"/>
  <c r="D113" i="12820" s="1"/>
  <c r="C114" i="12820"/>
  <c r="D114" i="12820" s="1"/>
  <c r="C115" i="12820"/>
  <c r="D115" i="12820" s="1"/>
  <c r="C116" i="12820"/>
  <c r="D116" i="12820" s="1"/>
  <c r="C117" i="12820"/>
  <c r="D117" i="12820" s="1"/>
  <c r="C118" i="12820"/>
  <c r="D118" i="12820" s="1"/>
  <c r="C119" i="12820"/>
  <c r="D119" i="12820" s="1"/>
  <c r="C120" i="12820"/>
  <c r="D120" i="12820" s="1"/>
  <c r="C121" i="12820"/>
  <c r="D121" i="12820" s="1"/>
  <c r="C123" i="12820"/>
  <c r="D123" i="12820" s="1"/>
  <c r="C124" i="12820"/>
  <c r="D124" i="12820" s="1"/>
  <c r="C125" i="12820"/>
  <c r="D125" i="12820" s="1"/>
  <c r="C126" i="12820"/>
  <c r="D126" i="12820" s="1"/>
  <c r="C127" i="12820"/>
  <c r="D127" i="12820" s="1"/>
  <c r="C128" i="12820"/>
  <c r="D128" i="12820" s="1"/>
  <c r="C108" i="12820"/>
  <c r="D108" i="12820" s="1"/>
  <c r="C84" i="12820"/>
  <c r="D84" i="12820" s="1"/>
  <c r="C85" i="12820"/>
  <c r="D85" i="12820" s="1"/>
  <c r="C86" i="12820"/>
  <c r="D86" i="12820" s="1"/>
  <c r="C87" i="12820"/>
  <c r="D87" i="12820" s="1"/>
  <c r="C88" i="12820"/>
  <c r="D88" i="12820" s="1"/>
  <c r="C89" i="12820"/>
  <c r="D89" i="12820" s="1"/>
  <c r="C90" i="12820"/>
  <c r="D90" i="12820" s="1"/>
  <c r="C91" i="12820"/>
  <c r="D91" i="12820" s="1"/>
  <c r="C92" i="12820"/>
  <c r="D92" i="12820" s="1"/>
  <c r="C93" i="12820"/>
  <c r="D93" i="12820" s="1"/>
  <c r="C94" i="12820"/>
  <c r="D94" i="12820" s="1"/>
  <c r="C95" i="12820"/>
  <c r="D95" i="12820" s="1"/>
  <c r="C96" i="12820"/>
  <c r="D96" i="12820" s="1"/>
  <c r="C98" i="12820"/>
  <c r="D98" i="12820" s="1"/>
  <c r="C99" i="12820"/>
  <c r="D99" i="12820" s="1"/>
  <c r="C100" i="12820"/>
  <c r="D100" i="12820" s="1"/>
  <c r="C101" i="12820"/>
  <c r="D101" i="12820" s="1"/>
  <c r="C102" i="12820"/>
  <c r="D102" i="12820" s="1"/>
  <c r="C103" i="12820"/>
  <c r="D103" i="12820" s="1"/>
  <c r="C83" i="12820"/>
  <c r="D83" i="12820" s="1"/>
  <c r="C34" i="12820"/>
  <c r="D34" i="12820" s="1"/>
  <c r="C35" i="12820"/>
  <c r="D35" i="12820" s="1"/>
  <c r="C36" i="12820"/>
  <c r="D36" i="12820" s="1"/>
  <c r="C37" i="12820"/>
  <c r="D37" i="12820" s="1"/>
  <c r="C38" i="12820"/>
  <c r="D38" i="12820" s="1"/>
  <c r="C39" i="12820"/>
  <c r="D39" i="12820" s="1"/>
  <c r="C40" i="12820"/>
  <c r="D40" i="12820" s="1"/>
  <c r="C41" i="12820"/>
  <c r="D41" i="12820" s="1"/>
  <c r="C42" i="12820"/>
  <c r="D42" i="12820" s="1"/>
  <c r="C43" i="12820"/>
  <c r="D43" i="12820" s="1"/>
  <c r="C44" i="12820"/>
  <c r="D44" i="12820" s="1"/>
  <c r="C45" i="12820"/>
  <c r="D45" i="12820" s="1"/>
  <c r="C46" i="12820"/>
  <c r="D46" i="12820" s="1"/>
  <c r="C48" i="12820"/>
  <c r="D48" i="12820" s="1"/>
  <c r="C49" i="12820"/>
  <c r="D49" i="12820" s="1"/>
  <c r="C50" i="12820"/>
  <c r="D50" i="12820" s="1"/>
  <c r="C51" i="12820"/>
  <c r="D51" i="12820" s="1"/>
  <c r="C52" i="12820"/>
  <c r="D52" i="12820" s="1"/>
  <c r="C53" i="12820"/>
  <c r="D53" i="12820" s="1"/>
  <c r="C33" i="12820"/>
  <c r="D33" i="12820" s="1"/>
  <c r="C71" i="12820" l="1"/>
  <c r="D71" i="12820" s="1"/>
  <c r="C146" i="12820"/>
  <c r="D146" i="12820" s="1"/>
  <c r="C63" i="12820"/>
  <c r="D63" i="12820" s="1"/>
  <c r="C138" i="12820"/>
  <c r="D138" i="12820" s="1"/>
  <c r="C70" i="12820"/>
  <c r="D70" i="12820" s="1"/>
  <c r="C145" i="12820"/>
  <c r="D145" i="12820" s="1"/>
  <c r="C62" i="12820"/>
  <c r="D62" i="12820" s="1"/>
  <c r="C137" i="12820"/>
  <c r="D137" i="12820" s="1"/>
  <c r="C78" i="12820"/>
  <c r="D78" i="12820" s="1"/>
  <c r="C153" i="12820"/>
  <c r="D153" i="12820" s="1"/>
  <c r="C61" i="12820"/>
  <c r="D61" i="12820" s="1"/>
  <c r="C136" i="12820"/>
  <c r="D136" i="12820" s="1"/>
  <c r="C77" i="12820"/>
  <c r="D77" i="12820" s="1"/>
  <c r="C152" i="12820"/>
  <c r="D152" i="12820" s="1"/>
  <c r="C68" i="12820"/>
  <c r="D68" i="12820" s="1"/>
  <c r="C143" i="12820"/>
  <c r="D143" i="12820" s="1"/>
  <c r="C60" i="12820"/>
  <c r="D60" i="12820" s="1"/>
  <c r="C135" i="12820"/>
  <c r="D135" i="12820" s="1"/>
  <c r="C73" i="12820"/>
  <c r="D73" i="12820" s="1"/>
  <c r="C148" i="12820"/>
  <c r="D148" i="12820" s="1"/>
  <c r="C69" i="12820"/>
  <c r="D69" i="12820" s="1"/>
  <c r="C144" i="12820"/>
  <c r="D144" i="12820" s="1"/>
  <c r="C76" i="12820"/>
  <c r="D76" i="12820" s="1"/>
  <c r="C151" i="12820"/>
  <c r="D151" i="12820" s="1"/>
  <c r="C67" i="12820"/>
  <c r="D67" i="12820" s="1"/>
  <c r="C142" i="12820"/>
  <c r="D142" i="12820" s="1"/>
  <c r="C59" i="12820"/>
  <c r="D59" i="12820" s="1"/>
  <c r="C134" i="12820"/>
  <c r="D134" i="12820" s="1"/>
  <c r="C64" i="12820"/>
  <c r="D64" i="12820" s="1"/>
  <c r="C139" i="12820"/>
  <c r="D139" i="12820" s="1"/>
  <c r="C58" i="12820"/>
  <c r="D58" i="12820" s="1"/>
  <c r="C133" i="12820"/>
  <c r="D133" i="12820" s="1"/>
  <c r="C75" i="12820"/>
  <c r="D75" i="12820" s="1"/>
  <c r="C150" i="12820"/>
  <c r="D150" i="12820" s="1"/>
  <c r="C66" i="12820"/>
  <c r="D66" i="12820" s="1"/>
  <c r="C141" i="12820"/>
  <c r="D141" i="12820" s="1"/>
  <c r="C74" i="12820"/>
  <c r="D74" i="12820" s="1"/>
  <c r="C149" i="12820"/>
  <c r="D149" i="12820" s="1"/>
  <c r="C65" i="12820"/>
  <c r="D65" i="12820" s="1"/>
  <c r="C140" i="12820"/>
  <c r="D140" i="12820" s="1"/>
  <c r="T60" i="12820"/>
  <c r="Q60" i="12820" s="1"/>
  <c r="T59" i="12820"/>
  <c r="Q59" i="12820" s="1"/>
  <c r="J7" i="12835" s="1"/>
  <c r="L7" i="12835" s="1"/>
  <c r="O7" i="12835" s="1"/>
  <c r="P7" i="12835" s="1"/>
  <c r="Q36" i="12820" l="1"/>
  <c r="Q35" i="12820"/>
  <c r="D7" i="12835" s="1"/>
  <c r="T39" i="12820"/>
  <c r="F7" i="12835" l="1"/>
  <c r="G7" i="12835" s="1"/>
  <c r="H7" i="12835" s="1"/>
  <c r="I7" i="12835"/>
  <c r="K7" i="12835" s="1"/>
  <c r="M7" i="12835" s="1"/>
  <c r="N7" i="12835" s="1"/>
  <c r="Q39" i="12820"/>
  <c r="T63" i="12820"/>
  <c r="Q63" i="12820" l="1"/>
  <c r="C35" i="12826" l="1"/>
  <c r="C36" i="12826"/>
  <c r="C37" i="12826"/>
  <c r="C38" i="12826"/>
  <c r="C39" i="12826"/>
  <c r="C40" i="12826"/>
  <c r="C41" i="12826"/>
  <c r="C42" i="12826"/>
  <c r="C43" i="12826"/>
  <c r="C44" i="12826"/>
  <c r="C45" i="12826"/>
  <c r="C34" i="12826"/>
  <c r="P15" i="12826" l="1"/>
  <c r="D38" i="12826" l="1"/>
  <c r="D34" i="12826"/>
  <c r="D45" i="12826"/>
  <c r="D37" i="12826"/>
  <c r="D44" i="12826"/>
  <c r="D36" i="12826"/>
  <c r="D43" i="12826"/>
  <c r="D35" i="12826"/>
  <c r="D42" i="12826"/>
  <c r="D41" i="12826"/>
  <c r="D40" i="12826"/>
  <c r="D39" i="12826"/>
  <c r="U50" i="12825"/>
  <c r="U42" i="12825"/>
  <c r="F10" i="12825" l="1"/>
  <c r="F8" i="12825"/>
  <c r="F9" i="12825"/>
  <c r="D12" i="12825"/>
  <c r="D13" i="12825"/>
  <c r="E13" i="12825" s="1"/>
  <c r="F13" i="12825" s="1"/>
  <c r="D11" i="12825"/>
  <c r="E11" i="12825" s="1"/>
  <c r="F11" i="12825" s="1"/>
  <c r="D14" i="12825" l="1"/>
  <c r="D17" i="12825" s="1"/>
  <c r="D16" i="12825"/>
  <c r="D15" i="12825"/>
  <c r="E15" i="12825" s="1"/>
  <c r="F15" i="12825" s="1"/>
  <c r="E12" i="12825"/>
  <c r="F12" i="12825" s="1"/>
  <c r="V181" i="12825"/>
  <c r="V183" i="12825"/>
  <c r="V196" i="12825"/>
  <c r="V206" i="12825"/>
  <c r="V208" i="12825"/>
  <c r="V213" i="12825"/>
  <c r="D18" i="12825" l="1"/>
  <c r="E18" i="12825" s="1"/>
  <c r="F18" i="12825" s="1"/>
  <c r="E14" i="12825"/>
  <c r="F14" i="12825" s="1"/>
  <c r="E17" i="12825"/>
  <c r="F17" i="12825" s="1"/>
  <c r="D21" i="12825"/>
  <c r="E21" i="12825" s="1"/>
  <c r="F21" i="12825" s="1"/>
  <c r="E16" i="12825"/>
  <c r="F16" i="12825" s="1"/>
  <c r="D19" i="12825"/>
  <c r="D22" i="12825" l="1"/>
  <c r="E22" i="12825" s="1"/>
  <c r="F22" i="12825" s="1"/>
  <c r="D24" i="12825"/>
  <c r="E24" i="12825" s="1"/>
  <c r="F24" i="12825" s="1"/>
  <c r="E19" i="12825"/>
  <c r="F19" i="12825" s="1"/>
  <c r="D23" i="12825"/>
  <c r="D25" i="12825" l="1"/>
  <c r="E25" i="12825" s="1"/>
  <c r="F25" i="12825" s="1"/>
  <c r="D27" i="12825"/>
  <c r="E27" i="12825" s="1"/>
  <c r="F27" i="12825" s="1"/>
  <c r="E23" i="12825"/>
  <c r="F23" i="12825" s="1"/>
  <c r="D26" i="12825"/>
  <c r="D28" i="12825" l="1"/>
  <c r="E28" i="12825" s="1"/>
  <c r="F28" i="12825" s="1"/>
  <c r="D30" i="12825"/>
  <c r="E30" i="12825" s="1"/>
  <c r="F30" i="12825" s="1"/>
  <c r="E26" i="12825"/>
  <c r="F26" i="12825" s="1"/>
  <c r="D29" i="12825"/>
  <c r="D31" i="12825" l="1"/>
  <c r="E31" i="12825" s="1"/>
  <c r="F31" i="12825" s="1"/>
  <c r="D34" i="12825"/>
  <c r="E34" i="12825" s="1"/>
  <c r="F34" i="12825" s="1"/>
  <c r="E29" i="12825"/>
  <c r="F29" i="12825" s="1"/>
  <c r="D32" i="12825"/>
  <c r="D35" i="12825" l="1"/>
  <c r="E35" i="12825" s="1"/>
  <c r="F35" i="12825" s="1"/>
  <c r="D37" i="12825"/>
  <c r="E37" i="12825" s="1"/>
  <c r="F37" i="12825" s="1"/>
  <c r="E32" i="12825"/>
  <c r="F32" i="12825" s="1"/>
  <c r="D36" i="12825"/>
  <c r="D38" i="12825" l="1"/>
  <c r="E38" i="12825" s="1"/>
  <c r="F38" i="12825" s="1"/>
  <c r="D40" i="12825"/>
  <c r="E40" i="12825" s="1"/>
  <c r="F40" i="12825" s="1"/>
  <c r="E36" i="12825"/>
  <c r="F36" i="12825" s="1"/>
  <c r="D39" i="12825"/>
  <c r="D41" i="12825" l="1"/>
  <c r="E41" i="12825" s="1"/>
  <c r="F41" i="12825" s="1"/>
  <c r="D43" i="12825"/>
  <c r="E43" i="12825" s="1"/>
  <c r="F43" i="12825" s="1"/>
  <c r="E39" i="12825"/>
  <c r="F39" i="12825" s="1"/>
  <c r="D42" i="12825"/>
  <c r="D44" i="12825" l="1"/>
  <c r="E44" i="12825" s="1"/>
  <c r="F44" i="12825" s="1"/>
  <c r="E42" i="12825"/>
  <c r="F42" i="12825" s="1"/>
  <c r="D45" i="12825"/>
  <c r="E45" i="12825" s="1"/>
  <c r="F45" i="12825" s="1"/>
  <c r="I183" i="12827"/>
  <c r="I179" i="12827"/>
  <c r="I177" i="12827"/>
  <c r="I164" i="12827"/>
  <c r="I160" i="12827"/>
  <c r="I156" i="12827"/>
  <c r="Q69" i="12826"/>
  <c r="H51" i="12824"/>
  <c r="U129" i="12823"/>
  <c r="U215" i="12822"/>
  <c r="U203" i="12822"/>
  <c r="U191" i="12822"/>
  <c r="U190" i="12822"/>
  <c r="U189" i="12822"/>
  <c r="U188" i="12822"/>
  <c r="U187" i="12822"/>
  <c r="S81" i="12820"/>
  <c r="S75" i="12820"/>
  <c r="S74" i="12820"/>
  <c r="S50" i="12820" l="1"/>
  <c r="S51" i="12820"/>
  <c r="S57" i="12820"/>
  <c r="R109" i="12833"/>
  <c r="AA109" i="12833" s="1"/>
  <c r="Q109" i="12833"/>
  <c r="Z109" i="12833" s="1"/>
  <c r="P109" i="12833"/>
  <c r="Y109" i="12833" s="1"/>
  <c r="O109" i="12833"/>
  <c r="X109" i="12833" s="1"/>
  <c r="N109" i="12833"/>
  <c r="W109" i="12833" s="1"/>
  <c r="M109" i="12833"/>
  <c r="V109" i="12833" s="1"/>
  <c r="L109" i="12833"/>
  <c r="U109" i="12833" s="1"/>
  <c r="J109" i="12833"/>
  <c r="J121" i="12833" s="1"/>
  <c r="I109" i="12833"/>
  <c r="I121" i="12833" s="1"/>
  <c r="H109" i="12833"/>
  <c r="H121" i="12833" s="1"/>
  <c r="G109" i="12833"/>
  <c r="G121" i="12833" s="1"/>
  <c r="F109" i="12833"/>
  <c r="F121" i="12833" s="1"/>
  <c r="E109" i="12833"/>
  <c r="E121" i="12833" s="1"/>
  <c r="D109" i="12833"/>
  <c r="D121" i="12833" s="1"/>
  <c r="R108" i="12833"/>
  <c r="AA108" i="12833" s="1"/>
  <c r="Q108" i="12833"/>
  <c r="Z108" i="12833" s="1"/>
  <c r="P108" i="12833"/>
  <c r="Y108" i="12833" s="1"/>
  <c r="O108" i="12833"/>
  <c r="X108" i="12833" s="1"/>
  <c r="N108" i="12833"/>
  <c r="W108" i="12833" s="1"/>
  <c r="M108" i="12833"/>
  <c r="V108" i="12833" s="1"/>
  <c r="L108" i="12833"/>
  <c r="U108" i="12833" s="1"/>
  <c r="J108" i="12833"/>
  <c r="J120" i="12833" s="1"/>
  <c r="I108" i="12833"/>
  <c r="I120" i="12833" s="1"/>
  <c r="H108" i="12833"/>
  <c r="H120" i="12833" s="1"/>
  <c r="G108" i="12833"/>
  <c r="G120" i="12833" s="1"/>
  <c r="F108" i="12833"/>
  <c r="F120" i="12833" s="1"/>
  <c r="E108" i="12833"/>
  <c r="E120" i="12833" s="1"/>
  <c r="D108" i="12833"/>
  <c r="D120" i="12833" s="1"/>
  <c r="R107" i="12833"/>
  <c r="AA107" i="12833" s="1"/>
  <c r="Q107" i="12833"/>
  <c r="Z107" i="12833" s="1"/>
  <c r="P107" i="12833"/>
  <c r="Y107" i="12833" s="1"/>
  <c r="O107" i="12833"/>
  <c r="X107" i="12833" s="1"/>
  <c r="N107" i="12833"/>
  <c r="W107" i="12833" s="1"/>
  <c r="M107" i="12833"/>
  <c r="V107" i="12833" s="1"/>
  <c r="L107" i="12833"/>
  <c r="U107" i="12833" s="1"/>
  <c r="J107" i="12833"/>
  <c r="J119" i="12833" s="1"/>
  <c r="I107" i="12833"/>
  <c r="I119" i="12833" s="1"/>
  <c r="H107" i="12833"/>
  <c r="H119" i="12833" s="1"/>
  <c r="G107" i="12833"/>
  <c r="G119" i="12833" s="1"/>
  <c r="F107" i="12833"/>
  <c r="F119" i="12833" s="1"/>
  <c r="E107" i="12833"/>
  <c r="E119" i="12833" s="1"/>
  <c r="D107" i="12833"/>
  <c r="D119" i="12833" s="1"/>
  <c r="R106" i="12833"/>
  <c r="AA106" i="12833" s="1"/>
  <c r="Q106" i="12833"/>
  <c r="Z106" i="12833" s="1"/>
  <c r="P106" i="12833"/>
  <c r="Y106" i="12833" s="1"/>
  <c r="O106" i="12833"/>
  <c r="X106" i="12833" s="1"/>
  <c r="N106" i="12833"/>
  <c r="W106" i="12833" s="1"/>
  <c r="M106" i="12833"/>
  <c r="V106" i="12833" s="1"/>
  <c r="L106" i="12833"/>
  <c r="U106" i="12833" s="1"/>
  <c r="J106" i="12833"/>
  <c r="J118" i="12833" s="1"/>
  <c r="I106" i="12833"/>
  <c r="I118" i="12833" s="1"/>
  <c r="H106" i="12833"/>
  <c r="H118" i="12833" s="1"/>
  <c r="G106" i="12833"/>
  <c r="G118" i="12833" s="1"/>
  <c r="F106" i="12833"/>
  <c r="F118" i="12833" s="1"/>
  <c r="E106" i="12833"/>
  <c r="E118" i="12833" s="1"/>
  <c r="D106" i="12833"/>
  <c r="D118" i="12833" s="1"/>
  <c r="R105" i="12833"/>
  <c r="AA105" i="12833" s="1"/>
  <c r="Q105" i="12833"/>
  <c r="Z105" i="12833" s="1"/>
  <c r="P105" i="12833"/>
  <c r="Y105" i="12833" s="1"/>
  <c r="O105" i="12833"/>
  <c r="X105" i="12833" s="1"/>
  <c r="N105" i="12833"/>
  <c r="W105" i="12833" s="1"/>
  <c r="M105" i="12833"/>
  <c r="V105" i="12833" s="1"/>
  <c r="L105" i="12833"/>
  <c r="U105" i="12833" s="1"/>
  <c r="J105" i="12833"/>
  <c r="J117" i="12833" s="1"/>
  <c r="I105" i="12833"/>
  <c r="I117" i="12833" s="1"/>
  <c r="H105" i="12833"/>
  <c r="H117" i="12833" s="1"/>
  <c r="G105" i="12833"/>
  <c r="G117" i="12833" s="1"/>
  <c r="F105" i="12833"/>
  <c r="F117" i="12833" s="1"/>
  <c r="E105" i="12833"/>
  <c r="E117" i="12833" s="1"/>
  <c r="D105" i="12833"/>
  <c r="D117" i="12833" s="1"/>
  <c r="R104" i="12833"/>
  <c r="AA104" i="12833" s="1"/>
  <c r="Q104" i="12833"/>
  <c r="Z104" i="12833" s="1"/>
  <c r="P104" i="12833"/>
  <c r="Y104" i="12833" s="1"/>
  <c r="O104" i="12833"/>
  <c r="X104" i="12833" s="1"/>
  <c r="N104" i="12833"/>
  <c r="W104" i="12833" s="1"/>
  <c r="M104" i="12833"/>
  <c r="V104" i="12833" s="1"/>
  <c r="L104" i="12833"/>
  <c r="U104" i="12833" s="1"/>
  <c r="J104" i="12833"/>
  <c r="J116" i="12833" s="1"/>
  <c r="I104" i="12833"/>
  <c r="I116" i="12833" s="1"/>
  <c r="H104" i="12833"/>
  <c r="H116" i="12833" s="1"/>
  <c r="G104" i="12833"/>
  <c r="G116" i="12833" s="1"/>
  <c r="F104" i="12833"/>
  <c r="F116" i="12833" s="1"/>
  <c r="E104" i="12833"/>
  <c r="E116" i="12833" s="1"/>
  <c r="D104" i="12833"/>
  <c r="D116" i="12833" s="1"/>
  <c r="R103" i="12833"/>
  <c r="AA103" i="12833" s="1"/>
  <c r="Q103" i="12833"/>
  <c r="Z103" i="12833" s="1"/>
  <c r="P103" i="12833"/>
  <c r="Y103" i="12833" s="1"/>
  <c r="O103" i="12833"/>
  <c r="X103" i="12833" s="1"/>
  <c r="N103" i="12833"/>
  <c r="W103" i="12833" s="1"/>
  <c r="M103" i="12833"/>
  <c r="V103" i="12833" s="1"/>
  <c r="L103" i="12833"/>
  <c r="U103" i="12833" s="1"/>
  <c r="J103" i="12833"/>
  <c r="J115" i="12833" s="1"/>
  <c r="I103" i="12833"/>
  <c r="I115" i="12833" s="1"/>
  <c r="H103" i="12833"/>
  <c r="H115" i="12833" s="1"/>
  <c r="G103" i="12833"/>
  <c r="G115" i="12833" s="1"/>
  <c r="F103" i="12833"/>
  <c r="F115" i="12833" s="1"/>
  <c r="E103" i="12833"/>
  <c r="E115" i="12833" s="1"/>
  <c r="D103" i="12833"/>
  <c r="D115" i="12833" s="1"/>
  <c r="R102" i="12833"/>
  <c r="AA102" i="12833" s="1"/>
  <c r="Q102" i="12833"/>
  <c r="Z102" i="12833" s="1"/>
  <c r="P102" i="12833"/>
  <c r="Y102" i="12833" s="1"/>
  <c r="O102" i="12833"/>
  <c r="X102" i="12833" s="1"/>
  <c r="N102" i="12833"/>
  <c r="W102" i="12833" s="1"/>
  <c r="M102" i="12833"/>
  <c r="V102" i="12833" s="1"/>
  <c r="L102" i="12833"/>
  <c r="U102" i="12833" s="1"/>
  <c r="J102" i="12833"/>
  <c r="J114" i="12833" s="1"/>
  <c r="I102" i="12833"/>
  <c r="I114" i="12833" s="1"/>
  <c r="H102" i="12833"/>
  <c r="H114" i="12833" s="1"/>
  <c r="G102" i="12833"/>
  <c r="G114" i="12833" s="1"/>
  <c r="F102" i="12833"/>
  <c r="F114" i="12833" s="1"/>
  <c r="E102" i="12833"/>
  <c r="E114" i="12833" s="1"/>
  <c r="D102" i="12833"/>
  <c r="D114" i="12833" s="1"/>
  <c r="R101" i="12833"/>
  <c r="AA101" i="12833" s="1"/>
  <c r="Q101" i="12833"/>
  <c r="Z101" i="12833" s="1"/>
  <c r="P101" i="12833"/>
  <c r="Y101" i="12833" s="1"/>
  <c r="O101" i="12833"/>
  <c r="X101" i="12833" s="1"/>
  <c r="N101" i="12833"/>
  <c r="W101" i="12833" s="1"/>
  <c r="M101" i="12833"/>
  <c r="V101" i="12833" s="1"/>
  <c r="L101" i="12833"/>
  <c r="U101" i="12833" s="1"/>
  <c r="J101" i="12833"/>
  <c r="J113" i="12833" s="1"/>
  <c r="I101" i="12833"/>
  <c r="I113" i="12833" s="1"/>
  <c r="H101" i="12833"/>
  <c r="H113" i="12833" s="1"/>
  <c r="G101" i="12833"/>
  <c r="G113" i="12833" s="1"/>
  <c r="F101" i="12833"/>
  <c r="F113" i="12833" s="1"/>
  <c r="E101" i="12833"/>
  <c r="E113" i="12833" s="1"/>
  <c r="D101" i="12833"/>
  <c r="D113" i="12833" s="1"/>
  <c r="R100" i="12833"/>
  <c r="AA100" i="12833" s="1"/>
  <c r="Q100" i="12833"/>
  <c r="Z100" i="12833" s="1"/>
  <c r="P100" i="12833"/>
  <c r="Y100" i="12833" s="1"/>
  <c r="O100" i="12833"/>
  <c r="X100" i="12833" s="1"/>
  <c r="N100" i="12833"/>
  <c r="W100" i="12833" s="1"/>
  <c r="M100" i="12833"/>
  <c r="V100" i="12833" s="1"/>
  <c r="L100" i="12833"/>
  <c r="U100" i="12833" s="1"/>
  <c r="J100" i="12833"/>
  <c r="J112" i="12833" s="1"/>
  <c r="I100" i="12833"/>
  <c r="I112" i="12833" s="1"/>
  <c r="H100" i="12833"/>
  <c r="H112" i="12833" s="1"/>
  <c r="G100" i="12833"/>
  <c r="G112" i="12833" s="1"/>
  <c r="F100" i="12833"/>
  <c r="F112" i="12833" s="1"/>
  <c r="E100" i="12833"/>
  <c r="E112" i="12833" s="1"/>
  <c r="D100" i="12833"/>
  <c r="D112" i="12833" s="1"/>
  <c r="R99" i="12833"/>
  <c r="AA99" i="12833" s="1"/>
  <c r="Q99" i="12833"/>
  <c r="Z99" i="12833" s="1"/>
  <c r="P99" i="12833"/>
  <c r="Y99" i="12833" s="1"/>
  <c r="O99" i="12833"/>
  <c r="X99" i="12833" s="1"/>
  <c r="N99" i="12833"/>
  <c r="W99" i="12833" s="1"/>
  <c r="M99" i="12833"/>
  <c r="V99" i="12833" s="1"/>
  <c r="L99" i="12833"/>
  <c r="U99" i="12833" s="1"/>
  <c r="J99" i="12833"/>
  <c r="J111" i="12833" s="1"/>
  <c r="I99" i="12833"/>
  <c r="I111" i="12833" s="1"/>
  <c r="H99" i="12833"/>
  <c r="H111" i="12833" s="1"/>
  <c r="G99" i="12833"/>
  <c r="G111" i="12833" s="1"/>
  <c r="F99" i="12833"/>
  <c r="F111" i="12833" s="1"/>
  <c r="E99" i="12833"/>
  <c r="E111" i="12833" s="1"/>
  <c r="D99" i="12833"/>
  <c r="D111" i="12833" s="1"/>
  <c r="H37" i="12824"/>
  <c r="J128" i="12833" l="1"/>
  <c r="AF14" i="12834" s="1"/>
  <c r="D128" i="12833"/>
  <c r="AF8" i="12834" s="1"/>
  <c r="E128" i="12833"/>
  <c r="AF9" i="12834" s="1"/>
  <c r="F128" i="12833"/>
  <c r="AF10" i="12834" s="1"/>
  <c r="H128" i="12833"/>
  <c r="AF12" i="12834" s="1"/>
  <c r="G128" i="12833"/>
  <c r="I128" i="12833"/>
  <c r="AF13" i="12834" s="1"/>
  <c r="Q46" i="12826"/>
  <c r="V115" i="12825" l="1"/>
  <c r="V117" i="12825"/>
  <c r="V130" i="12825"/>
  <c r="V140" i="12825"/>
  <c r="V142" i="12825"/>
  <c r="V147" i="12825"/>
  <c r="U88" i="12823"/>
  <c r="U124" i="12822" l="1"/>
  <c r="U125" i="12822"/>
  <c r="U126" i="12822"/>
  <c r="U127" i="12822"/>
  <c r="U128" i="12822"/>
  <c r="U140" i="12822"/>
  <c r="U152" i="12822"/>
  <c r="I105" i="12827" l="1"/>
  <c r="I109" i="12827"/>
  <c r="I113" i="12827"/>
  <c r="I126" i="12827"/>
  <c r="I128" i="12827"/>
  <c r="I132" i="12827"/>
  <c r="R8" i="12820" l="1"/>
  <c r="AG128" i="12833" l="1"/>
  <c r="G126" i="12833" l="1"/>
  <c r="H124" i="12833"/>
  <c r="F126" i="12833"/>
  <c r="I123" i="12833"/>
  <c r="H126" i="12833"/>
  <c r="H123" i="12833"/>
  <c r="G123" i="12833"/>
  <c r="G124" i="12833"/>
  <c r="F123" i="12833"/>
  <c r="H125" i="12833"/>
  <c r="E123" i="12833"/>
  <c r="I126" i="12833"/>
  <c r="I125" i="12833"/>
  <c r="F124" i="12833"/>
  <c r="G125" i="12833"/>
  <c r="F125" i="12833"/>
  <c r="I124" i="12833"/>
  <c r="AD25" i="12820" l="1"/>
  <c r="AD24" i="12820"/>
  <c r="AD23" i="12820"/>
  <c r="AD22" i="12820"/>
  <c r="AD21" i="12820"/>
  <c r="AC20" i="12820"/>
  <c r="AC19" i="12820"/>
  <c r="AC18" i="12820"/>
  <c r="AC17" i="12820"/>
  <c r="AD16" i="12820"/>
  <c r="AD15" i="12820"/>
  <c r="AD14" i="12820"/>
  <c r="AD38" i="12820" l="1"/>
  <c r="AC38" i="12820"/>
  <c r="AE38" i="12820" l="1"/>
  <c r="AF38" i="12820" s="1"/>
  <c r="T38" i="12820"/>
  <c r="T62" i="12820" s="1"/>
  <c r="T37" i="12820"/>
  <c r="T10" i="12833"/>
  <c r="P22" i="12834" s="1"/>
  <c r="AG38" i="12820" l="1"/>
  <c r="AH38" i="12820"/>
  <c r="T61" i="12820"/>
  <c r="R74" i="12820" s="1"/>
  <c r="Q62" i="12820"/>
  <c r="Q75" i="12820" s="1"/>
  <c r="R75" i="12820"/>
  <c r="Q37" i="12820"/>
  <c r="Q50" i="12820" s="1"/>
  <c r="R50" i="12820"/>
  <c r="Q38" i="12820"/>
  <c r="Q51" i="12820" s="1"/>
  <c r="R51" i="12820"/>
  <c r="AE201" i="12821" l="1"/>
  <c r="AE200" i="12821"/>
  <c r="AE199" i="12821"/>
  <c r="AE202" i="12821"/>
  <c r="AE124" i="12821"/>
  <c r="AE123" i="12821"/>
  <c r="AE125" i="12821"/>
  <c r="AE122" i="12821"/>
  <c r="Q61" i="12820"/>
  <c r="Q74" i="12820" s="1"/>
  <c r="H54" i="12827"/>
  <c r="H58" i="12827"/>
  <c r="H62" i="12827"/>
  <c r="H75" i="12827"/>
  <c r="H77" i="12827"/>
  <c r="H81" i="12827"/>
  <c r="G66" i="12816"/>
  <c r="G65" i="12816"/>
  <c r="G64" i="12816"/>
  <c r="G63" i="12816"/>
  <c r="G62" i="12816"/>
  <c r="G61" i="12816"/>
  <c r="G60" i="12816"/>
  <c r="G59" i="12816"/>
  <c r="G58" i="12816"/>
  <c r="G57" i="12816"/>
  <c r="G56" i="12816"/>
  <c r="G55" i="12816"/>
  <c r="G53" i="12816"/>
  <c r="G52" i="12816"/>
  <c r="G51" i="12816"/>
  <c r="G50" i="12816"/>
  <c r="G49" i="12816"/>
  <c r="G48" i="12816"/>
  <c r="G47" i="12816"/>
  <c r="G46" i="12816"/>
  <c r="G45" i="12816"/>
  <c r="G44" i="12816"/>
  <c r="G43" i="12816"/>
  <c r="G42" i="12816"/>
  <c r="G41" i="12816"/>
  <c r="G40" i="12816"/>
  <c r="G39" i="12816"/>
  <c r="G38" i="12816"/>
  <c r="G37" i="12816"/>
  <c r="G36" i="12816"/>
  <c r="G35" i="12816"/>
  <c r="G34" i="12816"/>
  <c r="G33" i="12816"/>
  <c r="G32" i="12816"/>
  <c r="G31" i="12816"/>
  <c r="G30" i="12816"/>
  <c r="G28" i="12816"/>
  <c r="G27" i="12816"/>
  <c r="G26" i="12816"/>
  <c r="G25" i="12816"/>
  <c r="G24" i="12816"/>
  <c r="G23" i="12816"/>
  <c r="G22" i="12816"/>
  <c r="G21" i="12816"/>
  <c r="G20" i="12816"/>
  <c r="G19" i="12816"/>
  <c r="G18" i="12816"/>
  <c r="G17" i="12816"/>
  <c r="G16" i="12816"/>
  <c r="G15" i="12816"/>
  <c r="G14" i="12816"/>
  <c r="G13" i="12816"/>
  <c r="G12" i="12816"/>
  <c r="G11" i="12816"/>
  <c r="G10" i="12816"/>
  <c r="G9" i="12816"/>
  <c r="G8" i="12816"/>
  <c r="G7" i="12816"/>
  <c r="G6" i="12816"/>
  <c r="G5" i="12816"/>
  <c r="E86" i="12818" a="1"/>
  <c r="E86" i="12818" s="1"/>
  <c r="E83" i="12818" a="1"/>
  <c r="E83" i="12818" s="1"/>
  <c r="E82" i="12818" a="1"/>
  <c r="E82" i="12818" s="1"/>
  <c r="E81" i="12818" a="1"/>
  <c r="E81" i="12818" s="1"/>
  <c r="E80" i="12818" a="1"/>
  <c r="E80" i="12818" s="1"/>
  <c r="E77" i="12818" a="1"/>
  <c r="E77" i="12818" s="1"/>
  <c r="E76" i="12818" a="1"/>
  <c r="E76" i="12818" s="1"/>
  <c r="E75" i="12818" a="1"/>
  <c r="E75" i="12818" s="1"/>
  <c r="E73" i="12818" a="1"/>
  <c r="E73" i="12818" s="1"/>
  <c r="E72" i="12818" a="1"/>
  <c r="E72" i="12818" s="1"/>
  <c r="E71" i="12818" a="1"/>
  <c r="E71" i="12818" s="1"/>
  <c r="E70" i="12818" a="1"/>
  <c r="E70" i="12818" s="1"/>
  <c r="E69" i="12818" a="1"/>
  <c r="E69" i="12818" s="1"/>
  <c r="E68" i="12818" a="1"/>
  <c r="E68" i="12818" s="1"/>
  <c r="E67" i="12818" a="1"/>
  <c r="E67" i="12818" s="1"/>
  <c r="E66" i="12818" a="1"/>
  <c r="E66" i="12818" s="1"/>
  <c r="E65" i="12818" a="1"/>
  <c r="E65" i="12818" s="1"/>
  <c r="E64" i="12818" a="1"/>
  <c r="E64" i="12818" s="1"/>
  <c r="E61" i="12818" a="1"/>
  <c r="E61" i="12818" s="1"/>
  <c r="E60" i="12818" a="1"/>
  <c r="E60" i="12818" s="1"/>
  <c r="E59" i="12818" a="1"/>
  <c r="E59" i="12818" s="1"/>
  <c r="E52" i="12818" a="1"/>
  <c r="E52" i="12818" s="1"/>
  <c r="E51" i="12818" a="1"/>
  <c r="E51" i="12818" s="1"/>
  <c r="E50" i="12818" a="1"/>
  <c r="E50" i="12818" s="1"/>
  <c r="E49" i="12818" a="1"/>
  <c r="E49" i="12818" s="1"/>
  <c r="E48" i="12818" a="1"/>
  <c r="E48" i="12818" s="1"/>
  <c r="E47" i="12818" a="1"/>
  <c r="E47" i="12818" s="1"/>
  <c r="E46" i="12818" a="1"/>
  <c r="E46" i="12818" s="1"/>
  <c r="E45" i="12818" a="1"/>
  <c r="E45" i="12818" s="1"/>
  <c r="E42" i="12818" a="1"/>
  <c r="E42" i="12818" s="1"/>
  <c r="E41" i="12818" a="1"/>
  <c r="E41" i="12818" s="1"/>
  <c r="E40" i="12818" a="1"/>
  <c r="E40" i="12818" s="1"/>
  <c r="E34" i="12818" a="1"/>
  <c r="E34" i="12818" s="1"/>
  <c r="E33" i="12818" a="1"/>
  <c r="E33" i="12818" s="1"/>
  <c r="E32" i="12818" a="1"/>
  <c r="E32" i="12818" s="1"/>
  <c r="E31" i="12818" a="1"/>
  <c r="E31" i="12818" s="1"/>
  <c r="E30" i="12818" a="1"/>
  <c r="E30" i="12818" s="1"/>
  <c r="E29" i="12818" a="1"/>
  <c r="E29" i="12818" s="1"/>
  <c r="E28" i="12818" a="1"/>
  <c r="E28" i="12818" s="1"/>
  <c r="E27" i="12818" a="1"/>
  <c r="E27" i="12818" s="1"/>
  <c r="E24" i="12818" a="1"/>
  <c r="E24" i="12818" s="1"/>
  <c r="E23" i="12818" a="1"/>
  <c r="E23" i="12818" s="1"/>
  <c r="E22" i="12818" a="1"/>
  <c r="E22" i="12818" s="1"/>
  <c r="E17" i="12818" a="1"/>
  <c r="E17" i="12818" s="1"/>
  <c r="E16" i="12818" a="1"/>
  <c r="E16" i="12818" s="1"/>
  <c r="E15" i="12818" a="1"/>
  <c r="E15" i="12818" s="1"/>
  <c r="E14" i="12818" a="1"/>
  <c r="E14" i="12818" s="1"/>
  <c r="E13" i="12818" a="1"/>
  <c r="E13" i="12818" s="1"/>
  <c r="E12" i="12818" a="1"/>
  <c r="E12" i="12818" s="1"/>
  <c r="E11" i="12818" a="1"/>
  <c r="E11" i="12818" s="1"/>
  <c r="E10" i="12818" a="1"/>
  <c r="E10" i="12818" s="1"/>
  <c r="E9" i="12818" a="1"/>
  <c r="E9" i="12818" s="1"/>
  <c r="M25" i="12818" l="1"/>
  <c r="M87" i="12818"/>
  <c r="M78" i="12818"/>
  <c r="M62" i="12818"/>
  <c r="M43" i="12818"/>
  <c r="N10" i="12818"/>
  <c r="N11" i="12818"/>
  <c r="N12" i="12818"/>
  <c r="N13" i="12818"/>
  <c r="N14" i="12818"/>
  <c r="N15" i="12818"/>
  <c r="K16" i="12818" a="1"/>
  <c r="K16" i="12818" s="1"/>
  <c r="N16" i="12818"/>
  <c r="K17" i="12818" a="1"/>
  <c r="K17" i="12818" s="1"/>
  <c r="N17" i="12818"/>
  <c r="K18" i="12818" a="1"/>
  <c r="K18" i="12818" s="1"/>
  <c r="N18" i="12818"/>
  <c r="K19" i="12818" a="1"/>
  <c r="K19" i="12818" s="1"/>
  <c r="K20" i="12818" a="1"/>
  <c r="K20" i="12818" s="1"/>
  <c r="N20" i="12818"/>
  <c r="K21" i="12818" a="1"/>
  <c r="K21" i="12818" s="1"/>
  <c r="N21" i="12818"/>
  <c r="K22" i="12818" a="1"/>
  <c r="K22" i="12818" s="1"/>
  <c r="N22" i="12818"/>
  <c r="K23" i="12818" a="1"/>
  <c r="K23" i="12818" s="1"/>
  <c r="N23" i="12818"/>
  <c r="K24" i="12818" a="1"/>
  <c r="K24" i="12818" s="1"/>
  <c r="N24" i="12818"/>
  <c r="N27" i="12818"/>
  <c r="N28" i="12818"/>
  <c r="N29" i="12818"/>
  <c r="N30" i="12818"/>
  <c r="N31" i="12818"/>
  <c r="N32" i="12818"/>
  <c r="K33" i="12818" a="1"/>
  <c r="K33" i="12818" s="1"/>
  <c r="N33" i="12818"/>
  <c r="K34" i="12818" a="1"/>
  <c r="K34" i="12818" s="1"/>
  <c r="N34" i="12818"/>
  <c r="K35" i="12818" a="1"/>
  <c r="K35" i="12818" s="1"/>
  <c r="N35" i="12818"/>
  <c r="K36" i="12818" a="1"/>
  <c r="K36" i="12818" s="1"/>
  <c r="K37" i="12818" a="1"/>
  <c r="K37" i="12818" s="1"/>
  <c r="K38" i="12818" a="1"/>
  <c r="K38" i="12818" s="1"/>
  <c r="K39" i="12818" a="1"/>
  <c r="K39" i="12818" s="1"/>
  <c r="N39" i="12818"/>
  <c r="K40" i="12818" a="1"/>
  <c r="K40" i="12818" s="1"/>
  <c r="N40" i="12818"/>
  <c r="K41" i="12818" a="1"/>
  <c r="K41" i="12818" s="1"/>
  <c r="N41" i="12818"/>
  <c r="K42" i="12818" a="1"/>
  <c r="K42" i="12818" s="1"/>
  <c r="N42" i="12818"/>
  <c r="N45" i="12818"/>
  <c r="N46" i="12818"/>
  <c r="N47" i="12818"/>
  <c r="N48" i="12818"/>
  <c r="N49" i="12818"/>
  <c r="N50" i="12818"/>
  <c r="K51" i="12818" a="1"/>
  <c r="K51" i="12818" s="1"/>
  <c r="N51" i="12818"/>
  <c r="K52" i="12818" a="1"/>
  <c r="K52" i="12818" s="1"/>
  <c r="N52" i="12818"/>
  <c r="K53" i="12818" a="1"/>
  <c r="K53" i="12818" s="1"/>
  <c r="N53" i="12818"/>
  <c r="K54" i="12818" a="1"/>
  <c r="K54" i="12818" s="1"/>
  <c r="N54" i="12818"/>
  <c r="K55" i="12818" a="1"/>
  <c r="K55" i="12818" s="1"/>
  <c r="N55" i="12818"/>
  <c r="K58" i="12818" a="1"/>
  <c r="K58" i="12818" s="1"/>
  <c r="N58" i="12818"/>
  <c r="K56" i="12818" a="1"/>
  <c r="K56" i="12818" s="1"/>
  <c r="N56" i="12818"/>
  <c r="K57" i="12818" a="1"/>
  <c r="K57" i="12818" s="1"/>
  <c r="N57" i="12818"/>
  <c r="K59" i="12818" a="1"/>
  <c r="K59" i="12818" s="1"/>
  <c r="N59" i="12818"/>
  <c r="K60" i="12818" a="1"/>
  <c r="K60" i="12818" s="1"/>
  <c r="N60" i="12818"/>
  <c r="K61" i="12818" a="1"/>
  <c r="K61" i="12818" s="1"/>
  <c r="N61" i="12818"/>
  <c r="N64" i="12818"/>
  <c r="N65" i="12818"/>
  <c r="N66" i="12818"/>
  <c r="N67" i="12818"/>
  <c r="N68" i="12818"/>
  <c r="N69" i="12818"/>
  <c r="N70" i="12818"/>
  <c r="K71" i="12818" a="1"/>
  <c r="K71" i="12818" s="1"/>
  <c r="N71" i="12818"/>
  <c r="K72" i="12818" a="1"/>
  <c r="K72" i="12818" s="1"/>
  <c r="N72" i="12818"/>
  <c r="K73" i="12818" a="1"/>
  <c r="K73" i="12818" s="1"/>
  <c r="N73" i="12818"/>
  <c r="K74" i="12818" a="1"/>
  <c r="K74" i="12818" s="1"/>
  <c r="K75" i="12818" a="1"/>
  <c r="K75" i="12818" s="1"/>
  <c r="N75" i="12818"/>
  <c r="K76" i="12818" a="1"/>
  <c r="K76" i="12818" s="1"/>
  <c r="N76" i="12818"/>
  <c r="K77" i="12818" a="1"/>
  <c r="K77" i="12818" s="1"/>
  <c r="N77" i="12818"/>
  <c r="L80" i="12818"/>
  <c r="N80" i="12818"/>
  <c r="L81" i="12818"/>
  <c r="N81" i="12818"/>
  <c r="L82" i="12818"/>
  <c r="N82" i="12818"/>
  <c r="K83" i="12818" a="1"/>
  <c r="K83" i="12818" s="1"/>
  <c r="L83" i="12818"/>
  <c r="N83" i="12818"/>
  <c r="K84" i="12818" a="1"/>
  <c r="K84" i="12818" s="1"/>
  <c r="L84" i="12818"/>
  <c r="N84" i="12818"/>
  <c r="K85" i="12818" a="1"/>
  <c r="K85" i="12818" s="1"/>
  <c r="L85" i="12818"/>
  <c r="N85" i="12818"/>
  <c r="K86" i="12818" a="1"/>
  <c r="K86" i="12818" s="1"/>
  <c r="L86" i="12818"/>
  <c r="N86" i="12818"/>
  <c r="N9" i="12818"/>
  <c r="U56" i="12818"/>
  <c r="T56" i="12818"/>
  <c r="U55" i="12818"/>
  <c r="T55" i="12818"/>
  <c r="U54" i="12818"/>
  <c r="T54" i="12818"/>
  <c r="U53" i="12818"/>
  <c r="T53" i="12818"/>
  <c r="U37" i="12818"/>
  <c r="T37" i="12818"/>
  <c r="U36" i="12818"/>
  <c r="T36" i="12818"/>
  <c r="U35" i="12818"/>
  <c r="T35" i="12818"/>
  <c r="B4" i="12819"/>
  <c r="N62" i="12818" l="1"/>
  <c r="L87" i="12818"/>
  <c r="M89" i="12818"/>
  <c r="N87" i="12818"/>
  <c r="G75" i="12818" l="1"/>
  <c r="I75" i="12818"/>
  <c r="G76" i="12818"/>
  <c r="I76" i="12818"/>
  <c r="G77" i="12818"/>
  <c r="I77" i="12818"/>
  <c r="G59" i="12818"/>
  <c r="I59" i="12818"/>
  <c r="G60" i="12818"/>
  <c r="I60" i="12818"/>
  <c r="G61" i="12818"/>
  <c r="I61" i="12818"/>
  <c r="G39" i="12818"/>
  <c r="G40" i="12818"/>
  <c r="I40" i="12818"/>
  <c r="G41" i="12818"/>
  <c r="I41" i="12818"/>
  <c r="G42" i="12818"/>
  <c r="I42" i="12818"/>
  <c r="G22" i="12818"/>
  <c r="I22" i="12818"/>
  <c r="G23" i="12818"/>
  <c r="I23" i="12818"/>
  <c r="G24" i="12818"/>
  <c r="I24" i="12818"/>
  <c r="G21" i="12818"/>
  <c r="I189" i="12817" l="1"/>
  <c r="I190" i="12817"/>
  <c r="G36" i="12818" s="1"/>
  <c r="I191" i="12817"/>
  <c r="G37" i="12818" s="1"/>
  <c r="I192" i="12817"/>
  <c r="G38" i="12818" s="1"/>
  <c r="I193" i="12817"/>
  <c r="U233" i="12817" l="1"/>
  <c r="T233" i="12817"/>
  <c r="S233" i="12817"/>
  <c r="R233" i="12817"/>
  <c r="Q233" i="12817"/>
  <c r="P233" i="12817"/>
  <c r="O233" i="12817"/>
  <c r="N233" i="12817"/>
  <c r="M233" i="12817"/>
  <c r="L233" i="12817"/>
  <c r="K233" i="12817"/>
  <c r="U232" i="12817"/>
  <c r="T232" i="12817"/>
  <c r="S232" i="12817"/>
  <c r="R232" i="12817"/>
  <c r="Q232" i="12817"/>
  <c r="P232" i="12817"/>
  <c r="O232" i="12817"/>
  <c r="N232" i="12817"/>
  <c r="M232" i="12817"/>
  <c r="L232" i="12817"/>
  <c r="K232" i="12817"/>
  <c r="U231" i="12817"/>
  <c r="T231" i="12817"/>
  <c r="S231" i="12817"/>
  <c r="R231" i="12817"/>
  <c r="Q231" i="12817"/>
  <c r="P231" i="12817"/>
  <c r="O231" i="12817"/>
  <c r="N231" i="12817"/>
  <c r="M231" i="12817"/>
  <c r="L231" i="12817"/>
  <c r="K231" i="12817"/>
  <c r="U230" i="12817"/>
  <c r="T230" i="12817"/>
  <c r="S230" i="12817"/>
  <c r="R230" i="12817"/>
  <c r="Q230" i="12817"/>
  <c r="P230" i="12817"/>
  <c r="O230" i="12817"/>
  <c r="N230" i="12817"/>
  <c r="M230" i="12817"/>
  <c r="L230" i="12817"/>
  <c r="K230" i="12817"/>
  <c r="U229" i="12817"/>
  <c r="T229" i="12817"/>
  <c r="S229" i="12817"/>
  <c r="R229" i="12817"/>
  <c r="Q229" i="12817"/>
  <c r="P229" i="12817"/>
  <c r="O229" i="12817"/>
  <c r="N229" i="12817"/>
  <c r="M229" i="12817"/>
  <c r="L229" i="12817"/>
  <c r="K229" i="12817"/>
  <c r="U228" i="12817"/>
  <c r="T228" i="12817"/>
  <c r="S228" i="12817"/>
  <c r="R228" i="12817"/>
  <c r="Q228" i="12817"/>
  <c r="P228" i="12817"/>
  <c r="O228" i="12817"/>
  <c r="N228" i="12817"/>
  <c r="M228" i="12817"/>
  <c r="L228" i="12817"/>
  <c r="K228" i="12817"/>
  <c r="U227" i="12817"/>
  <c r="T227" i="12817"/>
  <c r="S227" i="12817"/>
  <c r="R227" i="12817"/>
  <c r="Q227" i="12817"/>
  <c r="P227" i="12817"/>
  <c r="O227" i="12817"/>
  <c r="N227" i="12817"/>
  <c r="M227" i="12817"/>
  <c r="L227" i="12817"/>
  <c r="K227" i="12817"/>
  <c r="U226" i="12817"/>
  <c r="T226" i="12817"/>
  <c r="S226" i="12817"/>
  <c r="R226" i="12817"/>
  <c r="Q226" i="12817"/>
  <c r="P226" i="12817"/>
  <c r="O226" i="12817"/>
  <c r="N226" i="12817"/>
  <c r="M226" i="12817"/>
  <c r="L226" i="12817"/>
  <c r="K226" i="12817"/>
  <c r="U225" i="12817"/>
  <c r="T225" i="12817"/>
  <c r="S225" i="12817"/>
  <c r="R225" i="12817"/>
  <c r="Q225" i="12817"/>
  <c r="P225" i="12817"/>
  <c r="O225" i="12817"/>
  <c r="N225" i="12817"/>
  <c r="M225" i="12817"/>
  <c r="L225" i="12817"/>
  <c r="K225" i="12817"/>
  <c r="U224" i="12817"/>
  <c r="T224" i="12817"/>
  <c r="S224" i="12817"/>
  <c r="R224" i="12817"/>
  <c r="Q224" i="12817"/>
  <c r="P224" i="12817"/>
  <c r="O224" i="12817"/>
  <c r="N224" i="12817"/>
  <c r="M224" i="12817"/>
  <c r="L224" i="12817"/>
  <c r="K224" i="12817"/>
  <c r="U223" i="12817"/>
  <c r="T223" i="12817"/>
  <c r="S223" i="12817"/>
  <c r="R223" i="12817"/>
  <c r="Q223" i="12817"/>
  <c r="P223" i="12817"/>
  <c r="O223" i="12817"/>
  <c r="N223" i="12817"/>
  <c r="M223" i="12817"/>
  <c r="L223" i="12817"/>
  <c r="K223" i="12817"/>
  <c r="U222" i="12817"/>
  <c r="T222" i="12817"/>
  <c r="S222" i="12817"/>
  <c r="R222" i="12817"/>
  <c r="Q222" i="12817"/>
  <c r="P222" i="12817"/>
  <c r="O222" i="12817"/>
  <c r="N222" i="12817"/>
  <c r="M222" i="12817"/>
  <c r="L222" i="12817"/>
  <c r="K222" i="12817"/>
  <c r="U221" i="12817"/>
  <c r="T221" i="12817"/>
  <c r="S221" i="12817"/>
  <c r="R221" i="12817"/>
  <c r="Q221" i="12817"/>
  <c r="P221" i="12817"/>
  <c r="O221" i="12817"/>
  <c r="N221" i="12817"/>
  <c r="M221" i="12817"/>
  <c r="L221" i="12817"/>
  <c r="K221" i="12817"/>
  <c r="U220" i="12817"/>
  <c r="T220" i="12817"/>
  <c r="S220" i="12817"/>
  <c r="R220" i="12817"/>
  <c r="Q220" i="12817"/>
  <c r="P220" i="12817"/>
  <c r="O220" i="12817"/>
  <c r="N220" i="12817"/>
  <c r="M220" i="12817"/>
  <c r="L220" i="12817"/>
  <c r="K220" i="12817"/>
  <c r="U219" i="12817"/>
  <c r="T219" i="12817"/>
  <c r="S219" i="12817"/>
  <c r="R219" i="12817"/>
  <c r="Q219" i="12817"/>
  <c r="P219" i="12817"/>
  <c r="O219" i="12817"/>
  <c r="N219" i="12817"/>
  <c r="M219" i="12817"/>
  <c r="L219" i="12817"/>
  <c r="K219" i="12817"/>
  <c r="U218" i="12817"/>
  <c r="T218" i="12817"/>
  <c r="S218" i="12817"/>
  <c r="R218" i="12817"/>
  <c r="Q218" i="12817"/>
  <c r="P218" i="12817"/>
  <c r="O218" i="12817"/>
  <c r="N218" i="12817"/>
  <c r="M218" i="12817"/>
  <c r="L218" i="12817"/>
  <c r="K218" i="12817"/>
  <c r="U217" i="12817"/>
  <c r="T217" i="12817"/>
  <c r="S217" i="12817"/>
  <c r="R217" i="12817"/>
  <c r="Q217" i="12817"/>
  <c r="P217" i="12817"/>
  <c r="O217" i="12817"/>
  <c r="N217" i="12817"/>
  <c r="M217" i="12817"/>
  <c r="L217" i="12817"/>
  <c r="K217" i="12817"/>
  <c r="U216" i="12817"/>
  <c r="T216" i="12817"/>
  <c r="S216" i="12817"/>
  <c r="R216" i="12817"/>
  <c r="Q216" i="12817"/>
  <c r="P216" i="12817"/>
  <c r="O216" i="12817"/>
  <c r="N216" i="12817"/>
  <c r="M216" i="12817"/>
  <c r="L216" i="12817"/>
  <c r="K216" i="12817"/>
  <c r="U215" i="12817"/>
  <c r="U276" i="12817" s="1"/>
  <c r="T215" i="12817"/>
  <c r="T276" i="12817" s="1"/>
  <c r="S215" i="12817"/>
  <c r="S276" i="12817" s="1"/>
  <c r="R215" i="12817"/>
  <c r="R276" i="12817" s="1"/>
  <c r="Q215" i="12817"/>
  <c r="Q276" i="12817" s="1"/>
  <c r="P215" i="12817"/>
  <c r="P276" i="12817" s="1"/>
  <c r="O215" i="12817"/>
  <c r="O276" i="12817" s="1"/>
  <c r="N215" i="12817"/>
  <c r="N276" i="12817" s="1"/>
  <c r="M215" i="12817"/>
  <c r="M276" i="12817" s="1"/>
  <c r="L215" i="12817"/>
  <c r="L276" i="12817" s="1"/>
  <c r="K215" i="12817"/>
  <c r="K276" i="12817" s="1"/>
  <c r="U214" i="12817"/>
  <c r="T214" i="12817"/>
  <c r="S214" i="12817"/>
  <c r="R214" i="12817"/>
  <c r="Q214" i="12817"/>
  <c r="P214" i="12817"/>
  <c r="O214" i="12817"/>
  <c r="N214" i="12817"/>
  <c r="M214" i="12817"/>
  <c r="L214" i="12817"/>
  <c r="K214" i="12817"/>
  <c r="U213" i="12817"/>
  <c r="T213" i="12817"/>
  <c r="S213" i="12817"/>
  <c r="R213" i="12817"/>
  <c r="Q213" i="12817"/>
  <c r="P213" i="12817"/>
  <c r="O213" i="12817"/>
  <c r="N213" i="12817"/>
  <c r="M213" i="12817"/>
  <c r="L213" i="12817"/>
  <c r="K213" i="12817"/>
  <c r="U212" i="12817"/>
  <c r="T212" i="12817"/>
  <c r="S212" i="12817"/>
  <c r="R212" i="12817"/>
  <c r="Q212" i="12817"/>
  <c r="P212" i="12817"/>
  <c r="O212" i="12817"/>
  <c r="N212" i="12817"/>
  <c r="M212" i="12817"/>
  <c r="L212" i="12817"/>
  <c r="K212" i="12817"/>
  <c r="U211" i="12817"/>
  <c r="T211" i="12817"/>
  <c r="S211" i="12817"/>
  <c r="R211" i="12817"/>
  <c r="Q211" i="12817"/>
  <c r="P211" i="12817"/>
  <c r="O211" i="12817"/>
  <c r="N211" i="12817"/>
  <c r="M211" i="12817"/>
  <c r="L211" i="12817"/>
  <c r="K211" i="12817"/>
  <c r="U210" i="12817"/>
  <c r="T210" i="12817"/>
  <c r="S210" i="12817"/>
  <c r="R210" i="12817"/>
  <c r="Q210" i="12817"/>
  <c r="P210" i="12817"/>
  <c r="O210" i="12817"/>
  <c r="N210" i="12817"/>
  <c r="M210" i="12817"/>
  <c r="L210" i="12817"/>
  <c r="K210" i="12817"/>
  <c r="U209" i="12817"/>
  <c r="T209" i="12817"/>
  <c r="S209" i="12817"/>
  <c r="R209" i="12817"/>
  <c r="Q209" i="12817"/>
  <c r="P209" i="12817"/>
  <c r="O209" i="12817"/>
  <c r="N209" i="12817"/>
  <c r="M209" i="12817"/>
  <c r="L209" i="12817"/>
  <c r="K209" i="12817"/>
  <c r="U208" i="12817"/>
  <c r="T208" i="12817"/>
  <c r="S208" i="12817"/>
  <c r="R208" i="12817"/>
  <c r="Q208" i="12817"/>
  <c r="P208" i="12817"/>
  <c r="O208" i="12817"/>
  <c r="N208" i="12817"/>
  <c r="M208" i="12817"/>
  <c r="L208" i="12817"/>
  <c r="K208" i="12817"/>
  <c r="U207" i="12817"/>
  <c r="T207" i="12817"/>
  <c r="S207" i="12817"/>
  <c r="R207" i="12817"/>
  <c r="Q207" i="12817"/>
  <c r="P207" i="12817"/>
  <c r="O207" i="12817"/>
  <c r="N207" i="12817"/>
  <c r="M207" i="12817"/>
  <c r="L207" i="12817"/>
  <c r="K207" i="12817"/>
  <c r="U206" i="12817"/>
  <c r="T206" i="12817"/>
  <c r="S206" i="12817"/>
  <c r="R206" i="12817"/>
  <c r="Q206" i="12817"/>
  <c r="P206" i="12817"/>
  <c r="O206" i="12817"/>
  <c r="N206" i="12817"/>
  <c r="M206" i="12817"/>
  <c r="L206" i="12817"/>
  <c r="K206" i="12817"/>
  <c r="U205" i="12817"/>
  <c r="T205" i="12817"/>
  <c r="S205" i="12817"/>
  <c r="R205" i="12817"/>
  <c r="Q205" i="12817"/>
  <c r="P205" i="12817"/>
  <c r="O205" i="12817"/>
  <c r="N205" i="12817"/>
  <c r="M205" i="12817"/>
  <c r="L205" i="12817"/>
  <c r="K205" i="12817"/>
  <c r="U204" i="12817"/>
  <c r="T204" i="12817"/>
  <c r="S204" i="12817"/>
  <c r="R204" i="12817"/>
  <c r="Q204" i="12817"/>
  <c r="P204" i="12817"/>
  <c r="O204" i="12817"/>
  <c r="N204" i="12817"/>
  <c r="M204" i="12817"/>
  <c r="L204" i="12817"/>
  <c r="K204" i="12817"/>
  <c r="U203" i="12817"/>
  <c r="T203" i="12817"/>
  <c r="S203" i="12817"/>
  <c r="R203" i="12817"/>
  <c r="Q203" i="12817"/>
  <c r="P203" i="12817"/>
  <c r="O203" i="12817"/>
  <c r="N203" i="12817"/>
  <c r="M203" i="12817"/>
  <c r="L203" i="12817"/>
  <c r="K203" i="12817"/>
  <c r="U202" i="12817"/>
  <c r="T202" i="12817"/>
  <c r="S202" i="12817"/>
  <c r="R202" i="12817"/>
  <c r="Q202" i="12817"/>
  <c r="P202" i="12817"/>
  <c r="O202" i="12817"/>
  <c r="N202" i="12817"/>
  <c r="M202" i="12817"/>
  <c r="L202" i="12817"/>
  <c r="K202" i="12817"/>
  <c r="U201" i="12817"/>
  <c r="T201" i="12817"/>
  <c r="S201" i="12817"/>
  <c r="R201" i="12817"/>
  <c r="Q201" i="12817"/>
  <c r="P201" i="12817"/>
  <c r="O201" i="12817"/>
  <c r="N201" i="12817"/>
  <c r="M201" i="12817"/>
  <c r="L201" i="12817"/>
  <c r="K201" i="12817"/>
  <c r="U200" i="12817"/>
  <c r="T200" i="12817"/>
  <c r="S200" i="12817"/>
  <c r="R200" i="12817"/>
  <c r="Q200" i="12817"/>
  <c r="P200" i="12817"/>
  <c r="O200" i="12817"/>
  <c r="N200" i="12817"/>
  <c r="M200" i="12817"/>
  <c r="L200" i="12817"/>
  <c r="K200" i="12817"/>
  <c r="U199" i="12817"/>
  <c r="T199" i="12817"/>
  <c r="S199" i="12817"/>
  <c r="R199" i="12817"/>
  <c r="Q199" i="12817"/>
  <c r="P199" i="12817"/>
  <c r="O199" i="12817"/>
  <c r="N199" i="12817"/>
  <c r="M199" i="12817"/>
  <c r="L199" i="12817"/>
  <c r="K199" i="12817"/>
  <c r="U198" i="12817"/>
  <c r="T198" i="12817"/>
  <c r="S198" i="12817"/>
  <c r="R198" i="12817"/>
  <c r="Q198" i="12817"/>
  <c r="P198" i="12817"/>
  <c r="O198" i="12817"/>
  <c r="N198" i="12817"/>
  <c r="M198" i="12817"/>
  <c r="L198" i="12817"/>
  <c r="K198" i="12817"/>
  <c r="U197" i="12817"/>
  <c r="T197" i="12817"/>
  <c r="S197" i="12817"/>
  <c r="R197" i="12817"/>
  <c r="Q197" i="12817"/>
  <c r="P197" i="12817"/>
  <c r="O197" i="12817"/>
  <c r="N197" i="12817"/>
  <c r="M197" i="12817"/>
  <c r="L197" i="12817"/>
  <c r="K197" i="12817"/>
  <c r="U196" i="12817"/>
  <c r="T196" i="12817"/>
  <c r="S196" i="12817"/>
  <c r="R196" i="12817"/>
  <c r="Q196" i="12817"/>
  <c r="P196" i="12817"/>
  <c r="O196" i="12817"/>
  <c r="N196" i="12817"/>
  <c r="M196" i="12817"/>
  <c r="L196" i="12817"/>
  <c r="K196" i="12817"/>
  <c r="U195" i="12817"/>
  <c r="T195" i="12817"/>
  <c r="S195" i="12817"/>
  <c r="R195" i="12817"/>
  <c r="Q195" i="12817"/>
  <c r="P195" i="12817"/>
  <c r="O195" i="12817"/>
  <c r="N195" i="12817"/>
  <c r="M195" i="12817"/>
  <c r="L195" i="12817"/>
  <c r="K195" i="12817"/>
  <c r="J233" i="12817"/>
  <c r="J232" i="12817"/>
  <c r="J231" i="12817"/>
  <c r="J230" i="12817"/>
  <c r="J229" i="12817"/>
  <c r="J228" i="12817"/>
  <c r="J227" i="12817"/>
  <c r="J226" i="12817"/>
  <c r="J225" i="12817"/>
  <c r="J224" i="12817"/>
  <c r="J223" i="12817"/>
  <c r="J222" i="12817"/>
  <c r="J221" i="12817"/>
  <c r="J220" i="12817"/>
  <c r="J219" i="12817"/>
  <c r="J218" i="12817"/>
  <c r="J217" i="12817"/>
  <c r="J216" i="12817"/>
  <c r="J215" i="12817"/>
  <c r="J276" i="12817" s="1"/>
  <c r="J214" i="12817"/>
  <c r="J213" i="12817"/>
  <c r="J212" i="12817"/>
  <c r="J211" i="12817"/>
  <c r="J210" i="12817"/>
  <c r="J209" i="12817"/>
  <c r="J208" i="12817"/>
  <c r="J207" i="12817"/>
  <c r="J206" i="12817"/>
  <c r="J205" i="12817"/>
  <c r="J204" i="12817"/>
  <c r="J203" i="12817"/>
  <c r="J202" i="12817"/>
  <c r="J201" i="12817"/>
  <c r="J200" i="12817"/>
  <c r="J199" i="12817"/>
  <c r="J198" i="12817"/>
  <c r="J197" i="12817"/>
  <c r="J196" i="12817"/>
  <c r="J195" i="12817"/>
  <c r="K275" i="12817" l="1"/>
  <c r="S275" i="12817"/>
  <c r="O275" i="12817"/>
  <c r="P273" i="12817"/>
  <c r="R272" i="12817"/>
  <c r="T272" i="12817"/>
  <c r="M274" i="12817"/>
  <c r="U274" i="12817"/>
  <c r="P272" i="12817"/>
  <c r="Q273" i="12817"/>
  <c r="Q274" i="12817"/>
  <c r="S272" i="12817"/>
  <c r="L273" i="12817"/>
  <c r="T273" i="12817"/>
  <c r="N272" i="12817"/>
  <c r="R273" i="12817"/>
  <c r="R274" i="12817"/>
  <c r="L275" i="12817"/>
  <c r="T275" i="12817"/>
  <c r="L274" i="12817"/>
  <c r="T274" i="12817"/>
  <c r="N275" i="12817"/>
  <c r="O273" i="12817"/>
  <c r="O274" i="12817"/>
  <c r="Q275" i="12817"/>
  <c r="Q17" i="12820"/>
  <c r="S56" i="12820" s="1"/>
  <c r="S45" i="12821"/>
  <c r="S44" i="12821"/>
  <c r="Q16" i="12820"/>
  <c r="K272" i="12817"/>
  <c r="O272" i="12817"/>
  <c r="L272" i="12817"/>
  <c r="J272" i="12817"/>
  <c r="J273" i="12817"/>
  <c r="J274" i="12817"/>
  <c r="Q272" i="12817"/>
  <c r="S17" i="12821"/>
  <c r="S16" i="12821"/>
  <c r="K273" i="12817"/>
  <c r="S273" i="12817"/>
  <c r="S31" i="12821"/>
  <c r="S30" i="12821"/>
  <c r="K274" i="12817"/>
  <c r="S274" i="12817"/>
  <c r="M275" i="12817"/>
  <c r="U275" i="12817"/>
  <c r="J275" i="12817"/>
  <c r="S13" i="12821"/>
  <c r="S12" i="12821"/>
  <c r="S47" i="12821"/>
  <c r="S46" i="12821"/>
  <c r="M273" i="12817"/>
  <c r="S27" i="12821"/>
  <c r="U273" i="12817"/>
  <c r="S26" i="12821"/>
  <c r="M272" i="12817"/>
  <c r="Q15" i="12820"/>
  <c r="U272" i="12817"/>
  <c r="Q14" i="12820"/>
  <c r="N273" i="12817"/>
  <c r="S43" i="12821"/>
  <c r="S42" i="12821"/>
  <c r="N274" i="12817"/>
  <c r="P275" i="12817"/>
  <c r="S15" i="12821"/>
  <c r="S14" i="12821"/>
  <c r="S29" i="12821"/>
  <c r="S28" i="12821"/>
  <c r="P274" i="12817"/>
  <c r="R275" i="12817"/>
  <c r="G81" i="12818"/>
  <c r="G82" i="12818"/>
  <c r="G83" i="12818"/>
  <c r="G84" i="12818"/>
  <c r="G85" i="12818"/>
  <c r="G86" i="12818"/>
  <c r="G80" i="12818"/>
  <c r="G65" i="12818"/>
  <c r="G66" i="12818"/>
  <c r="G67" i="12818"/>
  <c r="G68" i="12818"/>
  <c r="G69" i="12818"/>
  <c r="G70" i="12818"/>
  <c r="G71" i="12818"/>
  <c r="G72" i="12818"/>
  <c r="G73" i="12818"/>
  <c r="G64" i="12818"/>
  <c r="G46" i="12818"/>
  <c r="G47" i="12818"/>
  <c r="G48" i="12818"/>
  <c r="G49" i="12818"/>
  <c r="G50" i="12818"/>
  <c r="G51" i="12818"/>
  <c r="G52" i="12818"/>
  <c r="G53" i="12818"/>
  <c r="G54" i="12818"/>
  <c r="G55" i="12818"/>
  <c r="G58" i="12818"/>
  <c r="G56" i="12818"/>
  <c r="G57" i="12818"/>
  <c r="G45" i="12818"/>
  <c r="G35" i="12818"/>
  <c r="G34" i="12818"/>
  <c r="G33" i="12818"/>
  <c r="G32" i="12818"/>
  <c r="G31" i="12818"/>
  <c r="G30" i="12818"/>
  <c r="G29" i="12818"/>
  <c r="G28" i="12818"/>
  <c r="G27" i="12818"/>
  <c r="G10" i="12818"/>
  <c r="G11" i="12818"/>
  <c r="G12" i="12818"/>
  <c r="G13" i="12818"/>
  <c r="G14" i="12818"/>
  <c r="G15" i="12818"/>
  <c r="G16" i="12818"/>
  <c r="G17" i="12818"/>
  <c r="G18" i="12818"/>
  <c r="G20" i="12818"/>
  <c r="G9" i="12818"/>
  <c r="G19" i="12818"/>
  <c r="G74" i="12818"/>
  <c r="I9" i="12818"/>
  <c r="I10" i="12818"/>
  <c r="I11" i="12818"/>
  <c r="I12" i="12818"/>
  <c r="I13" i="12818"/>
  <c r="I14" i="12818"/>
  <c r="I15" i="12818"/>
  <c r="I16" i="12818"/>
  <c r="I17" i="12818"/>
  <c r="I27" i="12818"/>
  <c r="I28" i="12818"/>
  <c r="I29" i="12818"/>
  <c r="I30" i="12818"/>
  <c r="I31" i="12818"/>
  <c r="I32" i="12818"/>
  <c r="I33" i="12818"/>
  <c r="I34" i="12818"/>
  <c r="I45" i="12818"/>
  <c r="I46" i="12818"/>
  <c r="I47" i="12818"/>
  <c r="I48" i="12818"/>
  <c r="I49" i="12818"/>
  <c r="I50" i="12818"/>
  <c r="I51" i="12818"/>
  <c r="I52" i="12818"/>
  <c r="I64" i="12818"/>
  <c r="I65" i="12818"/>
  <c r="I66" i="12818"/>
  <c r="I67" i="12818"/>
  <c r="I68" i="12818"/>
  <c r="I69" i="12818"/>
  <c r="I70" i="12818"/>
  <c r="I71" i="12818"/>
  <c r="I72" i="12818"/>
  <c r="I73" i="12818"/>
  <c r="I80" i="12818"/>
  <c r="I81" i="12818"/>
  <c r="I82" i="12818"/>
  <c r="I83" i="12818"/>
  <c r="I86" i="12818"/>
  <c r="X64" i="12820" l="1"/>
  <c r="X41" i="12820"/>
  <c r="X65" i="12820"/>
  <c r="X40" i="12820"/>
  <c r="X67" i="12820"/>
  <c r="X43" i="12820"/>
  <c r="X66" i="12820"/>
  <c r="X42" i="12820"/>
  <c r="W71" i="12820"/>
  <c r="W47" i="12820"/>
  <c r="W69" i="12820"/>
  <c r="W45" i="12820"/>
  <c r="W67" i="12820"/>
  <c r="W43" i="12820"/>
  <c r="W41" i="12820"/>
  <c r="W65" i="12820"/>
  <c r="W44" i="12820"/>
  <c r="W68" i="12820"/>
  <c r="W66" i="12820"/>
  <c r="W64" i="12820"/>
  <c r="W46" i="12820"/>
  <c r="W40" i="12820"/>
  <c r="W70" i="12820"/>
  <c r="W42" i="12820"/>
  <c r="U252" i="12821"/>
  <c r="S97" i="12821"/>
  <c r="U251" i="12821"/>
  <c r="S80" i="12820"/>
  <c r="Q31" i="12820"/>
  <c r="U220" i="12821"/>
  <c r="U143" i="12821"/>
  <c r="AD124" i="12821"/>
  <c r="AD202" i="12821"/>
  <c r="Z199" i="12821" a="1"/>
  <c r="Z199" i="12821" s="1"/>
  <c r="AD125" i="12821"/>
  <c r="Z200" i="12821" a="1"/>
  <c r="Z200" i="12821" s="1"/>
  <c r="AC200" i="12821"/>
  <c r="AD200" i="12821"/>
  <c r="AD122" i="12821"/>
  <c r="Z122" i="12821" a="1"/>
  <c r="Z122" i="12821" s="1"/>
  <c r="AD123" i="12821"/>
  <c r="AC202" i="12821"/>
  <c r="AD201" i="12821"/>
  <c r="AD199" i="12821"/>
  <c r="U217" i="12821"/>
  <c r="U140" i="12821"/>
  <c r="U218" i="12821"/>
  <c r="AC199" i="12821"/>
  <c r="AC201" i="12821"/>
  <c r="U141" i="12821"/>
  <c r="U233" i="12821"/>
  <c r="U156" i="12821"/>
  <c r="U249" i="12821"/>
  <c r="U172" i="12821"/>
  <c r="U235" i="12821"/>
  <c r="U158" i="12821"/>
  <c r="U250" i="12821"/>
  <c r="U173" i="12821"/>
  <c r="U234" i="12821"/>
  <c r="U157" i="12821"/>
  <c r="U174" i="12821"/>
  <c r="U236" i="12821"/>
  <c r="U159" i="12821"/>
  <c r="U175" i="12821"/>
  <c r="Z201" i="12821" a="1"/>
  <c r="Z201" i="12821" s="1"/>
  <c r="U142" i="12821"/>
  <c r="Z202" i="12821" a="1"/>
  <c r="Z202" i="12821" s="1"/>
  <c r="U219" i="12821"/>
  <c r="S54" i="12820"/>
  <c r="S78" i="12820"/>
  <c r="S55" i="12820"/>
  <c r="S79" i="12820"/>
  <c r="S53" i="12820"/>
  <c r="V69" i="12820"/>
  <c r="V65" i="12820"/>
  <c r="V68" i="12820"/>
  <c r="V64" i="12820"/>
  <c r="V71" i="12820"/>
  <c r="V67" i="12820"/>
  <c r="S77" i="12820"/>
  <c r="V70" i="12820"/>
  <c r="V66" i="12820"/>
  <c r="Z123" i="12821" a="1"/>
  <c r="Z123" i="12821" s="1"/>
  <c r="AC125" i="12821"/>
  <c r="AB125" i="12821" s="1"/>
  <c r="AC123" i="12821"/>
  <c r="AC122" i="12821"/>
  <c r="AC124" i="12821"/>
  <c r="Z125" i="12821" a="1"/>
  <c r="Z125" i="12821" s="1"/>
  <c r="Z124" i="12821" a="1"/>
  <c r="Z124" i="12821" s="1"/>
  <c r="V46" i="12820"/>
  <c r="V47" i="12820"/>
  <c r="V45" i="12820"/>
  <c r="V44" i="12820"/>
  <c r="V41" i="12820"/>
  <c r="V42" i="12820"/>
  <c r="V43" i="12820"/>
  <c r="V40" i="12820"/>
  <c r="S82" i="12821"/>
  <c r="S96" i="12821"/>
  <c r="S72" i="12821"/>
  <c r="Q30" i="12820"/>
  <c r="S98" i="12821"/>
  <c r="S71" i="12821"/>
  <c r="S84" i="12821"/>
  <c r="S70" i="12821"/>
  <c r="S83" i="12821"/>
  <c r="G62" i="12818"/>
  <c r="G87" i="12818"/>
  <c r="G78" i="12818"/>
  <c r="G43" i="12818"/>
  <c r="G25" i="12818"/>
  <c r="AB124" i="12821" l="1"/>
  <c r="AB201" i="12821"/>
  <c r="AB199" i="12821"/>
  <c r="AB122" i="12821"/>
  <c r="AB123" i="12821"/>
  <c r="AB200" i="12821"/>
  <c r="AB202" i="12821"/>
  <c r="Y123" i="12821"/>
  <c r="X123" i="12821"/>
  <c r="Y122" i="12821"/>
  <c r="X122" i="12821"/>
  <c r="Y124" i="12821"/>
  <c r="Y125" i="12821"/>
  <c r="X125" i="12821" a="1"/>
  <c r="X125" i="12821" s="1"/>
  <c r="X124" i="12821" a="1"/>
  <c r="X124" i="12821" s="1"/>
  <c r="G89" i="12818"/>
  <c r="I4" i="12811" a="1"/>
  <c r="I4" i="12811" s="1"/>
  <c r="I5" i="12811" a="1"/>
  <c r="I5" i="12811" s="1"/>
  <c r="I6" i="12811" a="1"/>
  <c r="I6" i="12811" s="1"/>
  <c r="I7" i="12811" a="1"/>
  <c r="I7" i="12811" s="1"/>
  <c r="I8" i="12811" a="1"/>
  <c r="I8" i="12811" s="1"/>
  <c r="I9" i="12811" a="1"/>
  <c r="I9" i="12811" s="1"/>
  <c r="I10" i="12811" a="1"/>
  <c r="I10" i="12811" s="1"/>
  <c r="I11" i="12811" a="1"/>
  <c r="I11" i="12811" s="1"/>
  <c r="I12" i="12811" a="1"/>
  <c r="I12" i="12811" s="1"/>
  <c r="I13" i="12811" a="1"/>
  <c r="I13" i="12811" s="1"/>
  <c r="I14" i="12811" a="1"/>
  <c r="I14" i="12811" s="1"/>
  <c r="I15" i="12811" a="1"/>
  <c r="I15" i="12811" s="1"/>
  <c r="I16" i="12811" a="1"/>
  <c r="I16" i="12811" s="1"/>
  <c r="I17" i="12811" a="1"/>
  <c r="I17" i="12811" s="1"/>
  <c r="I18" i="12811" a="1"/>
  <c r="I18" i="12811" s="1"/>
  <c r="I19" i="12811" a="1"/>
  <c r="I19" i="12811" s="1"/>
  <c r="I20" i="12811" a="1"/>
  <c r="I20" i="12811" s="1"/>
  <c r="I21" i="12811" a="1"/>
  <c r="I21" i="12811" s="1"/>
  <c r="I22" i="12811" a="1"/>
  <c r="I22" i="12811" s="1"/>
  <c r="I23" i="12811" a="1"/>
  <c r="I23" i="12811" s="1"/>
  <c r="I24" i="12811" a="1"/>
  <c r="I24" i="12811" s="1"/>
  <c r="I25" i="12811" a="1"/>
  <c r="I25" i="12811" s="1"/>
  <c r="I26" i="12811" a="1"/>
  <c r="I26" i="12811" s="1"/>
  <c r="I27" i="12811" a="1"/>
  <c r="I27" i="12811" s="1"/>
  <c r="I28" i="12811" a="1"/>
  <c r="I28" i="12811" s="1"/>
  <c r="I29" i="12811" a="1"/>
  <c r="I29" i="12811" s="1"/>
  <c r="I30" i="12811" a="1"/>
  <c r="I30" i="12811" s="1"/>
  <c r="I31" i="12811" a="1"/>
  <c r="I31" i="12811" s="1"/>
  <c r="I32" i="12811" a="1"/>
  <c r="I32" i="12811" s="1"/>
  <c r="I33" i="12811" a="1"/>
  <c r="I33" i="12811" s="1"/>
  <c r="I34" i="12811" a="1"/>
  <c r="I34" i="12811" s="1"/>
  <c r="I35" i="12811" a="1"/>
  <c r="I35" i="12811" s="1"/>
  <c r="I36" i="12811" a="1"/>
  <c r="I36" i="12811" s="1"/>
  <c r="I37" i="12811" a="1"/>
  <c r="I37" i="12811" s="1"/>
  <c r="I38" i="12811" a="1"/>
  <c r="I38" i="12811" s="1"/>
  <c r="I39" i="12811" a="1"/>
  <c r="I39" i="12811" s="1"/>
  <c r="I40" i="12811" a="1"/>
  <c r="I40" i="12811" s="1"/>
  <c r="I41" i="12811" a="1"/>
  <c r="I41" i="12811" s="1"/>
  <c r="I42" i="12811" a="1"/>
  <c r="I42" i="12811" s="1"/>
  <c r="I43" i="12811" a="1"/>
  <c r="I43" i="12811" s="1"/>
  <c r="I44" i="12811" a="1"/>
  <c r="I44" i="12811" s="1"/>
  <c r="I45" i="12811" a="1"/>
  <c r="I45" i="12811" s="1"/>
  <c r="I46" i="12811" a="1"/>
  <c r="I46" i="12811" s="1"/>
  <c r="I47" i="12811" a="1"/>
  <c r="I47" i="12811" s="1"/>
  <c r="I48" i="12811" a="1"/>
  <c r="I48" i="12811" s="1"/>
  <c r="I49" i="12811" a="1"/>
  <c r="I49" i="12811" s="1"/>
  <c r="I50" i="12811" a="1"/>
  <c r="I50" i="12811" s="1"/>
  <c r="I51" i="12811" a="1"/>
  <c r="I51" i="12811" s="1"/>
  <c r="I52" i="12811" a="1"/>
  <c r="I52" i="12811" s="1"/>
  <c r="I53" i="12811" a="1"/>
  <c r="I53" i="12811" s="1"/>
  <c r="I54" i="12811" a="1"/>
  <c r="I54" i="12811" s="1"/>
  <c r="I55" i="12811" a="1"/>
  <c r="I55" i="12811" s="1"/>
  <c r="I56" i="12811" a="1"/>
  <c r="I56" i="12811" s="1"/>
  <c r="I57" i="12811" a="1"/>
  <c r="I57" i="12811" s="1"/>
  <c r="I58" i="12811" a="1"/>
  <c r="I58" i="12811" s="1"/>
  <c r="I59" i="12811" a="1"/>
  <c r="I59" i="12811" s="1"/>
  <c r="I60" i="12811" a="1"/>
  <c r="I60" i="12811" s="1"/>
  <c r="I61" i="12811" a="1"/>
  <c r="I61" i="12811" s="1"/>
  <c r="I62" i="12811" a="1"/>
  <c r="I62" i="12811" s="1"/>
  <c r="I63" i="12811" a="1"/>
  <c r="I63" i="12811" s="1"/>
  <c r="I64" i="12811" a="1"/>
  <c r="I64" i="12811" s="1"/>
  <c r="I65" i="12811" a="1"/>
  <c r="I65" i="12811" s="1"/>
  <c r="I66" i="12811" a="1"/>
  <c r="I66" i="12811" s="1"/>
  <c r="I67" i="12811" a="1"/>
  <c r="I67" i="12811" s="1"/>
  <c r="I68" i="12811" a="1"/>
  <c r="I68" i="12811" s="1"/>
  <c r="I69" i="12811" a="1"/>
  <c r="I69" i="12811" s="1"/>
  <c r="I70" i="12811" a="1"/>
  <c r="I70" i="12811" s="1"/>
  <c r="I71" i="12811" a="1"/>
  <c r="I71" i="12811" s="1"/>
  <c r="I72" i="12811" a="1"/>
  <c r="I72" i="12811" s="1"/>
  <c r="I73" i="12811" a="1"/>
  <c r="I73" i="12811" s="1"/>
  <c r="I74" i="12811" a="1"/>
  <c r="I74" i="12811" s="1"/>
  <c r="I75" i="12811" a="1"/>
  <c r="I75" i="12811" s="1"/>
  <c r="I76" i="12811" a="1"/>
  <c r="I76" i="12811" s="1"/>
  <c r="I77" i="12811" a="1"/>
  <c r="I77" i="12811" s="1"/>
  <c r="I78" i="12811" a="1"/>
  <c r="I78" i="12811" s="1"/>
  <c r="I79" i="12811" a="1"/>
  <c r="I79" i="12811" s="1"/>
  <c r="I80" i="12811" a="1"/>
  <c r="I80" i="12811" s="1"/>
  <c r="I81" i="12811" a="1"/>
  <c r="I81" i="12811" s="1"/>
  <c r="I82" i="12811" a="1"/>
  <c r="I82" i="12811" s="1"/>
  <c r="I83" i="12811" a="1"/>
  <c r="I83" i="12811" s="1"/>
  <c r="I84" i="12811" a="1"/>
  <c r="I84" i="12811" s="1"/>
  <c r="I85" i="12811" a="1"/>
  <c r="I85" i="12811" s="1"/>
  <c r="I86" i="12811" a="1"/>
  <c r="I86" i="12811" s="1"/>
  <c r="I87" i="12811" a="1"/>
  <c r="I87" i="12811" s="1"/>
  <c r="I88" i="12811" a="1"/>
  <c r="I88" i="12811" s="1"/>
  <c r="I89" i="12811" a="1"/>
  <c r="I89" i="12811" s="1"/>
  <c r="I90" i="12811" a="1"/>
  <c r="I90" i="12811" s="1"/>
  <c r="I91" i="12811" a="1"/>
  <c r="I91" i="12811" s="1"/>
  <c r="I92" i="12811" a="1"/>
  <c r="I92" i="12811" s="1"/>
  <c r="I93" i="12811" a="1"/>
  <c r="I93" i="12811" s="1"/>
  <c r="I94" i="12811" a="1"/>
  <c r="I94" i="12811" s="1"/>
  <c r="I95" i="12811" a="1"/>
  <c r="I95" i="12811" s="1"/>
  <c r="I96" i="12811" a="1"/>
  <c r="I96" i="12811" s="1"/>
  <c r="I97" i="12811" a="1"/>
  <c r="I97" i="12811" s="1"/>
  <c r="I98" i="12811" a="1"/>
  <c r="I98" i="12811" s="1"/>
  <c r="I99" i="12811" a="1"/>
  <c r="I99" i="12811" s="1"/>
  <c r="I100" i="12811" a="1"/>
  <c r="I100" i="12811" s="1"/>
  <c r="I101" i="12811" a="1"/>
  <c r="I101" i="12811" s="1"/>
  <c r="I102" i="12811" a="1"/>
  <c r="I102" i="12811" s="1"/>
  <c r="I103" i="12811" a="1"/>
  <c r="I103" i="12811" s="1"/>
  <c r="I104" i="12811" a="1"/>
  <c r="I104" i="12811" s="1"/>
  <c r="I105" i="12811" a="1"/>
  <c r="I105" i="12811" s="1"/>
  <c r="I106" i="12811" a="1"/>
  <c r="I106" i="12811" s="1"/>
  <c r="I107" i="12811" a="1"/>
  <c r="I107" i="12811" s="1"/>
  <c r="I108" i="12811" a="1"/>
  <c r="I108" i="12811" s="1"/>
  <c r="I109" i="12811" a="1"/>
  <c r="I109" i="12811" s="1"/>
  <c r="I110" i="12811" a="1"/>
  <c r="I110" i="12811" s="1"/>
  <c r="I111" i="12811" a="1"/>
  <c r="I111" i="12811" s="1"/>
  <c r="I112" i="12811" a="1"/>
  <c r="I112" i="12811" s="1"/>
  <c r="I113" i="12811" a="1"/>
  <c r="I113" i="12811" s="1"/>
  <c r="I114" i="12811" a="1"/>
  <c r="I114" i="12811" s="1"/>
  <c r="I115" i="12811" a="1"/>
  <c r="I115" i="12811" s="1"/>
  <c r="I116" i="12811" a="1"/>
  <c r="I116" i="12811" s="1"/>
  <c r="I117" i="12811" a="1"/>
  <c r="I117" i="12811" s="1"/>
  <c r="I118" i="12811" a="1"/>
  <c r="I118" i="12811" s="1"/>
  <c r="I119" i="12811" a="1"/>
  <c r="I119" i="12811" s="1"/>
  <c r="I120" i="12811" a="1"/>
  <c r="I120" i="12811" s="1"/>
  <c r="I121" i="12811" a="1"/>
  <c r="I121" i="12811" s="1"/>
  <c r="I122" i="12811" a="1"/>
  <c r="I122" i="12811" s="1"/>
  <c r="I123" i="12811" a="1"/>
  <c r="I123" i="12811" s="1"/>
  <c r="I124" i="12811" a="1"/>
  <c r="I124" i="12811" s="1"/>
  <c r="I125" i="12811" a="1"/>
  <c r="I125" i="12811" s="1"/>
  <c r="I126" i="12811" a="1"/>
  <c r="I126" i="12811" s="1"/>
  <c r="I127" i="12811" a="1"/>
  <c r="I127" i="12811" s="1"/>
  <c r="I128" i="12811" a="1"/>
  <c r="I128" i="12811" s="1"/>
  <c r="I129" i="12811" a="1"/>
  <c r="I129" i="12811" s="1"/>
  <c r="I130" i="12811" a="1"/>
  <c r="I130" i="12811" s="1"/>
  <c r="I131" i="12811" a="1"/>
  <c r="I131" i="12811" s="1"/>
  <c r="I132" i="12811" a="1"/>
  <c r="I132" i="12811" s="1"/>
  <c r="I133" i="12811" a="1"/>
  <c r="I133" i="12811" s="1"/>
  <c r="I134" i="12811" a="1"/>
  <c r="I134" i="12811" s="1"/>
  <c r="I135" i="12811" a="1"/>
  <c r="I135" i="12811" s="1"/>
  <c r="I136" i="12811" a="1"/>
  <c r="I136" i="12811" s="1"/>
  <c r="I137" i="12811" a="1"/>
  <c r="I137" i="12811" s="1"/>
  <c r="I138" i="12811" a="1"/>
  <c r="I138" i="12811" s="1"/>
  <c r="I139" i="12811" a="1"/>
  <c r="I139" i="12811" s="1"/>
  <c r="I140" i="12811" a="1"/>
  <c r="I140" i="12811" s="1"/>
  <c r="I141" i="12811" a="1"/>
  <c r="I141" i="12811" s="1"/>
  <c r="I142" i="12811" a="1"/>
  <c r="I142" i="12811" s="1"/>
  <c r="I143" i="12811" a="1"/>
  <c r="I143" i="12811" s="1"/>
  <c r="I144" i="12811" a="1"/>
  <c r="I144" i="12811" s="1"/>
  <c r="I145" i="12811" a="1"/>
  <c r="I145" i="12811" s="1"/>
  <c r="I146" i="12811" a="1"/>
  <c r="I146" i="12811" s="1"/>
  <c r="I147" i="12811" a="1"/>
  <c r="I147" i="12811" s="1"/>
  <c r="I148" i="12811" a="1"/>
  <c r="I148" i="12811" s="1"/>
  <c r="I149" i="12811" a="1"/>
  <c r="I149" i="12811" s="1"/>
  <c r="I150" i="12811" a="1"/>
  <c r="I150" i="12811" s="1"/>
  <c r="I151" i="12811" a="1"/>
  <c r="I151" i="12811" s="1"/>
  <c r="I3" i="12811" a="1"/>
  <c r="I3" i="12811" s="1"/>
  <c r="I6" i="12817" l="1"/>
  <c r="I7" i="12817"/>
  <c r="I8" i="12817"/>
  <c r="Q12" i="12820" s="1"/>
  <c r="Q28" i="12820" s="1"/>
  <c r="I9" i="12817"/>
  <c r="Q13" i="12820" s="1"/>
  <c r="Q29" i="12820" s="1"/>
  <c r="I10" i="12817"/>
  <c r="Q18" i="12820" s="1"/>
  <c r="I11" i="12817"/>
  <c r="I12" i="12817"/>
  <c r="I13" i="12817"/>
  <c r="I14" i="12817"/>
  <c r="S9" i="12821" s="1"/>
  <c r="I15" i="12817"/>
  <c r="S10" i="12821" s="1"/>
  <c r="I16" i="12817"/>
  <c r="S11" i="12821" s="1"/>
  <c r="I17" i="12817"/>
  <c r="S18" i="12821" s="1"/>
  <c r="I18" i="12817"/>
  <c r="I19" i="12817"/>
  <c r="I20" i="12817"/>
  <c r="I21" i="12817"/>
  <c r="S20" i="12821" s="1"/>
  <c r="I22" i="12817"/>
  <c r="S21" i="12821" s="1"/>
  <c r="I23" i="12817"/>
  <c r="S22" i="12821" s="1"/>
  <c r="I24" i="12817"/>
  <c r="S23" i="12821" s="1"/>
  <c r="I25" i="12817"/>
  <c r="S24" i="12821" s="1"/>
  <c r="I26" i="12817"/>
  <c r="S25" i="12821" s="1"/>
  <c r="I27" i="12817"/>
  <c r="S32" i="12821" s="1"/>
  <c r="I28" i="12817"/>
  <c r="S33" i="12821" s="1"/>
  <c r="I29" i="12817"/>
  <c r="S34" i="12821" s="1"/>
  <c r="I30" i="12817"/>
  <c r="S35" i="12821" s="1"/>
  <c r="I31" i="12817"/>
  <c r="I32" i="12817"/>
  <c r="I33" i="12817"/>
  <c r="I34" i="12817"/>
  <c r="S37" i="12821" s="1"/>
  <c r="I35" i="12817"/>
  <c r="S38" i="12821" s="1"/>
  <c r="I36" i="12817"/>
  <c r="S39" i="12821" s="1"/>
  <c r="I37" i="12817"/>
  <c r="S40" i="12821" s="1"/>
  <c r="I38" i="12817"/>
  <c r="S41" i="12821" s="1"/>
  <c r="I39" i="12817"/>
  <c r="S48" i="12821" s="1"/>
  <c r="I40" i="12817"/>
  <c r="S49" i="12821" s="1"/>
  <c r="I41" i="12817"/>
  <c r="S50" i="12821" s="1"/>
  <c r="I42" i="12817"/>
  <c r="S51" i="12821" s="1"/>
  <c r="I43" i="12817"/>
  <c r="I44" i="12817"/>
  <c r="I45" i="12817"/>
  <c r="I46" i="12817"/>
  <c r="S9" i="12822" s="1"/>
  <c r="I47" i="12817"/>
  <c r="S10" i="12822" s="1"/>
  <c r="I48" i="12817"/>
  <c r="S11" i="12822" s="1"/>
  <c r="I49" i="12817"/>
  <c r="S12" i="12822" s="1"/>
  <c r="I50" i="12817"/>
  <c r="S13" i="12822" s="1"/>
  <c r="I51" i="12817"/>
  <c r="I52" i="12817"/>
  <c r="I53" i="12817"/>
  <c r="I54" i="12817"/>
  <c r="S17" i="12822" s="1"/>
  <c r="I55" i="12817"/>
  <c r="S18" i="12822" s="1"/>
  <c r="I56" i="12817"/>
  <c r="S19" i="12822" s="1"/>
  <c r="I57" i="12817"/>
  <c r="S20" i="12822" s="1"/>
  <c r="I58" i="12817"/>
  <c r="S21" i="12822" s="1"/>
  <c r="I59" i="12817"/>
  <c r="S24" i="12822" s="1"/>
  <c r="I60" i="12817"/>
  <c r="S25" i="12822" s="1"/>
  <c r="I61" i="12817"/>
  <c r="S26" i="12822" s="1"/>
  <c r="I62" i="12817"/>
  <c r="S27" i="12822" s="1"/>
  <c r="I63" i="12817"/>
  <c r="I64" i="12817"/>
  <c r="I65" i="12817"/>
  <c r="I66" i="12817"/>
  <c r="S29" i="12822" s="1"/>
  <c r="I67" i="12817"/>
  <c r="S30" i="12822" s="1"/>
  <c r="I68" i="12817"/>
  <c r="S31" i="12822" s="1"/>
  <c r="I69" i="12817"/>
  <c r="S32" i="12822" s="1"/>
  <c r="I70" i="12817"/>
  <c r="S33" i="12822" s="1"/>
  <c r="I71" i="12817"/>
  <c r="S36" i="12822" s="1"/>
  <c r="I72" i="12817"/>
  <c r="S37" i="12822" s="1"/>
  <c r="I73" i="12817"/>
  <c r="S38" i="12822" s="1"/>
  <c r="I74" i="12817"/>
  <c r="S39" i="12822" s="1"/>
  <c r="I75" i="12817"/>
  <c r="F11" i="12831" s="1"/>
  <c r="F21" i="12831" s="1"/>
  <c r="I76" i="12817"/>
  <c r="F12" i="12831" s="1"/>
  <c r="F22" i="12831" s="1"/>
  <c r="I77" i="12817"/>
  <c r="S5" i="12823" s="1"/>
  <c r="I78" i="12817"/>
  <c r="I79" i="12817"/>
  <c r="S7" i="12823" s="1"/>
  <c r="I80" i="12817"/>
  <c r="S8" i="12823" s="1"/>
  <c r="I81" i="12817"/>
  <c r="S9" i="12823" s="1"/>
  <c r="I82" i="12817"/>
  <c r="S10" i="12823" s="1"/>
  <c r="I83" i="12817"/>
  <c r="S13" i="12823" s="1"/>
  <c r="I84" i="12817"/>
  <c r="S11" i="12823" s="1"/>
  <c r="I85" i="12817"/>
  <c r="S12" i="12823" s="1"/>
  <c r="I86" i="12817"/>
  <c r="S15" i="12823" s="1"/>
  <c r="I87" i="12817"/>
  <c r="S16" i="12823" s="1"/>
  <c r="I88" i="12817"/>
  <c r="S17" i="12823" s="1"/>
  <c r="I89" i="12817"/>
  <c r="S18" i="12823" s="1"/>
  <c r="I90" i="12817"/>
  <c r="I91" i="12817"/>
  <c r="I92" i="12817"/>
  <c r="F6" i="12824" s="1"/>
  <c r="I93" i="12817"/>
  <c r="F7" i="12824" s="1"/>
  <c r="I94" i="12817"/>
  <c r="F8" i="12824" s="1"/>
  <c r="I95" i="12817"/>
  <c r="I96" i="12817"/>
  <c r="I97" i="12817"/>
  <c r="I98" i="12817"/>
  <c r="T9" i="12825" s="1"/>
  <c r="I99" i="12817"/>
  <c r="T10" i="12825" s="1"/>
  <c r="I100" i="12817"/>
  <c r="T13" i="12825" s="1"/>
  <c r="I101" i="12817"/>
  <c r="T14" i="12825" s="1"/>
  <c r="I102" i="12817"/>
  <c r="T15" i="12825" s="1"/>
  <c r="I103" i="12817"/>
  <c r="T16" i="12825" s="1"/>
  <c r="I104" i="12817"/>
  <c r="T17" i="12825" s="1"/>
  <c r="I105" i="12817"/>
  <c r="T18" i="12825" s="1"/>
  <c r="I106" i="12817"/>
  <c r="T21" i="12825" s="1"/>
  <c r="I107" i="12817"/>
  <c r="I108" i="12817"/>
  <c r="I109" i="12817"/>
  <c r="T23" i="12825" s="1"/>
  <c r="I110" i="12817"/>
  <c r="T24" i="12825" s="1"/>
  <c r="I111" i="12817"/>
  <c r="T25" i="12825" s="1"/>
  <c r="I112" i="12817"/>
  <c r="T26" i="12825" s="1"/>
  <c r="I113" i="12817"/>
  <c r="T29" i="12825" s="1"/>
  <c r="I114" i="12817"/>
  <c r="T30" i="12825" s="1"/>
  <c r="I115" i="12817"/>
  <c r="T31" i="12825" s="1"/>
  <c r="I116" i="12817"/>
  <c r="T32" i="12825" s="1"/>
  <c r="I117" i="12817"/>
  <c r="T35" i="12825" s="1"/>
  <c r="I118" i="12817"/>
  <c r="I119" i="12817"/>
  <c r="D56" i="12834" s="1" a="1"/>
  <c r="D56" i="12834" s="1"/>
  <c r="I120" i="12817"/>
  <c r="O6" i="12826" s="1"/>
  <c r="I121" i="12817"/>
  <c r="O7" i="12826" s="1"/>
  <c r="I122" i="12817"/>
  <c r="O10" i="12826" s="1"/>
  <c r="I123" i="12817"/>
  <c r="G7" i="12827" s="1"/>
  <c r="I124" i="12817"/>
  <c r="G8" i="12827" s="1"/>
  <c r="I125" i="12817"/>
  <c r="G9" i="12827" s="1"/>
  <c r="I126" i="12817"/>
  <c r="G10" i="12827" s="1"/>
  <c r="I127" i="12817"/>
  <c r="G11" i="12827" s="1"/>
  <c r="I128" i="12817"/>
  <c r="G12" i="12827" s="1"/>
  <c r="I129" i="12817"/>
  <c r="G13" i="12827" s="1"/>
  <c r="I130" i="12817"/>
  <c r="G14" i="12827" s="1"/>
  <c r="I131" i="12817"/>
  <c r="G15" i="12827" s="1"/>
  <c r="I132" i="12817"/>
  <c r="G16" i="12827" s="1"/>
  <c r="I133" i="12817"/>
  <c r="G17" i="12827" s="1"/>
  <c r="I134" i="12817"/>
  <c r="G18" i="12827" s="1"/>
  <c r="I135" i="12817"/>
  <c r="G19" i="12827" s="1"/>
  <c r="I136" i="12817"/>
  <c r="G20" i="12827" s="1"/>
  <c r="I137" i="12817"/>
  <c r="G21" i="12827" s="1"/>
  <c r="I138" i="12817"/>
  <c r="G22" i="12827" s="1"/>
  <c r="I139" i="12817"/>
  <c r="G23" i="12827" s="1"/>
  <c r="I140" i="12817"/>
  <c r="G24" i="12827" s="1"/>
  <c r="I141" i="12817"/>
  <c r="G25" i="12827" s="1"/>
  <c r="I142" i="12817"/>
  <c r="G26" i="12827" s="1"/>
  <c r="I143" i="12817"/>
  <c r="G27" i="12827" s="1"/>
  <c r="I144" i="12817"/>
  <c r="I145" i="12817"/>
  <c r="I146" i="12817"/>
  <c r="AA179" i="12825" l="1"/>
  <c r="AA176" i="12825"/>
  <c r="AA109" i="12825"/>
  <c r="AA175" i="12825"/>
  <c r="AA110" i="12825"/>
  <c r="AA113" i="12825"/>
  <c r="D62" i="12834" a="1"/>
  <c r="D62" i="12834" s="1"/>
  <c r="D66" i="12834" s="1"/>
  <c r="D44" i="12834" a="1"/>
  <c r="D44" i="12834" s="1"/>
  <c r="D36" i="12834" a="1"/>
  <c r="D36" i="12834" s="1"/>
  <c r="D35" i="12834" a="1"/>
  <c r="D35" i="12834" s="1"/>
  <c r="D54" i="12834" a="1"/>
  <c r="D54" i="12834" s="1"/>
  <c r="D53" i="12834" a="1"/>
  <c r="D53" i="12834" s="1"/>
  <c r="D12" i="12834"/>
  <c r="D43" i="12834" a="1"/>
  <c r="D43" i="12834" s="1"/>
  <c r="D34" i="12834" a="1"/>
  <c r="D34" i="12834" s="1"/>
  <c r="D8" i="12834" s="1"/>
  <c r="R76" i="12818"/>
  <c r="N64" i="12834"/>
  <c r="O64" i="12834" s="1"/>
  <c r="R75" i="12818"/>
  <c r="N63" i="12834"/>
  <c r="O63" i="12834" s="1"/>
  <c r="L143" i="12827"/>
  <c r="L92" i="12827"/>
  <c r="H69" i="12827"/>
  <c r="G69" i="12827" s="1"/>
  <c r="I120" i="12827"/>
  <c r="I171" i="12827"/>
  <c r="T35" i="12826"/>
  <c r="Q41" i="12826"/>
  <c r="T58" i="12826"/>
  <c r="Q64" i="12826"/>
  <c r="O18" i="12826"/>
  <c r="I157" i="12827"/>
  <c r="H55" i="12827"/>
  <c r="G55" i="12827" s="1"/>
  <c r="I106" i="12827"/>
  <c r="L144" i="12827"/>
  <c r="L93" i="12827"/>
  <c r="I121" i="12827"/>
  <c r="I172" i="12827"/>
  <c r="H70" i="12827"/>
  <c r="G70" i="12827" s="1"/>
  <c r="I163" i="12827"/>
  <c r="H61" i="12827"/>
  <c r="G61" i="12827" s="1"/>
  <c r="I112" i="12827"/>
  <c r="I102" i="12827"/>
  <c r="L134" i="12827"/>
  <c r="I153" i="12827"/>
  <c r="L83" i="12827"/>
  <c r="H51" i="12827"/>
  <c r="G51" i="12827" s="1"/>
  <c r="V207" i="12825"/>
  <c r="V141" i="12825"/>
  <c r="T76" i="12825"/>
  <c r="V184" i="12825"/>
  <c r="V118" i="12825"/>
  <c r="AA96" i="12825"/>
  <c r="AA162" i="12825"/>
  <c r="T54" i="12825"/>
  <c r="E58" i="12818" a="1"/>
  <c r="E58" i="12818" s="1"/>
  <c r="F5" i="12824"/>
  <c r="U82" i="12823"/>
  <c r="U123" i="12823"/>
  <c r="S41" i="12823"/>
  <c r="S79" i="12822"/>
  <c r="U206" i="12822"/>
  <c r="U143" i="12822"/>
  <c r="Z110" i="12822"/>
  <c r="S72" i="12822"/>
  <c r="Z173" i="12822"/>
  <c r="U136" i="12822"/>
  <c r="U199" i="12822"/>
  <c r="S92" i="12821"/>
  <c r="U245" i="12821"/>
  <c r="U168" i="12821"/>
  <c r="S85" i="12821"/>
  <c r="U237" i="12821"/>
  <c r="U160" i="12821"/>
  <c r="F8" i="12831"/>
  <c r="F18" i="12831" s="1"/>
  <c r="I162" i="12827"/>
  <c r="H60" i="12827"/>
  <c r="G60" i="12827" s="1"/>
  <c r="I111" i="12827"/>
  <c r="T39" i="12826"/>
  <c r="Q68" i="12826"/>
  <c r="T62" i="12826"/>
  <c r="Q45" i="12826"/>
  <c r="O22" i="12826"/>
  <c r="V205" i="12825"/>
  <c r="V139" i="12825"/>
  <c r="T75" i="12825"/>
  <c r="V129" i="12825"/>
  <c r="AA107" i="12825"/>
  <c r="AA173" i="12825"/>
  <c r="V195" i="12825"/>
  <c r="T65" i="12825"/>
  <c r="V116" i="12825"/>
  <c r="V182" i="12825"/>
  <c r="AA160" i="12825"/>
  <c r="AA94" i="12825"/>
  <c r="T53" i="12825"/>
  <c r="Z106" i="12823"/>
  <c r="U120" i="12823"/>
  <c r="Z65" i="12823"/>
  <c r="U79" i="12823"/>
  <c r="S38" i="12823"/>
  <c r="X65" i="12823" s="1"/>
  <c r="S88" i="12822"/>
  <c r="U151" i="12822"/>
  <c r="U214" i="12822"/>
  <c r="S78" i="12822"/>
  <c r="U205" i="12822"/>
  <c r="U142" i="12822"/>
  <c r="U134" i="12822"/>
  <c r="S69" i="12822"/>
  <c r="U197" i="12822"/>
  <c r="Z108" i="12822"/>
  <c r="Z171" i="12822"/>
  <c r="U185" i="12822"/>
  <c r="U122" i="12822"/>
  <c r="S60" i="12822"/>
  <c r="U179" i="12821"/>
  <c r="S102" i="12821"/>
  <c r="U256" i="12821"/>
  <c r="S91" i="12821"/>
  <c r="U244" i="12821"/>
  <c r="U167" i="12821"/>
  <c r="U232" i="12821"/>
  <c r="U155" i="12821"/>
  <c r="S81" i="12821"/>
  <c r="F7" i="12831"/>
  <c r="F17" i="12831" s="1"/>
  <c r="S52" i="12820"/>
  <c r="S76" i="12820"/>
  <c r="Q32" i="12820"/>
  <c r="G29" i="12827"/>
  <c r="V204" i="12825"/>
  <c r="V138" i="12825"/>
  <c r="T74" i="12825"/>
  <c r="V192" i="12825"/>
  <c r="AA170" i="12825"/>
  <c r="AA104" i="12825"/>
  <c r="V126" i="12825"/>
  <c r="T62" i="12825"/>
  <c r="E38" i="12818" a="1"/>
  <c r="E38" i="12818" s="1"/>
  <c r="T8" i="12825"/>
  <c r="Z114" i="12823"/>
  <c r="U128" i="12823"/>
  <c r="U87" i="12823"/>
  <c r="Z73" i="12823"/>
  <c r="S46" i="12823"/>
  <c r="Z105" i="12823"/>
  <c r="Z64" i="12823"/>
  <c r="U119" i="12823"/>
  <c r="U78" i="12823"/>
  <c r="S37" i="12823"/>
  <c r="X64" i="12823" s="1"/>
  <c r="U150" i="12822"/>
  <c r="U213" i="12822"/>
  <c r="S87" i="12822"/>
  <c r="E55" i="12818" a="1"/>
  <c r="E55" i="12818" s="1"/>
  <c r="S28" i="12822"/>
  <c r="U133" i="12822"/>
  <c r="U196" i="12822"/>
  <c r="S68" i="12822"/>
  <c r="U184" i="12822"/>
  <c r="S59" i="12822"/>
  <c r="Z107" i="12822"/>
  <c r="Z170" i="12822"/>
  <c r="U121" i="12822"/>
  <c r="S101" i="12821"/>
  <c r="U255" i="12821"/>
  <c r="U178" i="12821"/>
  <c r="E54" i="12818" a="1"/>
  <c r="E54" i="12818" s="1"/>
  <c r="S36" i="12821"/>
  <c r="U231" i="12821"/>
  <c r="S80" i="12821"/>
  <c r="U154" i="12821"/>
  <c r="U221" i="12821"/>
  <c r="Z206" i="12821"/>
  <c r="U144" i="12821"/>
  <c r="S73" i="12821"/>
  <c r="Z129" i="12821"/>
  <c r="V201" i="12825"/>
  <c r="V135" i="12825"/>
  <c r="T71" i="12825"/>
  <c r="V191" i="12825"/>
  <c r="AA169" i="12825"/>
  <c r="AA103" i="12825"/>
  <c r="V125" i="12825"/>
  <c r="T61" i="12825"/>
  <c r="Y103" i="12825" s="1"/>
  <c r="Z113" i="12823"/>
  <c r="U86" i="12823"/>
  <c r="U127" i="12823"/>
  <c r="Z72" i="12823"/>
  <c r="S45" i="12823"/>
  <c r="U118" i="12823"/>
  <c r="U77" i="12823"/>
  <c r="Z104" i="12823"/>
  <c r="Z63" i="12823"/>
  <c r="S36" i="12823"/>
  <c r="X63" i="12823" s="1"/>
  <c r="U149" i="12822"/>
  <c r="U212" i="12822"/>
  <c r="S86" i="12822"/>
  <c r="U132" i="12822"/>
  <c r="U195" i="12822"/>
  <c r="S67" i="12822"/>
  <c r="S58" i="12822"/>
  <c r="Z106" i="12822"/>
  <c r="U120" i="12822"/>
  <c r="Z169" i="12822"/>
  <c r="U183" i="12822"/>
  <c r="U177" i="12821"/>
  <c r="U254" i="12821"/>
  <c r="S100" i="12821"/>
  <c r="F10" i="12831"/>
  <c r="F20" i="12831" s="1"/>
  <c r="S79" i="12821"/>
  <c r="U230" i="12821"/>
  <c r="U153" i="12821"/>
  <c r="Z198" i="12821"/>
  <c r="U216" i="12821"/>
  <c r="S69" i="12821"/>
  <c r="Z121" i="12821"/>
  <c r="U139" i="12821"/>
  <c r="T36" i="12826"/>
  <c r="T59" i="12826"/>
  <c r="Q65" i="12826"/>
  <c r="Q42" i="12826"/>
  <c r="O19" i="12826"/>
  <c r="L148" i="12827"/>
  <c r="H74" i="12827"/>
  <c r="G74" i="12827" s="1"/>
  <c r="I125" i="12827"/>
  <c r="L97" i="12827"/>
  <c r="I176" i="12827"/>
  <c r="L140" i="12827"/>
  <c r="I117" i="12827"/>
  <c r="L89" i="12827"/>
  <c r="I168" i="12827"/>
  <c r="H66" i="12827"/>
  <c r="G66" i="12827" s="1"/>
  <c r="I158" i="12827"/>
  <c r="H56" i="12827"/>
  <c r="G56" i="12827" s="1"/>
  <c r="I107" i="12827"/>
  <c r="E57" i="12818" a="1"/>
  <c r="E57" i="12818" s="1"/>
  <c r="O5" i="12826"/>
  <c r="AA95" i="12825"/>
  <c r="V134" i="12825"/>
  <c r="AA161" i="12825"/>
  <c r="V200" i="12825"/>
  <c r="T70" i="12825"/>
  <c r="Y95" i="12825" s="1"/>
  <c r="V124" i="12825"/>
  <c r="AA102" i="12825"/>
  <c r="V190" i="12825"/>
  <c r="AA168" i="12825"/>
  <c r="T60" i="12825"/>
  <c r="Z112" i="12823"/>
  <c r="U126" i="12823"/>
  <c r="Z71" i="12823"/>
  <c r="U85" i="12823"/>
  <c r="S44" i="12823"/>
  <c r="U76" i="12823"/>
  <c r="U117" i="12823"/>
  <c r="S35" i="12823"/>
  <c r="U148" i="12822"/>
  <c r="U211" i="12822"/>
  <c r="S85" i="12822"/>
  <c r="U131" i="12822"/>
  <c r="U194" i="12822"/>
  <c r="S66" i="12822"/>
  <c r="U119" i="12822"/>
  <c r="U182" i="12822"/>
  <c r="S57" i="12822"/>
  <c r="Z105" i="12822"/>
  <c r="Z168" i="12822"/>
  <c r="S99" i="12821"/>
  <c r="U253" i="12821"/>
  <c r="U176" i="12821"/>
  <c r="F9" i="12831"/>
  <c r="F19" i="12831" s="1"/>
  <c r="S78" i="12821"/>
  <c r="U229" i="12821"/>
  <c r="U152" i="12821"/>
  <c r="U214" i="12821"/>
  <c r="U137" i="12821"/>
  <c r="Z197" i="12821"/>
  <c r="Z196" i="12821"/>
  <c r="S68" i="12821"/>
  <c r="Z119" i="12821"/>
  <c r="Z120" i="12821"/>
  <c r="Q9" i="12820"/>
  <c r="Q8" i="12820"/>
  <c r="L141" i="12827"/>
  <c r="H67" i="12827"/>
  <c r="G67" i="12827" s="1"/>
  <c r="L90" i="12827"/>
  <c r="I118" i="12827"/>
  <c r="I169" i="12827"/>
  <c r="L139" i="12827"/>
  <c r="L88" i="12827"/>
  <c r="I167" i="12827"/>
  <c r="H65" i="12827"/>
  <c r="G65" i="12827" s="1"/>
  <c r="I116" i="12827"/>
  <c r="V199" i="12825"/>
  <c r="V133" i="12825"/>
  <c r="T69" i="12825"/>
  <c r="V189" i="12825"/>
  <c r="AA167" i="12825"/>
  <c r="AA101" i="12825"/>
  <c r="V123" i="12825"/>
  <c r="T59" i="12825"/>
  <c r="Y101" i="12825" s="1"/>
  <c r="H34" i="12824"/>
  <c r="H48" i="12824"/>
  <c r="F20" i="12824"/>
  <c r="Z111" i="12823"/>
  <c r="U125" i="12823"/>
  <c r="Z70" i="12823"/>
  <c r="U84" i="12823"/>
  <c r="S43" i="12823"/>
  <c r="E74" i="12818" a="1"/>
  <c r="E74" i="12818" s="1"/>
  <c r="E78" i="12818" s="1"/>
  <c r="S6" i="12823"/>
  <c r="U209" i="12822"/>
  <c r="S82" i="12822"/>
  <c r="U146" i="12822"/>
  <c r="Z176" i="12822"/>
  <c r="U139" i="12822"/>
  <c r="U202" i="12822"/>
  <c r="Z113" i="12822"/>
  <c r="S75" i="12822"/>
  <c r="U193" i="12822"/>
  <c r="S65" i="12822"/>
  <c r="U130" i="12822"/>
  <c r="S56" i="12822"/>
  <c r="U118" i="12822"/>
  <c r="U181" i="12822"/>
  <c r="Z104" i="12822"/>
  <c r="Z167" i="12822"/>
  <c r="S95" i="12821"/>
  <c r="U171" i="12821"/>
  <c r="U248" i="12821"/>
  <c r="Z132" i="12821"/>
  <c r="U240" i="12821"/>
  <c r="Z209" i="12821"/>
  <c r="S88" i="12821"/>
  <c r="U113" i="12821" s="1"/>
  <c r="U163" i="12821"/>
  <c r="U151" i="12821"/>
  <c r="U228" i="12821"/>
  <c r="S77" i="12821"/>
  <c r="Z194" i="12821"/>
  <c r="Z118" i="12821"/>
  <c r="U212" i="12821"/>
  <c r="Z195" i="12821"/>
  <c r="U135" i="12821"/>
  <c r="Z117" i="12821"/>
  <c r="S67" i="12821"/>
  <c r="F6" i="12831"/>
  <c r="F16" i="12831" s="1"/>
  <c r="L142" i="12827"/>
  <c r="I119" i="12827"/>
  <c r="I170" i="12827"/>
  <c r="H68" i="12827"/>
  <c r="G68" i="12827" s="1"/>
  <c r="L91" i="12827"/>
  <c r="I159" i="12827"/>
  <c r="I108" i="12827"/>
  <c r="H57" i="12827"/>
  <c r="G57" i="12827" s="1"/>
  <c r="L146" i="12827"/>
  <c r="L95" i="12827"/>
  <c r="H72" i="12827"/>
  <c r="G72" i="12827" s="1"/>
  <c r="I174" i="12827"/>
  <c r="I123" i="12827"/>
  <c r="L136" i="12827"/>
  <c r="I104" i="12827"/>
  <c r="I155" i="12827"/>
  <c r="H53" i="12827"/>
  <c r="G53" i="12827" s="1"/>
  <c r="L85" i="12827"/>
  <c r="V212" i="12825"/>
  <c r="V146" i="12825"/>
  <c r="T80" i="12825"/>
  <c r="AA159" i="12825"/>
  <c r="V198" i="12825"/>
  <c r="AA93" i="12825"/>
  <c r="V132" i="12825"/>
  <c r="T68" i="12825"/>
  <c r="Y93" i="12825" s="1"/>
  <c r="V122" i="12825"/>
  <c r="AA166" i="12825"/>
  <c r="AA100" i="12825"/>
  <c r="V188" i="12825"/>
  <c r="T58" i="12825"/>
  <c r="H33" i="12824"/>
  <c r="H47" i="12824"/>
  <c r="F19" i="12824"/>
  <c r="Z108" i="12823"/>
  <c r="U81" i="12823"/>
  <c r="U122" i="12823"/>
  <c r="Z67" i="12823"/>
  <c r="S40" i="12823"/>
  <c r="X67" i="12823" s="1"/>
  <c r="Z109" i="12823"/>
  <c r="Z103" i="12823"/>
  <c r="U74" i="12823"/>
  <c r="Z101" i="12823"/>
  <c r="Z68" i="12823"/>
  <c r="Z62" i="12823"/>
  <c r="Z60" i="12823"/>
  <c r="U115" i="12823"/>
  <c r="S33" i="12823"/>
  <c r="S81" i="12822"/>
  <c r="U145" i="12822"/>
  <c r="U208" i="12822"/>
  <c r="Z175" i="12822"/>
  <c r="U138" i="12822"/>
  <c r="S74" i="12822"/>
  <c r="U201" i="12822"/>
  <c r="Z112" i="12822"/>
  <c r="E37" i="12818" a="1"/>
  <c r="E37" i="12818" s="1"/>
  <c r="S16" i="12822"/>
  <c r="E21" i="12818" a="1"/>
  <c r="E21" i="12818" s="1"/>
  <c r="S8" i="12822"/>
  <c r="U247" i="12821"/>
  <c r="S94" i="12821"/>
  <c r="U170" i="12821"/>
  <c r="Z208" i="12821"/>
  <c r="U162" i="12821"/>
  <c r="Z131" i="12821"/>
  <c r="S87" i="12821"/>
  <c r="U112" i="12821" s="1"/>
  <c r="U239" i="12821"/>
  <c r="S76" i="12821"/>
  <c r="U227" i="12821"/>
  <c r="U150" i="12821"/>
  <c r="E20" i="12818" a="1"/>
  <c r="E20" i="12818" s="1"/>
  <c r="S8" i="12821"/>
  <c r="I161" i="12827"/>
  <c r="H59" i="12827"/>
  <c r="G59" i="12827" s="1"/>
  <c r="I110" i="12827"/>
  <c r="L147" i="12827"/>
  <c r="H73" i="12827"/>
  <c r="G73" i="12827" s="1"/>
  <c r="I124" i="12827"/>
  <c r="L96" i="12827"/>
  <c r="I175" i="12827"/>
  <c r="L138" i="12827"/>
  <c r="I115" i="12827"/>
  <c r="L87" i="12827"/>
  <c r="I166" i="12827"/>
  <c r="H64" i="12827"/>
  <c r="G64" i="12827" s="1"/>
  <c r="L145" i="12827"/>
  <c r="I173" i="12827"/>
  <c r="H71" i="12827"/>
  <c r="G71" i="12827" s="1"/>
  <c r="I122" i="12827"/>
  <c r="L94" i="12827"/>
  <c r="L137" i="12827"/>
  <c r="L86" i="12827"/>
  <c r="I165" i="12827"/>
  <c r="H63" i="12827"/>
  <c r="G63" i="12827" s="1"/>
  <c r="I114" i="12827"/>
  <c r="I103" i="12827"/>
  <c r="L135" i="12827"/>
  <c r="I154" i="12827"/>
  <c r="H52" i="12827"/>
  <c r="G52" i="12827" s="1"/>
  <c r="L84" i="12827"/>
  <c r="V209" i="12825"/>
  <c r="V143" i="12825"/>
  <c r="T77" i="12825"/>
  <c r="E56" i="12818" a="1"/>
  <c r="E56" i="12818" s="1"/>
  <c r="T22" i="12825"/>
  <c r="AA165" i="12825"/>
  <c r="V187" i="12825"/>
  <c r="V121" i="12825"/>
  <c r="AA99" i="12825"/>
  <c r="T57" i="12825"/>
  <c r="H32" i="12824"/>
  <c r="H46" i="12824"/>
  <c r="F18" i="12824"/>
  <c r="Z107" i="12823"/>
  <c r="Z66" i="12823"/>
  <c r="U121" i="12823"/>
  <c r="U80" i="12823"/>
  <c r="S39" i="12823"/>
  <c r="U144" i="12822"/>
  <c r="U207" i="12822"/>
  <c r="S80" i="12822"/>
  <c r="U137" i="12822"/>
  <c r="Z174" i="12822"/>
  <c r="U200" i="12822"/>
  <c r="S73" i="12822"/>
  <c r="Z111" i="12822"/>
  <c r="S93" i="12821"/>
  <c r="U246" i="12821"/>
  <c r="U169" i="12821"/>
  <c r="U238" i="12821"/>
  <c r="Z207" i="12821"/>
  <c r="U161" i="12821"/>
  <c r="S86" i="12821"/>
  <c r="U111" i="12821" s="1"/>
  <c r="Z130" i="12821"/>
  <c r="E36" i="12818" a="1"/>
  <c r="E36" i="12818" s="1"/>
  <c r="S19" i="12821"/>
  <c r="E19" i="12818" a="1"/>
  <c r="E19" i="12818" s="1"/>
  <c r="I147" i="12817"/>
  <c r="G30" i="12827" s="1"/>
  <c r="I149" i="12817"/>
  <c r="I150" i="12817"/>
  <c r="I151" i="12817"/>
  <c r="I152" i="12817"/>
  <c r="I153" i="12817"/>
  <c r="I154" i="12817"/>
  <c r="I155" i="12817"/>
  <c r="I156" i="12817"/>
  <c r="I157" i="12817"/>
  <c r="I158" i="12817"/>
  <c r="I159" i="12817"/>
  <c r="I160" i="12817"/>
  <c r="I161" i="12817"/>
  <c r="I162" i="12817"/>
  <c r="I163" i="12817"/>
  <c r="I164" i="12817"/>
  <c r="I165" i="12817"/>
  <c r="I166" i="12817"/>
  <c r="I167" i="12817"/>
  <c r="I168" i="12817"/>
  <c r="I169" i="12817"/>
  <c r="I170" i="12817"/>
  <c r="I171" i="12817"/>
  <c r="I172" i="12817"/>
  <c r="I173" i="12817"/>
  <c r="I174" i="12817"/>
  <c r="I175" i="12817"/>
  <c r="I176" i="12817"/>
  <c r="I177" i="12817"/>
  <c r="I178" i="12817"/>
  <c r="I179" i="12817"/>
  <c r="I180" i="12817"/>
  <c r="I181" i="12817"/>
  <c r="I182" i="12817"/>
  <c r="I183" i="12817"/>
  <c r="I184" i="12817"/>
  <c r="I185" i="12817"/>
  <c r="I186" i="12817"/>
  <c r="I187" i="12817"/>
  <c r="I5" i="12817"/>
  <c r="F5" i="12831" s="1"/>
  <c r="F15" i="12831" s="1"/>
  <c r="U110" i="12821" l="1"/>
  <c r="V110" i="12821"/>
  <c r="H63" i="12834"/>
  <c r="I63" i="12834" s="1"/>
  <c r="J64" i="12834"/>
  <c r="L64" i="12834" s="1"/>
  <c r="M64" i="12834" s="1"/>
  <c r="H64" i="12834"/>
  <c r="I64" i="12834" s="1"/>
  <c r="AA174" i="12825"/>
  <c r="AA108" i="12825"/>
  <c r="Z90" i="12825"/>
  <c r="Y90" i="12825"/>
  <c r="V90" i="12825"/>
  <c r="D46" i="12834" a="1"/>
  <c r="D46" i="12834" s="1"/>
  <c r="D18" i="12834" s="1"/>
  <c r="D11" i="12834"/>
  <c r="D9" i="12834"/>
  <c r="D10" i="12834"/>
  <c r="D13" i="12834"/>
  <c r="N37" i="12834"/>
  <c r="O37" i="12834" s="1"/>
  <c r="J63" i="12834"/>
  <c r="L63" i="12834" s="1"/>
  <c r="M63" i="12834" s="1"/>
  <c r="R60" i="12818"/>
  <c r="N58" i="12834"/>
  <c r="O58" i="12834" s="1"/>
  <c r="R59" i="12818"/>
  <c r="N57" i="12834"/>
  <c r="O57" i="12834" s="1"/>
  <c r="K21" i="12834"/>
  <c r="R41" i="12818"/>
  <c r="N48" i="12834"/>
  <c r="O48" i="12834" s="1"/>
  <c r="R40" i="12818"/>
  <c r="N47" i="12834"/>
  <c r="O47" i="12834" s="1"/>
  <c r="N38" i="12834"/>
  <c r="O38" i="12834" s="1"/>
  <c r="R23" i="12818"/>
  <c r="R22" i="12818"/>
  <c r="Y102" i="12825"/>
  <c r="Y100" i="12825"/>
  <c r="X104" i="12822"/>
  <c r="D18" i="12830"/>
  <c r="X105" i="12822"/>
  <c r="U180" i="12822"/>
  <c r="U117" i="12822"/>
  <c r="S55" i="12822"/>
  <c r="Z166" i="12822"/>
  <c r="Z103" i="12822"/>
  <c r="V113" i="12821"/>
  <c r="U190" i="12821"/>
  <c r="V190" i="12821"/>
  <c r="T34" i="12826"/>
  <c r="Q40" i="12826"/>
  <c r="T57" i="12826"/>
  <c r="Q63" i="12826"/>
  <c r="O17" i="12826"/>
  <c r="U57" i="12823"/>
  <c r="V57" i="12823"/>
  <c r="V189" i="12821"/>
  <c r="V112" i="12821"/>
  <c r="U189" i="12821"/>
  <c r="U55" i="12823"/>
  <c r="V55" i="12823"/>
  <c r="U56" i="12823"/>
  <c r="V56" i="12823"/>
  <c r="V180" i="12825"/>
  <c r="AA158" i="12825"/>
  <c r="AA92" i="12825"/>
  <c r="V114" i="12825"/>
  <c r="T52" i="12825"/>
  <c r="X60" i="12823"/>
  <c r="X68" i="12823"/>
  <c r="X62" i="12823"/>
  <c r="V197" i="12825"/>
  <c r="V131" i="12825"/>
  <c r="T67" i="12825"/>
  <c r="S64" i="12822"/>
  <c r="U129" i="12822"/>
  <c r="U192" i="12822"/>
  <c r="S77" i="12822"/>
  <c r="U141" i="12822"/>
  <c r="U204" i="12822"/>
  <c r="X108" i="12822"/>
  <c r="Y108" i="12822"/>
  <c r="Y107" i="12825"/>
  <c r="R32" i="12826"/>
  <c r="Q32" i="12826"/>
  <c r="Z116" i="12821"/>
  <c r="U133" i="12821"/>
  <c r="Z115" i="12821"/>
  <c r="Z193" i="12821"/>
  <c r="Z192" i="12821"/>
  <c r="S66" i="12821"/>
  <c r="U210" i="12821"/>
  <c r="S72" i="12820"/>
  <c r="S48" i="12820"/>
  <c r="U35" i="12820"/>
  <c r="U59" i="12820"/>
  <c r="Q27" i="12820"/>
  <c r="C22" i="12820"/>
  <c r="Y104" i="12825"/>
  <c r="E39" i="12818" a="1"/>
  <c r="E39" i="12818" s="1"/>
  <c r="S49" i="12820"/>
  <c r="S73" i="12820"/>
  <c r="Y107" i="12822"/>
  <c r="X106" i="12822"/>
  <c r="Y106" i="12822"/>
  <c r="U58" i="12823"/>
  <c r="V58" i="12823"/>
  <c r="L150" i="12827"/>
  <c r="H78" i="12827"/>
  <c r="G78" i="12827" s="1"/>
  <c r="I129" i="12827"/>
  <c r="I180" i="12827"/>
  <c r="L99" i="12827"/>
  <c r="X110" i="12822"/>
  <c r="V98" i="12822"/>
  <c r="Y110" i="12822"/>
  <c r="V161" i="12822"/>
  <c r="U161" i="12822"/>
  <c r="U98" i="12822"/>
  <c r="H31" i="12824"/>
  <c r="H45" i="12824"/>
  <c r="F17" i="12824"/>
  <c r="D17" i="12830"/>
  <c r="Y66" i="12823"/>
  <c r="Y67" i="12823"/>
  <c r="Y60" i="12823"/>
  <c r="Y68" i="12823"/>
  <c r="X66" i="12823"/>
  <c r="Y62" i="12823"/>
  <c r="Z99" i="12825"/>
  <c r="Z107" i="12825"/>
  <c r="Y99" i="12825"/>
  <c r="W90" i="12825"/>
  <c r="X118" i="12821"/>
  <c r="X117" i="12821"/>
  <c r="U242" i="12821"/>
  <c r="U165" i="12821"/>
  <c r="S90" i="12821"/>
  <c r="X107" i="12822"/>
  <c r="Z94" i="12825"/>
  <c r="Z102" i="12825"/>
  <c r="Z95" i="12825"/>
  <c r="Z103" i="12825"/>
  <c r="Y94" i="12825"/>
  <c r="S75" i="12821"/>
  <c r="U226" i="12821"/>
  <c r="U149" i="12821"/>
  <c r="D19" i="12830"/>
  <c r="U188" i="12821"/>
  <c r="V111" i="12821"/>
  <c r="V188" i="12821"/>
  <c r="U162" i="12822"/>
  <c r="X111" i="12822"/>
  <c r="V99" i="12822"/>
  <c r="Y111" i="12822"/>
  <c r="V162" i="12822"/>
  <c r="U99" i="12822"/>
  <c r="V163" i="12822"/>
  <c r="X112" i="12822"/>
  <c r="U163" i="12822"/>
  <c r="Y112" i="12822"/>
  <c r="V100" i="12822"/>
  <c r="U100" i="12822"/>
  <c r="V187" i="12821"/>
  <c r="U187" i="12821"/>
  <c r="R76" i="12820"/>
  <c r="Q76" i="12820"/>
  <c r="Z96" i="12825"/>
  <c r="Z104" i="12825"/>
  <c r="Y96" i="12825"/>
  <c r="D16" i="12830"/>
  <c r="L151" i="12827"/>
  <c r="H79" i="12827"/>
  <c r="G79" i="12827" s="1"/>
  <c r="L100" i="12827"/>
  <c r="I130" i="12827"/>
  <c r="I181" i="12827"/>
  <c r="V164" i="12822"/>
  <c r="U164" i="12822"/>
  <c r="Y113" i="12822"/>
  <c r="X113" i="12822"/>
  <c r="V101" i="12822"/>
  <c r="U101" i="12822"/>
  <c r="Z102" i="12823"/>
  <c r="Z61" i="12823"/>
  <c r="U75" i="12823"/>
  <c r="U116" i="12823"/>
  <c r="S34" i="12823"/>
  <c r="R52" i="12820"/>
  <c r="Q52" i="12820"/>
  <c r="V28" i="12816"/>
  <c r="I272" i="12817"/>
  <c r="N19" i="12818" s="1"/>
  <c r="V66" i="12816"/>
  <c r="V53" i="12816"/>
  <c r="I274" i="12817"/>
  <c r="N37" i="12818" s="1"/>
  <c r="J58" i="12834" l="1"/>
  <c r="L58" i="12834" s="1"/>
  <c r="M58" i="12834" s="1"/>
  <c r="H58" i="12834"/>
  <c r="I58" i="12834" s="1"/>
  <c r="J47" i="12834"/>
  <c r="L47" i="12834" s="1"/>
  <c r="M47" i="12834" s="1"/>
  <c r="H47" i="12834"/>
  <c r="I47" i="12834" s="1"/>
  <c r="J57" i="12834"/>
  <c r="L57" i="12834" s="1"/>
  <c r="M57" i="12834" s="1"/>
  <c r="H57" i="12834"/>
  <c r="I57" i="12834" s="1"/>
  <c r="J48" i="12834"/>
  <c r="L48" i="12834" s="1"/>
  <c r="M48" i="12834" s="1"/>
  <c r="H48" i="12834"/>
  <c r="I48" i="12834" s="1"/>
  <c r="H38" i="12834"/>
  <c r="I38" i="12834" s="1"/>
  <c r="H37" i="12834"/>
  <c r="I37" i="12834" s="1"/>
  <c r="X90" i="12825"/>
  <c r="X113" i="12825" s="1"/>
  <c r="W113" i="12825" s="1"/>
  <c r="K22" i="12834"/>
  <c r="F22" i="12834"/>
  <c r="F21" i="12834"/>
  <c r="J38" i="12834"/>
  <c r="G22" i="12834"/>
  <c r="G21" i="12834"/>
  <c r="J37" i="12834"/>
  <c r="L37" i="12834" s="1"/>
  <c r="M37" i="12834" s="1"/>
  <c r="D7" i="12830"/>
  <c r="D6" i="12830"/>
  <c r="D4" i="12830"/>
  <c r="Z177" i="12822"/>
  <c r="S112" i="12821"/>
  <c r="W131" i="12821" s="1"/>
  <c r="V131" i="12821" s="1"/>
  <c r="S162" i="12822"/>
  <c r="W174" i="12822" s="1"/>
  <c r="Z114" i="12822"/>
  <c r="O32" i="12826"/>
  <c r="S39" i="12826" s="1"/>
  <c r="O39" i="12826" s="1"/>
  <c r="O45" i="12826" s="1"/>
  <c r="S56" i="12823"/>
  <c r="W71" i="12823" s="1"/>
  <c r="S71" i="12823" s="1"/>
  <c r="S85" i="12823" s="1"/>
  <c r="S57" i="12823"/>
  <c r="W72" i="12823" s="1"/>
  <c r="V72" i="12823" s="1"/>
  <c r="T86" i="12823" s="1"/>
  <c r="S187" i="12821"/>
  <c r="W206" i="12821" s="1"/>
  <c r="S206" i="12821" s="1"/>
  <c r="S58" i="12823"/>
  <c r="W73" i="12823" s="1"/>
  <c r="V73" i="12823" s="1"/>
  <c r="T87" i="12823" s="1"/>
  <c r="S163" i="12822"/>
  <c r="W175" i="12822" s="1"/>
  <c r="S190" i="12821"/>
  <c r="W209" i="12821" s="1"/>
  <c r="V209" i="12821" s="1"/>
  <c r="S110" i="12821"/>
  <c r="W129" i="12821" s="1"/>
  <c r="S129" i="12821" s="1"/>
  <c r="S113" i="12821"/>
  <c r="W132" i="12821" s="1"/>
  <c r="S132" i="12821" s="1"/>
  <c r="Y65" i="12823"/>
  <c r="Y64" i="12823"/>
  <c r="Y63" i="12823"/>
  <c r="X61" i="12823"/>
  <c r="Y61" i="12823"/>
  <c r="S111" i="12821"/>
  <c r="W130" i="12821" s="1"/>
  <c r="R48" i="12820"/>
  <c r="Q48" i="12820"/>
  <c r="Q72" i="12820"/>
  <c r="R72" i="12820"/>
  <c r="R73" i="12820"/>
  <c r="Q73" i="12820"/>
  <c r="Z100" i="12825"/>
  <c r="Z92" i="12825"/>
  <c r="Z93" i="12825"/>
  <c r="Y92" i="12825"/>
  <c r="Z101" i="12825"/>
  <c r="S55" i="12823"/>
  <c r="W70" i="12823" s="1"/>
  <c r="S164" i="12822"/>
  <c r="W176" i="12822" s="1"/>
  <c r="S188" i="12821"/>
  <c r="W207" i="12821" s="1"/>
  <c r="T90" i="12825"/>
  <c r="S161" i="12822"/>
  <c r="W173" i="12822" s="1"/>
  <c r="R49" i="12820"/>
  <c r="Q49" i="12820"/>
  <c r="Y115" i="12821" a="1"/>
  <c r="Y115" i="12821" s="1"/>
  <c r="X116" i="12821"/>
  <c r="X115" i="12821"/>
  <c r="Y116" i="12821" a="1"/>
  <c r="Y116" i="12821" s="1"/>
  <c r="Y118" i="12821" a="1"/>
  <c r="Y118" i="12821" s="1"/>
  <c r="Y117" i="12821" a="1"/>
  <c r="Y117" i="12821" s="1"/>
  <c r="D5" i="12830"/>
  <c r="S189" i="12821"/>
  <c r="W208" i="12821" s="1"/>
  <c r="Y105" i="12822"/>
  <c r="Y103" i="12822"/>
  <c r="Y104" i="12822"/>
  <c r="X103" i="12822"/>
  <c r="D22" i="12820"/>
  <c r="C122" i="12820"/>
  <c r="D122" i="12820" s="1"/>
  <c r="A30" i="12820"/>
  <c r="C97" i="12820"/>
  <c r="D97" i="12820" s="1"/>
  <c r="A55" i="12820"/>
  <c r="C47" i="12820"/>
  <c r="A155" i="12820"/>
  <c r="A105" i="12820"/>
  <c r="A80" i="12820"/>
  <c r="A130" i="12820"/>
  <c r="N25" i="12818"/>
  <c r="I228" i="12817"/>
  <c r="V206" i="12821" l="1"/>
  <c r="T253" i="12821" s="1"/>
  <c r="S221" i="12821"/>
  <c r="J22" i="12834"/>
  <c r="L38" i="12834"/>
  <c r="M38" i="12834" s="1"/>
  <c r="N22" i="12834"/>
  <c r="O22" i="12834" s="1"/>
  <c r="N21" i="12834"/>
  <c r="O21" i="12834" s="1"/>
  <c r="J21" i="12834"/>
  <c r="H22" i="12834"/>
  <c r="I22" i="12834" s="1"/>
  <c r="H21" i="12834"/>
  <c r="V129" i="12821"/>
  <c r="T144" i="12821" s="1"/>
  <c r="S73" i="12823"/>
  <c r="S87" i="12823" s="1"/>
  <c r="U99" i="12823" s="1"/>
  <c r="S209" i="12821"/>
  <c r="S256" i="12821" s="1"/>
  <c r="V132" i="12821"/>
  <c r="T163" i="12821" s="1"/>
  <c r="S131" i="12821"/>
  <c r="S178" i="12821" s="1"/>
  <c r="R39" i="12826"/>
  <c r="P45" i="12826" s="1"/>
  <c r="S72" i="12823"/>
  <c r="S86" i="12823" s="1"/>
  <c r="U98" i="12823" s="1"/>
  <c r="V71" i="12823"/>
  <c r="T85" i="12823" s="1"/>
  <c r="S208" i="12821"/>
  <c r="V208" i="12821"/>
  <c r="S144" i="12821"/>
  <c r="S160" i="12821"/>
  <c r="S176" i="12821"/>
  <c r="T178" i="12821"/>
  <c r="T162" i="12821"/>
  <c r="T146" i="12821"/>
  <c r="T224" i="12821"/>
  <c r="T240" i="12821"/>
  <c r="T256" i="12821"/>
  <c r="S70" i="12823"/>
  <c r="S84" i="12823" s="1"/>
  <c r="V70" i="12823"/>
  <c r="T84" i="12823" s="1"/>
  <c r="Q55" i="12826"/>
  <c r="R55" i="12826"/>
  <c r="U97" i="12823"/>
  <c r="V97" i="12823"/>
  <c r="D47" i="12820"/>
  <c r="C72" i="12820"/>
  <c r="D72" i="12820" s="1"/>
  <c r="C147" i="12820"/>
  <c r="D147" i="12820" s="1"/>
  <c r="X99" i="12825"/>
  <c r="T99" i="12825" s="1"/>
  <c r="X107" i="12825"/>
  <c r="T107" i="12825" s="1"/>
  <c r="S207" i="12821"/>
  <c r="V207" i="12821"/>
  <c r="S130" i="12821"/>
  <c r="V130" i="12821"/>
  <c r="S147" i="12821"/>
  <c r="S163" i="12821"/>
  <c r="S179" i="12821"/>
  <c r="I221" i="12817"/>
  <c r="T20" i="12825" s="1"/>
  <c r="V194" i="12825" s="1"/>
  <c r="I201" i="12817"/>
  <c r="I210" i="12817"/>
  <c r="I209" i="12817"/>
  <c r="I211" i="12817"/>
  <c r="I195" i="12817"/>
  <c r="I218" i="12817"/>
  <c r="I215" i="12817"/>
  <c r="I196" i="12817"/>
  <c r="I219" i="12817"/>
  <c r="T12" i="12825" s="1"/>
  <c r="I202" i="12817"/>
  <c r="I200" i="12817"/>
  <c r="I220" i="12817"/>
  <c r="T19" i="12825" s="1"/>
  <c r="I208" i="12817"/>
  <c r="I198" i="12817"/>
  <c r="I199" i="12817"/>
  <c r="I203" i="12817"/>
  <c r="I204" i="12817"/>
  <c r="I205" i="12817"/>
  <c r="I206" i="12817"/>
  <c r="I207" i="12817"/>
  <c r="S15" i="12822" s="1"/>
  <c r="I212" i="12817"/>
  <c r="I213" i="12817"/>
  <c r="S35" i="12822" s="1"/>
  <c r="S84" i="12822" s="1"/>
  <c r="I214" i="12817"/>
  <c r="I216" i="12817"/>
  <c r="I217" i="12817"/>
  <c r="F10" i="12824" s="1"/>
  <c r="H50" i="12824" s="1"/>
  <c r="I222" i="12817"/>
  <c r="I223" i="12817"/>
  <c r="T28" i="12825" s="1"/>
  <c r="V203" i="12825" s="1"/>
  <c r="I224" i="12817"/>
  <c r="T33" i="12825" s="1"/>
  <c r="V210" i="12825" s="1"/>
  <c r="I225" i="12817"/>
  <c r="T34" i="12825" s="1"/>
  <c r="V211" i="12825" s="1"/>
  <c r="I227" i="12817"/>
  <c r="O9" i="12826" s="1"/>
  <c r="Q67" i="12826" s="1"/>
  <c r="I229" i="12817"/>
  <c r="I230" i="12817"/>
  <c r="I231" i="12817"/>
  <c r="I232" i="12817"/>
  <c r="I233" i="12817"/>
  <c r="T237" i="12821" l="1"/>
  <c r="T221" i="12821"/>
  <c r="S62" i="12822"/>
  <c r="V186" i="12825"/>
  <c r="I21" i="12834"/>
  <c r="L22" i="12834"/>
  <c r="L21" i="12834"/>
  <c r="G28" i="12827"/>
  <c r="L149" i="12827" s="1"/>
  <c r="T27" i="12825"/>
  <c r="V202" i="12825" s="1"/>
  <c r="F9" i="12824"/>
  <c r="H49" i="12824" s="1"/>
  <c r="T11" i="12825"/>
  <c r="G31" i="12827"/>
  <c r="L152" i="12827" s="1"/>
  <c r="S14" i="12822"/>
  <c r="T176" i="12821"/>
  <c r="T160" i="12821"/>
  <c r="V99" i="12823"/>
  <c r="S99" i="12823" s="1"/>
  <c r="W114" i="12823" s="1"/>
  <c r="S146" i="12821"/>
  <c r="S162" i="12821"/>
  <c r="V98" i="12823"/>
  <c r="S98" i="12823" s="1"/>
  <c r="W113" i="12823" s="1"/>
  <c r="S113" i="12823" s="1"/>
  <c r="S127" i="12823" s="1"/>
  <c r="S240" i="12821"/>
  <c r="S253" i="12821"/>
  <c r="S237" i="12821"/>
  <c r="S224" i="12821"/>
  <c r="T179" i="12821"/>
  <c r="T147" i="12821"/>
  <c r="S34" i="12822"/>
  <c r="U210" i="12822" s="1"/>
  <c r="I254" i="12817"/>
  <c r="N254" i="12817" s="1"/>
  <c r="S22" i="12822"/>
  <c r="S70" i="12822" s="1"/>
  <c r="T254" i="12821"/>
  <c r="T238" i="12821"/>
  <c r="T222" i="12821"/>
  <c r="S222" i="12821"/>
  <c r="S238" i="12821"/>
  <c r="S254" i="12821"/>
  <c r="U96" i="12823"/>
  <c r="V96" i="12823"/>
  <c r="W107" i="12825"/>
  <c r="S97" i="12823"/>
  <c r="W112" i="12823" s="1"/>
  <c r="T161" i="12821"/>
  <c r="T145" i="12821"/>
  <c r="T177" i="12821"/>
  <c r="W99" i="12825"/>
  <c r="S145" i="12821"/>
  <c r="S161" i="12821"/>
  <c r="S177" i="12821"/>
  <c r="O55" i="12826"/>
  <c r="S62" i="12826" s="1"/>
  <c r="T255" i="12821"/>
  <c r="T239" i="12821"/>
  <c r="T223" i="12821"/>
  <c r="S223" i="12821"/>
  <c r="S255" i="12821"/>
  <c r="S239" i="12821"/>
  <c r="AA172" i="12825"/>
  <c r="AA171" i="12825"/>
  <c r="V193" i="12825"/>
  <c r="V127" i="12825"/>
  <c r="V120" i="12825"/>
  <c r="V128" i="12825"/>
  <c r="F22" i="12824"/>
  <c r="H36" i="12824"/>
  <c r="O21" i="12826"/>
  <c r="Q44" i="12826"/>
  <c r="T79" i="12825"/>
  <c r="V145" i="12825"/>
  <c r="T78" i="12825"/>
  <c r="V144" i="12825"/>
  <c r="T73" i="12825"/>
  <c r="V137" i="12825"/>
  <c r="AB106" i="12825"/>
  <c r="AA105" i="12825"/>
  <c r="AA106" i="12825"/>
  <c r="AB105" i="12825"/>
  <c r="T63" i="12825"/>
  <c r="T56" i="12825"/>
  <c r="T64" i="12825"/>
  <c r="I252" i="12817"/>
  <c r="O252" i="12817" s="1"/>
  <c r="S23" i="12822"/>
  <c r="S71" i="12822" s="1"/>
  <c r="I244" i="12817"/>
  <c r="S244" i="12817" s="1"/>
  <c r="S268" i="12817" s="1"/>
  <c r="S14" i="12823"/>
  <c r="Z110" i="12823" s="1"/>
  <c r="I255" i="12817"/>
  <c r="S255" i="12817" s="1"/>
  <c r="I246" i="12817"/>
  <c r="I247" i="12817"/>
  <c r="I240" i="12817"/>
  <c r="I256" i="12817"/>
  <c r="I39" i="12818" s="1"/>
  <c r="I237" i="12817"/>
  <c r="I36" i="12818" s="1"/>
  <c r="I241" i="12817"/>
  <c r="I226" i="12817"/>
  <c r="I197" i="12817"/>
  <c r="I275" i="12817"/>
  <c r="N38" i="12818" s="1"/>
  <c r="I276" i="12817"/>
  <c r="N74" i="12818" s="1"/>
  <c r="I273" i="12817"/>
  <c r="N36" i="12818" s="1"/>
  <c r="J4" i="12811"/>
  <c r="H4" i="12811" s="1"/>
  <c r="J5" i="12811"/>
  <c r="H5" i="12811" s="1"/>
  <c r="J6" i="12811"/>
  <c r="H6" i="12811" s="1"/>
  <c r="J7" i="12811"/>
  <c r="H7" i="12811" s="1"/>
  <c r="J8" i="12811"/>
  <c r="H8" i="12811" s="1"/>
  <c r="J9" i="12811"/>
  <c r="H9" i="12811" s="1"/>
  <c r="J10" i="12811"/>
  <c r="H10" i="12811" s="1"/>
  <c r="J11" i="12811"/>
  <c r="H11" i="12811" s="1"/>
  <c r="J12" i="12811"/>
  <c r="H12" i="12811" s="1"/>
  <c r="J13" i="12811"/>
  <c r="H13" i="12811" s="1"/>
  <c r="J14" i="12811"/>
  <c r="H14" i="12811" s="1"/>
  <c r="J15" i="12811"/>
  <c r="H15" i="12811" s="1"/>
  <c r="J16" i="12811"/>
  <c r="H16" i="12811" s="1"/>
  <c r="J17" i="12811"/>
  <c r="H17" i="12811" s="1"/>
  <c r="J18" i="12811"/>
  <c r="H18" i="12811" s="1"/>
  <c r="J19" i="12811"/>
  <c r="H19" i="12811" s="1"/>
  <c r="J20" i="12811"/>
  <c r="H20" i="12811" s="1"/>
  <c r="J21" i="12811"/>
  <c r="H21" i="12811" s="1"/>
  <c r="J22" i="12811"/>
  <c r="H22" i="12811" s="1"/>
  <c r="J23" i="12811"/>
  <c r="H23" i="12811" s="1"/>
  <c r="J24" i="12811"/>
  <c r="H24" i="12811" s="1"/>
  <c r="J25" i="12811"/>
  <c r="H25" i="12811" s="1"/>
  <c r="J26" i="12811"/>
  <c r="H26" i="12811" s="1"/>
  <c r="J27" i="12811"/>
  <c r="H27" i="12811" s="1"/>
  <c r="J28" i="12811"/>
  <c r="H28" i="12811" s="1"/>
  <c r="J29" i="12811"/>
  <c r="H29" i="12811" s="1"/>
  <c r="J30" i="12811"/>
  <c r="H30" i="12811" s="1"/>
  <c r="J31" i="12811"/>
  <c r="H31" i="12811" s="1"/>
  <c r="J32" i="12811"/>
  <c r="H32" i="12811" s="1"/>
  <c r="J33" i="12811"/>
  <c r="H33" i="12811" s="1"/>
  <c r="J34" i="12811"/>
  <c r="H34" i="12811" s="1"/>
  <c r="J35" i="12811"/>
  <c r="H35" i="12811" s="1"/>
  <c r="J36" i="12811"/>
  <c r="H36" i="12811" s="1"/>
  <c r="J37" i="12811"/>
  <c r="H37" i="12811" s="1"/>
  <c r="J38" i="12811"/>
  <c r="H38" i="12811" s="1"/>
  <c r="J39" i="12811"/>
  <c r="H39" i="12811" s="1"/>
  <c r="J40" i="12811"/>
  <c r="H40" i="12811" s="1"/>
  <c r="J41" i="12811"/>
  <c r="H41" i="12811" s="1"/>
  <c r="J42" i="12811"/>
  <c r="H42" i="12811" s="1"/>
  <c r="J43" i="12811"/>
  <c r="H43" i="12811" s="1"/>
  <c r="J44" i="12811"/>
  <c r="H44" i="12811" s="1"/>
  <c r="J45" i="12811"/>
  <c r="H45" i="12811" s="1"/>
  <c r="J46" i="12811"/>
  <c r="H46" i="12811" s="1"/>
  <c r="J47" i="12811"/>
  <c r="H47" i="12811" s="1"/>
  <c r="J48" i="12811"/>
  <c r="H48" i="12811" s="1"/>
  <c r="J49" i="12811"/>
  <c r="J50" i="12811"/>
  <c r="H50" i="12811" s="1"/>
  <c r="J51" i="12811"/>
  <c r="H51" i="12811" s="1"/>
  <c r="J52" i="12811"/>
  <c r="H52" i="12811" s="1"/>
  <c r="J53" i="12811"/>
  <c r="H53" i="12811" s="1"/>
  <c r="J54" i="12811"/>
  <c r="H54" i="12811" s="1"/>
  <c r="J55" i="12811"/>
  <c r="H55" i="12811" s="1"/>
  <c r="J56" i="12811"/>
  <c r="H56" i="12811" s="1"/>
  <c r="J57" i="12811"/>
  <c r="H57" i="12811" s="1"/>
  <c r="J58" i="12811"/>
  <c r="H58" i="12811" s="1"/>
  <c r="J59" i="12811"/>
  <c r="H59" i="12811" s="1"/>
  <c r="J60" i="12811"/>
  <c r="H60" i="12811" s="1"/>
  <c r="J61" i="12811"/>
  <c r="H61" i="12811" s="1"/>
  <c r="J62" i="12811"/>
  <c r="H62" i="12811" s="1"/>
  <c r="J63" i="12811"/>
  <c r="H63" i="12811" s="1"/>
  <c r="J64" i="12811"/>
  <c r="H64" i="12811" s="1"/>
  <c r="J65" i="12811"/>
  <c r="H65" i="12811" s="1"/>
  <c r="J66" i="12811"/>
  <c r="H66" i="12811" s="1"/>
  <c r="J67" i="12811"/>
  <c r="H67" i="12811" s="1"/>
  <c r="J68" i="12811"/>
  <c r="H68" i="12811" s="1"/>
  <c r="J69" i="12811"/>
  <c r="H69" i="12811" s="1"/>
  <c r="J70" i="12811"/>
  <c r="H70" i="12811" s="1"/>
  <c r="J71" i="12811"/>
  <c r="H71" i="12811" s="1"/>
  <c r="J72" i="12811"/>
  <c r="H72" i="12811" s="1"/>
  <c r="J73" i="12811"/>
  <c r="H73" i="12811" s="1"/>
  <c r="J74" i="12811"/>
  <c r="H74" i="12811" s="1"/>
  <c r="J75" i="12811"/>
  <c r="H75" i="12811" s="1"/>
  <c r="J76" i="12811"/>
  <c r="H76" i="12811" s="1"/>
  <c r="J77" i="12811"/>
  <c r="H77" i="12811" s="1"/>
  <c r="J78" i="12811"/>
  <c r="H78" i="12811" s="1"/>
  <c r="J79" i="12811"/>
  <c r="H79" i="12811" s="1"/>
  <c r="J80" i="12811"/>
  <c r="H80" i="12811" s="1"/>
  <c r="J81" i="12811"/>
  <c r="J82" i="12811"/>
  <c r="H82" i="12811" s="1"/>
  <c r="J83" i="12811"/>
  <c r="H83" i="12811" s="1"/>
  <c r="J84" i="12811"/>
  <c r="H84" i="12811" s="1"/>
  <c r="J85" i="12811"/>
  <c r="H85" i="12811" s="1"/>
  <c r="J86" i="12811"/>
  <c r="H86" i="12811" s="1"/>
  <c r="J87" i="12811"/>
  <c r="H87" i="12811" s="1"/>
  <c r="J88" i="12811"/>
  <c r="H88" i="12811" s="1"/>
  <c r="J89" i="12811"/>
  <c r="H89" i="12811" s="1"/>
  <c r="J90" i="12811"/>
  <c r="H90" i="12811" s="1"/>
  <c r="J91" i="12811"/>
  <c r="H91" i="12811" s="1"/>
  <c r="J92" i="12811"/>
  <c r="H92" i="12811" s="1"/>
  <c r="J93" i="12811"/>
  <c r="H93" i="12811" s="1"/>
  <c r="J94" i="12811"/>
  <c r="H94" i="12811" s="1"/>
  <c r="J95" i="12811"/>
  <c r="H95" i="12811" s="1"/>
  <c r="J96" i="12811"/>
  <c r="H96" i="12811" s="1"/>
  <c r="J97" i="12811"/>
  <c r="H97" i="12811" s="1"/>
  <c r="J98" i="12811"/>
  <c r="H98" i="12811" s="1"/>
  <c r="J99" i="12811"/>
  <c r="H99" i="12811" s="1"/>
  <c r="J100" i="12811"/>
  <c r="H100" i="12811" s="1"/>
  <c r="J101" i="12811"/>
  <c r="H101" i="12811" s="1"/>
  <c r="J102" i="12811"/>
  <c r="H102" i="12811" s="1"/>
  <c r="J103" i="12811"/>
  <c r="H103" i="12811" s="1"/>
  <c r="J104" i="12811"/>
  <c r="H104" i="12811" s="1"/>
  <c r="J105" i="12811"/>
  <c r="H105" i="12811" s="1"/>
  <c r="J106" i="12811"/>
  <c r="H106" i="12811" s="1"/>
  <c r="J107" i="12811"/>
  <c r="J108" i="12811"/>
  <c r="H108" i="12811" s="1"/>
  <c r="J109" i="12811"/>
  <c r="H109" i="12811" s="1"/>
  <c r="J110" i="12811"/>
  <c r="H110" i="12811" s="1"/>
  <c r="J111" i="12811"/>
  <c r="H111" i="12811" s="1"/>
  <c r="J112" i="12811"/>
  <c r="H112" i="12811" s="1"/>
  <c r="J113" i="12811"/>
  <c r="H113" i="12811" s="1"/>
  <c r="J114" i="12811"/>
  <c r="H114" i="12811" s="1"/>
  <c r="J115" i="12811"/>
  <c r="H115" i="12811" s="1"/>
  <c r="J116" i="12811"/>
  <c r="J117" i="12811"/>
  <c r="H117" i="12811" s="1"/>
  <c r="J118" i="12811"/>
  <c r="H118" i="12811" s="1"/>
  <c r="J119" i="12811"/>
  <c r="H119" i="12811" s="1"/>
  <c r="J120" i="12811"/>
  <c r="H120" i="12811" s="1"/>
  <c r="J121" i="12811"/>
  <c r="H121" i="12811" s="1"/>
  <c r="J122" i="12811"/>
  <c r="H122" i="12811" s="1"/>
  <c r="J123" i="12811"/>
  <c r="H123" i="12811" s="1"/>
  <c r="J124" i="12811"/>
  <c r="H124" i="12811" s="1"/>
  <c r="J125" i="12811"/>
  <c r="H125" i="12811" s="1"/>
  <c r="J126" i="12811"/>
  <c r="H126" i="12811" s="1"/>
  <c r="J127" i="12811"/>
  <c r="H127" i="12811" s="1"/>
  <c r="J128" i="12811"/>
  <c r="H128" i="12811" s="1"/>
  <c r="J129" i="12811"/>
  <c r="H129" i="12811" s="1"/>
  <c r="J130" i="12811"/>
  <c r="H130" i="12811" s="1"/>
  <c r="J131" i="12811"/>
  <c r="H131" i="12811" s="1"/>
  <c r="J132" i="12811"/>
  <c r="H132" i="12811" s="1"/>
  <c r="J133" i="12811"/>
  <c r="H133" i="12811" s="1"/>
  <c r="J134" i="12811"/>
  <c r="H134" i="12811" s="1"/>
  <c r="J135" i="12811"/>
  <c r="H135" i="12811" s="1"/>
  <c r="J136" i="12811"/>
  <c r="H136" i="12811" s="1"/>
  <c r="J137" i="12811"/>
  <c r="H137" i="12811" s="1"/>
  <c r="J138" i="12811"/>
  <c r="H138" i="12811" s="1"/>
  <c r="J139" i="12811"/>
  <c r="H139" i="12811" s="1"/>
  <c r="J140" i="12811"/>
  <c r="H140" i="12811" s="1"/>
  <c r="J141" i="12811"/>
  <c r="H141" i="12811" s="1"/>
  <c r="J142" i="12811"/>
  <c r="H142" i="12811" s="1"/>
  <c r="J143" i="12811"/>
  <c r="H143" i="12811" s="1"/>
  <c r="J144" i="12811"/>
  <c r="H144" i="12811" s="1"/>
  <c r="J145" i="12811"/>
  <c r="H145" i="12811" s="1"/>
  <c r="J146" i="12811"/>
  <c r="H146" i="12811" s="1"/>
  <c r="J147" i="12811"/>
  <c r="H147" i="12811" s="1"/>
  <c r="J148" i="12811"/>
  <c r="H148" i="12811" s="1"/>
  <c r="J149" i="12811"/>
  <c r="H149" i="12811" s="1"/>
  <c r="J150" i="12811"/>
  <c r="H150" i="12811" s="1"/>
  <c r="J151" i="12811"/>
  <c r="H151" i="12811" s="1"/>
  <c r="T42" i="12834" l="1"/>
  <c r="S61" i="12822"/>
  <c r="AB112" i="12825"/>
  <c r="AE150" i="12825"/>
  <c r="AD150" i="12825"/>
  <c r="AE149" i="12825"/>
  <c r="AA178" i="12825"/>
  <c r="AA177" i="12825"/>
  <c r="AD148" i="12825"/>
  <c r="AB178" i="12825"/>
  <c r="AD149" i="12825"/>
  <c r="AA111" i="12825"/>
  <c r="AD151" i="12825"/>
  <c r="AE148" i="12825"/>
  <c r="AE151" i="12825"/>
  <c r="AB177" i="12825"/>
  <c r="AB111" i="12825"/>
  <c r="AD83" i="12825"/>
  <c r="AE84" i="12825"/>
  <c r="AE85" i="12825"/>
  <c r="AE83" i="12825"/>
  <c r="AD84" i="12825"/>
  <c r="AD85" i="12825"/>
  <c r="AE82" i="12825"/>
  <c r="AD82" i="12825"/>
  <c r="AA112" i="12825"/>
  <c r="V185" i="12825"/>
  <c r="M22" i="12834"/>
  <c r="M21" i="12834"/>
  <c r="D69" i="12834" a="1"/>
  <c r="D69" i="12834" s="1"/>
  <c r="D17" i="12834" s="1"/>
  <c r="D68" i="12834" a="1"/>
  <c r="D68" i="12834" s="1"/>
  <c r="D52" i="12834" a="1"/>
  <c r="D52" i="12834" s="1"/>
  <c r="D60" i="12834" s="1"/>
  <c r="T41" i="12834"/>
  <c r="T40" i="12834"/>
  <c r="N70" i="12834"/>
  <c r="O70" i="12834" s="1"/>
  <c r="N65" i="12834"/>
  <c r="O65" i="12834" s="1"/>
  <c r="N59" i="12834"/>
  <c r="O59" i="12834" s="1"/>
  <c r="N39" i="12834"/>
  <c r="O39" i="12834" s="1"/>
  <c r="I178" i="12827"/>
  <c r="H76" i="12827"/>
  <c r="G76" i="12827" s="1"/>
  <c r="I127" i="12827"/>
  <c r="V136" i="12825"/>
  <c r="H80" i="12827"/>
  <c r="G80" i="12827" s="1"/>
  <c r="H35" i="12824"/>
  <c r="T72" i="12825"/>
  <c r="L98" i="12827"/>
  <c r="F21" i="12824"/>
  <c r="T55" i="12825"/>
  <c r="L101" i="12827"/>
  <c r="AB98" i="12825"/>
  <c r="I182" i="12827"/>
  <c r="AA97" i="12825"/>
  <c r="AA98" i="12825"/>
  <c r="U186" i="12822"/>
  <c r="AB97" i="12825"/>
  <c r="I131" i="12827"/>
  <c r="AA163" i="12825"/>
  <c r="AA164" i="12825"/>
  <c r="V119" i="12825"/>
  <c r="U123" i="12822"/>
  <c r="I236" i="12817"/>
  <c r="D33" i="12834" a="1"/>
  <c r="D33" i="12834" s="1"/>
  <c r="D40" i="12834" s="1"/>
  <c r="S114" i="12823"/>
  <c r="S128" i="12823" s="1"/>
  <c r="V114" i="12823"/>
  <c r="T128" i="12823" s="1"/>
  <c r="S252" i="12817"/>
  <c r="U252" i="12817"/>
  <c r="T254" i="12817"/>
  <c r="J252" i="12817"/>
  <c r="P252" i="12817"/>
  <c r="M252" i="12817"/>
  <c r="R252" i="12817"/>
  <c r="O254" i="12817"/>
  <c r="V113" i="12823"/>
  <c r="T127" i="12823" s="1"/>
  <c r="M254" i="12817"/>
  <c r="P254" i="12817"/>
  <c r="K254" i="12817"/>
  <c r="Q254" i="12817"/>
  <c r="S254" i="12817"/>
  <c r="R254" i="12817"/>
  <c r="L254" i="12817"/>
  <c r="J254" i="12817"/>
  <c r="U254" i="12817"/>
  <c r="N252" i="12817"/>
  <c r="U147" i="12822"/>
  <c r="S83" i="12822"/>
  <c r="L252" i="12817"/>
  <c r="T252" i="12817"/>
  <c r="D9" i="12830"/>
  <c r="R62" i="12826"/>
  <c r="P68" i="12826" s="1"/>
  <c r="O62" i="12826"/>
  <c r="O68" i="12826" s="1"/>
  <c r="S112" i="12823"/>
  <c r="S126" i="12823" s="1"/>
  <c r="V112" i="12823"/>
  <c r="T126" i="12823" s="1"/>
  <c r="U146" i="12825"/>
  <c r="U129" i="12825"/>
  <c r="T146" i="12825"/>
  <c r="T129" i="12825"/>
  <c r="U138" i="12825"/>
  <c r="U121" i="12825"/>
  <c r="T121" i="12825"/>
  <c r="T138" i="12825"/>
  <c r="S96" i="12823"/>
  <c r="W111" i="12823" s="1"/>
  <c r="Z172" i="12822"/>
  <c r="Z69" i="12823"/>
  <c r="U124" i="12823"/>
  <c r="D8" i="12830"/>
  <c r="U198" i="12822"/>
  <c r="Y105" i="12825"/>
  <c r="Y106" i="12825"/>
  <c r="Q252" i="12817"/>
  <c r="R244" i="12817"/>
  <c r="R268" i="12817" s="1"/>
  <c r="I74" i="12818"/>
  <c r="I78" i="12818" s="1"/>
  <c r="S42" i="12823"/>
  <c r="U83" i="12823"/>
  <c r="U135" i="12822"/>
  <c r="Z109" i="12822"/>
  <c r="U244" i="12817"/>
  <c r="U268" i="12817" s="1"/>
  <c r="J83" i="12818"/>
  <c r="J85" i="12818"/>
  <c r="J81" i="12818"/>
  <c r="J84" i="12818"/>
  <c r="J86" i="12818"/>
  <c r="J82" i="12818"/>
  <c r="J80" i="12818"/>
  <c r="H107" i="12811"/>
  <c r="D86" i="12818" s="1"/>
  <c r="L64" i="12818"/>
  <c r="J67" i="12818"/>
  <c r="J72" i="12818"/>
  <c r="J74" i="12818"/>
  <c r="L67" i="12818"/>
  <c r="J70" i="12818"/>
  <c r="L76" i="12818"/>
  <c r="L69" i="12818"/>
  <c r="J65" i="12818"/>
  <c r="L70" i="12818"/>
  <c r="L72" i="12818"/>
  <c r="L74" i="12818"/>
  <c r="J64" i="12818"/>
  <c r="L65" i="12818"/>
  <c r="J68" i="12818"/>
  <c r="J75" i="12818"/>
  <c r="J77" i="12818"/>
  <c r="L68" i="12818"/>
  <c r="J71" i="12818"/>
  <c r="J73" i="12818"/>
  <c r="L75" i="12818"/>
  <c r="J66" i="12818"/>
  <c r="L77" i="12818"/>
  <c r="L66" i="12818"/>
  <c r="J69" i="12818"/>
  <c r="L71" i="12818"/>
  <c r="L73" i="12818"/>
  <c r="J76" i="12818"/>
  <c r="H81" i="12811"/>
  <c r="D74" i="12818" s="1"/>
  <c r="L47" i="12818"/>
  <c r="J50" i="12818"/>
  <c r="J57" i="12818"/>
  <c r="J45" i="12818"/>
  <c r="L50" i="12818"/>
  <c r="L52" i="12818"/>
  <c r="L54" i="12818"/>
  <c r="L58" i="12818"/>
  <c r="L57" i="12818"/>
  <c r="L60" i="12818"/>
  <c r="J47" i="12818"/>
  <c r="L45" i="12818"/>
  <c r="J48" i="12818"/>
  <c r="L48" i="12818"/>
  <c r="J51" i="12818"/>
  <c r="J53" i="12818"/>
  <c r="J55" i="12818"/>
  <c r="J56" i="12818"/>
  <c r="J59" i="12818"/>
  <c r="J61" i="12818"/>
  <c r="J58" i="12818"/>
  <c r="J46" i="12818"/>
  <c r="J60" i="12818"/>
  <c r="L46" i="12818"/>
  <c r="J49" i="12818"/>
  <c r="L51" i="12818"/>
  <c r="L53" i="12818"/>
  <c r="L55" i="12818"/>
  <c r="L56" i="12818"/>
  <c r="L59" i="12818"/>
  <c r="L61" i="12818"/>
  <c r="J54" i="12818"/>
  <c r="L49" i="12818"/>
  <c r="J52" i="12818"/>
  <c r="H49" i="12811"/>
  <c r="D54" i="12818" s="1"/>
  <c r="J11" i="12818"/>
  <c r="L20" i="12818"/>
  <c r="L22" i="12818"/>
  <c r="L24" i="12818"/>
  <c r="J16" i="12818"/>
  <c r="L11" i="12818"/>
  <c r="J14" i="12818"/>
  <c r="L16" i="12818"/>
  <c r="L18" i="12818"/>
  <c r="L9" i="12818"/>
  <c r="L14" i="12818"/>
  <c r="J21" i="12818"/>
  <c r="J23" i="12818"/>
  <c r="J9" i="12818"/>
  <c r="J18" i="12818"/>
  <c r="J12" i="12818"/>
  <c r="J17" i="12818"/>
  <c r="J19" i="12818"/>
  <c r="L12" i="12818"/>
  <c r="J15" i="12818"/>
  <c r="L21" i="12818"/>
  <c r="L23" i="12818"/>
  <c r="L13" i="12818"/>
  <c r="J10" i="12818"/>
  <c r="L15" i="12818"/>
  <c r="L17" i="12818"/>
  <c r="L19" i="12818"/>
  <c r="L10" i="12818"/>
  <c r="J13" i="12818"/>
  <c r="J20" i="12818"/>
  <c r="J22" i="12818"/>
  <c r="J24" i="12818"/>
  <c r="H116" i="12811"/>
  <c r="D19" i="12818" s="1"/>
  <c r="L244" i="12817"/>
  <c r="L268" i="12817" s="1"/>
  <c r="J244" i="12817"/>
  <c r="J268" i="12817" s="1"/>
  <c r="K252" i="12817"/>
  <c r="N244" i="12817"/>
  <c r="N268" i="12817" s="1"/>
  <c r="T244" i="12817"/>
  <c r="T268" i="12817" s="1"/>
  <c r="I250" i="12817"/>
  <c r="K250" i="12817" s="1"/>
  <c r="K267" i="12817" s="1"/>
  <c r="O8" i="12826"/>
  <c r="O244" i="12817"/>
  <c r="O268" i="12817" s="1"/>
  <c r="M244" i="12817"/>
  <c r="M268" i="12817" s="1"/>
  <c r="Q244" i="12817"/>
  <c r="Q268" i="12817" s="1"/>
  <c r="P244" i="12817"/>
  <c r="P268" i="12817" s="1"/>
  <c r="K244" i="12817"/>
  <c r="K268" i="12817" s="1"/>
  <c r="P255" i="12817"/>
  <c r="U255" i="12817"/>
  <c r="L255" i="12817"/>
  <c r="T255" i="12817"/>
  <c r="N255" i="12817"/>
  <c r="M255" i="12817"/>
  <c r="Q255" i="12817"/>
  <c r="O255" i="12817"/>
  <c r="J255" i="12817"/>
  <c r="R255" i="12817"/>
  <c r="K255" i="12817"/>
  <c r="N78" i="12818"/>
  <c r="N43" i="12818"/>
  <c r="I37" i="12818"/>
  <c r="D75" i="12818"/>
  <c r="F76" i="12818"/>
  <c r="H76" i="12818" s="1"/>
  <c r="F75" i="12818"/>
  <c r="H75" i="12818" s="1"/>
  <c r="D77" i="12818"/>
  <c r="F77" i="12818"/>
  <c r="H77" i="12818" s="1"/>
  <c r="D76" i="12818"/>
  <c r="D59" i="12818"/>
  <c r="F59" i="12818"/>
  <c r="H59" i="12818" s="1"/>
  <c r="D61" i="12818"/>
  <c r="F61" i="12818"/>
  <c r="H61" i="12818" s="1"/>
  <c r="D60" i="12818"/>
  <c r="F60" i="12818"/>
  <c r="H60" i="12818" s="1"/>
  <c r="D24" i="12818"/>
  <c r="F24" i="12818"/>
  <c r="H24" i="12818" s="1"/>
  <c r="F22" i="12818"/>
  <c r="H22" i="12818" s="1"/>
  <c r="D23" i="12818"/>
  <c r="D22" i="12818"/>
  <c r="F21" i="12818"/>
  <c r="D21" i="12818"/>
  <c r="F23" i="12818"/>
  <c r="H23" i="12818" s="1"/>
  <c r="I242" i="12817"/>
  <c r="L240" i="12817"/>
  <c r="O240" i="12817"/>
  <c r="N240" i="12817"/>
  <c r="U240" i="12817"/>
  <c r="M240" i="12817"/>
  <c r="T240" i="12817"/>
  <c r="S240" i="12817"/>
  <c r="K240" i="12817"/>
  <c r="R240" i="12817"/>
  <c r="P240" i="12817"/>
  <c r="J240" i="12817"/>
  <c r="Q240" i="12817"/>
  <c r="I239" i="12817"/>
  <c r="I238" i="12817"/>
  <c r="T47" i="12834" s="1"/>
  <c r="L256" i="12817"/>
  <c r="P256" i="12817"/>
  <c r="O256" i="12817"/>
  <c r="J256" i="12817"/>
  <c r="N256" i="12817"/>
  <c r="U256" i="12817"/>
  <c r="M256" i="12817"/>
  <c r="T256" i="12817"/>
  <c r="K256" i="12817"/>
  <c r="R256" i="12817"/>
  <c r="Q256" i="12817"/>
  <c r="S256" i="12817"/>
  <c r="O247" i="12817"/>
  <c r="P247" i="12817"/>
  <c r="N247" i="12817"/>
  <c r="U247" i="12817"/>
  <c r="M247" i="12817"/>
  <c r="T247" i="12817"/>
  <c r="L247" i="12817"/>
  <c r="K247" i="12817"/>
  <c r="R247" i="12817"/>
  <c r="Q247" i="12817"/>
  <c r="J247" i="12817"/>
  <c r="S247" i="12817"/>
  <c r="I253" i="12817"/>
  <c r="R246" i="12817"/>
  <c r="M246" i="12817"/>
  <c r="T246" i="12817"/>
  <c r="L246" i="12817"/>
  <c r="S246" i="12817"/>
  <c r="K246" i="12817"/>
  <c r="Q246" i="12817"/>
  <c r="P246" i="12817"/>
  <c r="J246" i="12817"/>
  <c r="N246" i="12817"/>
  <c r="U246" i="12817"/>
  <c r="O246" i="12817"/>
  <c r="Q241" i="12817"/>
  <c r="K241" i="12817"/>
  <c r="R241" i="12817"/>
  <c r="P241" i="12817"/>
  <c r="O241" i="12817"/>
  <c r="J241" i="12817"/>
  <c r="N241" i="12817"/>
  <c r="M241" i="12817"/>
  <c r="T241" i="12817"/>
  <c r="L241" i="12817"/>
  <c r="S241" i="12817"/>
  <c r="U241" i="12817"/>
  <c r="I249" i="12817"/>
  <c r="I38" i="12818"/>
  <c r="I248" i="12817"/>
  <c r="I251" i="12817"/>
  <c r="I243" i="12817"/>
  <c r="M237" i="12817"/>
  <c r="L237" i="12817"/>
  <c r="S237" i="12817"/>
  <c r="K237" i="12817"/>
  <c r="R237" i="12817"/>
  <c r="J237" i="12817"/>
  <c r="Q237" i="12817"/>
  <c r="U237" i="12817"/>
  <c r="P237" i="12817"/>
  <c r="N237" i="12817"/>
  <c r="T237" i="12817"/>
  <c r="O237" i="12817"/>
  <c r="I235" i="12817"/>
  <c r="I245" i="12817"/>
  <c r="T49" i="12834" s="1"/>
  <c r="D20" i="12818"/>
  <c r="D10" i="12818"/>
  <c r="D12" i="12818"/>
  <c r="D14" i="12818"/>
  <c r="D16" i="12818"/>
  <c r="D18" i="12818"/>
  <c r="E18" i="12818" s="1" a="1"/>
  <c r="E18" i="12818" s="1"/>
  <c r="F18" i="12818"/>
  <c r="F20" i="12818"/>
  <c r="F10" i="12818"/>
  <c r="H10" i="12818" s="1"/>
  <c r="F12" i="12818"/>
  <c r="H12" i="12818" s="1"/>
  <c r="F14" i="12818"/>
  <c r="H14" i="12818" s="1"/>
  <c r="F16" i="12818"/>
  <c r="H16" i="12818" s="1"/>
  <c r="D9" i="12818"/>
  <c r="D11" i="12818"/>
  <c r="D13" i="12818"/>
  <c r="D15" i="12818"/>
  <c r="D17" i="12818"/>
  <c r="F19" i="12818"/>
  <c r="F9" i="12818"/>
  <c r="F11" i="12818"/>
  <c r="H11" i="12818" s="1"/>
  <c r="F13" i="12818"/>
  <c r="H13" i="12818" s="1"/>
  <c r="F15" i="12818"/>
  <c r="H15" i="12818" s="1"/>
  <c r="F17" i="12818"/>
  <c r="H17" i="12818" s="1"/>
  <c r="D81" i="12818"/>
  <c r="D83" i="12818"/>
  <c r="F85" i="12818"/>
  <c r="D80" i="12818"/>
  <c r="D82" i="12818"/>
  <c r="D84" i="12818"/>
  <c r="E84" i="12818" s="1" a="1"/>
  <c r="E84" i="12818" s="1"/>
  <c r="F83" i="12818"/>
  <c r="H83" i="12818" s="1"/>
  <c r="F86" i="12818"/>
  <c r="H86" i="12818" s="1"/>
  <c r="F81" i="12818"/>
  <c r="H81" i="12818" s="1"/>
  <c r="F84" i="12818"/>
  <c r="D85" i="12818"/>
  <c r="E85" i="12818" s="1" a="1"/>
  <c r="E85" i="12818" s="1"/>
  <c r="F80" i="12818"/>
  <c r="F82" i="12818"/>
  <c r="H82" i="12818" s="1"/>
  <c r="F54" i="12818"/>
  <c r="F58" i="12818"/>
  <c r="F57" i="12818"/>
  <c r="F46" i="12818"/>
  <c r="H46" i="12818" s="1"/>
  <c r="F48" i="12818"/>
  <c r="H48" i="12818" s="1"/>
  <c r="F50" i="12818"/>
  <c r="H50" i="12818" s="1"/>
  <c r="F52" i="12818"/>
  <c r="H52" i="12818" s="1"/>
  <c r="D55" i="12818"/>
  <c r="D56" i="12818"/>
  <c r="D45" i="12818"/>
  <c r="D47" i="12818"/>
  <c r="D49" i="12818"/>
  <c r="D51" i="12818"/>
  <c r="D53" i="12818"/>
  <c r="E53" i="12818" s="1" a="1"/>
  <c r="E53" i="12818" s="1"/>
  <c r="F45" i="12818"/>
  <c r="F47" i="12818"/>
  <c r="H47" i="12818" s="1"/>
  <c r="F49" i="12818"/>
  <c r="H49" i="12818" s="1"/>
  <c r="F51" i="12818"/>
  <c r="H51" i="12818" s="1"/>
  <c r="D58" i="12818"/>
  <c r="D57" i="12818"/>
  <c r="D46" i="12818"/>
  <c r="D48" i="12818"/>
  <c r="D50" i="12818"/>
  <c r="D52" i="12818"/>
  <c r="F56" i="12818"/>
  <c r="F53" i="12818"/>
  <c r="F55" i="12818"/>
  <c r="F64" i="12818"/>
  <c r="F66" i="12818"/>
  <c r="H66" i="12818" s="1"/>
  <c r="F68" i="12818"/>
  <c r="H68" i="12818" s="1"/>
  <c r="F70" i="12818"/>
  <c r="H70" i="12818" s="1"/>
  <c r="D65" i="12818"/>
  <c r="D67" i="12818"/>
  <c r="D69" i="12818"/>
  <c r="D71" i="12818"/>
  <c r="D73" i="12818"/>
  <c r="D64" i="12818"/>
  <c r="D66" i="12818"/>
  <c r="D68" i="12818"/>
  <c r="D70" i="12818"/>
  <c r="D72" i="12818"/>
  <c r="F71" i="12818"/>
  <c r="H71" i="12818" s="1"/>
  <c r="F65" i="12818"/>
  <c r="H65" i="12818" s="1"/>
  <c r="F74" i="12818"/>
  <c r="F69" i="12818"/>
  <c r="H69" i="12818" s="1"/>
  <c r="F72" i="12818"/>
  <c r="H72" i="12818" s="1"/>
  <c r="F67" i="12818"/>
  <c r="H67" i="12818" s="1"/>
  <c r="F73" i="12818"/>
  <c r="H73" i="12818" s="1"/>
  <c r="I84" i="12818"/>
  <c r="I35" i="12818"/>
  <c r="I85" i="12818"/>
  <c r="T9" i="12834" l="1"/>
  <c r="T35" i="12834"/>
  <c r="E18" i="12834"/>
  <c r="T18" i="12834"/>
  <c r="T43" i="12834"/>
  <c r="T44" i="12834" s="1"/>
  <c r="T36" i="12834"/>
  <c r="T13" i="12834"/>
  <c r="T53" i="12834"/>
  <c r="T54" i="12834" s="1"/>
  <c r="T8" i="12834"/>
  <c r="T34" i="12834"/>
  <c r="E17" i="12834"/>
  <c r="T17" i="12834"/>
  <c r="T19" i="12834" s="1"/>
  <c r="T57" i="12834"/>
  <c r="T58" i="12834" s="1"/>
  <c r="T11" i="12834"/>
  <c r="E50" i="12834"/>
  <c r="E13" i="12834"/>
  <c r="E66" i="12834"/>
  <c r="E16" i="12834"/>
  <c r="E71" i="12834"/>
  <c r="E40" i="12834"/>
  <c r="D16" i="12834"/>
  <c r="D71" i="12834"/>
  <c r="H65" i="12834"/>
  <c r="I65" i="12834" s="1"/>
  <c r="J70" i="12834"/>
  <c r="L70" i="12834" s="1"/>
  <c r="M70" i="12834" s="1"/>
  <c r="H70" i="12834"/>
  <c r="I70" i="12834" s="1"/>
  <c r="H39" i="12834"/>
  <c r="I39" i="12834" s="1"/>
  <c r="H59" i="12834"/>
  <c r="I59" i="12834" s="1"/>
  <c r="Z156" i="12825"/>
  <c r="Y156" i="12825"/>
  <c r="E8" i="12834"/>
  <c r="D12" i="12830"/>
  <c r="D14" i="12830"/>
  <c r="D10" i="12830"/>
  <c r="D20" i="12830"/>
  <c r="E20" i="12830" s="1"/>
  <c r="G77" i="12827" s="1"/>
  <c r="D21" i="12830"/>
  <c r="J65" i="12834"/>
  <c r="L65" i="12834" s="1"/>
  <c r="M65" i="12834" s="1"/>
  <c r="J59" i="12834"/>
  <c r="L59" i="12834" s="1"/>
  <c r="M59" i="12834" s="1"/>
  <c r="J39" i="12834"/>
  <c r="L39" i="12834" s="1"/>
  <c r="M39" i="12834" s="1"/>
  <c r="Z97" i="12825"/>
  <c r="T236" i="12817"/>
  <c r="Y97" i="12825"/>
  <c r="D13" i="12830"/>
  <c r="Z98" i="12825"/>
  <c r="Z105" i="12825"/>
  <c r="Z106" i="12825"/>
  <c r="Y98" i="12825"/>
  <c r="M236" i="12817"/>
  <c r="J236" i="12817"/>
  <c r="S236" i="12817"/>
  <c r="U236" i="12817"/>
  <c r="L236" i="12817"/>
  <c r="N236" i="12817"/>
  <c r="Q236" i="12817"/>
  <c r="O236" i="12817"/>
  <c r="R236" i="12817"/>
  <c r="P236" i="12817"/>
  <c r="I20" i="12818"/>
  <c r="H20" i="12818" s="1"/>
  <c r="K236" i="12817"/>
  <c r="I58" i="12818"/>
  <c r="H58" i="12818" s="1"/>
  <c r="I54" i="12818"/>
  <c r="H54" i="12818" s="1"/>
  <c r="E9" i="12834"/>
  <c r="U9" i="12834" s="1"/>
  <c r="I53" i="12818"/>
  <c r="H53" i="12818" s="1"/>
  <c r="E15" i="12834"/>
  <c r="K242" i="12817"/>
  <c r="I19" i="12818"/>
  <c r="H19" i="12818" s="1"/>
  <c r="I18" i="12818"/>
  <c r="H18" i="12818" s="1"/>
  <c r="I57" i="12818"/>
  <c r="H57" i="12818" s="1"/>
  <c r="X109" i="12822"/>
  <c r="Y109" i="12822"/>
  <c r="L250" i="12817"/>
  <c r="L267" i="12817" s="1"/>
  <c r="N250" i="12817"/>
  <c r="N267" i="12817" s="1"/>
  <c r="Y173" i="12825"/>
  <c r="M250" i="12817"/>
  <c r="M267" i="12817" s="1"/>
  <c r="T250" i="12817"/>
  <c r="T267" i="12817" s="1"/>
  <c r="O250" i="12817"/>
  <c r="O267" i="12817" s="1"/>
  <c r="P250" i="12817"/>
  <c r="P267" i="12817" s="1"/>
  <c r="J250" i="12817"/>
  <c r="J267" i="12817" s="1"/>
  <c r="U250" i="12817"/>
  <c r="U267" i="12817" s="1"/>
  <c r="Q250" i="12817"/>
  <c r="Q267" i="12817" s="1"/>
  <c r="S250" i="12817"/>
  <c r="S267" i="12817" s="1"/>
  <c r="R250" i="12817"/>
  <c r="R267" i="12817" s="1"/>
  <c r="S111" i="12823"/>
  <c r="S125" i="12823" s="1"/>
  <c r="V111" i="12823"/>
  <c r="T125" i="12823" s="1"/>
  <c r="W156" i="12825"/>
  <c r="V156" i="12825"/>
  <c r="Z165" i="12825"/>
  <c r="Z173" i="12825"/>
  <c r="Y165" i="12825"/>
  <c r="Z115" i="12822"/>
  <c r="Z116" i="12822"/>
  <c r="Z179" i="12822"/>
  <c r="Z178" i="12822"/>
  <c r="T38" i="12826"/>
  <c r="T37" i="12826"/>
  <c r="T61" i="12826"/>
  <c r="T60" i="12826"/>
  <c r="Q66" i="12826"/>
  <c r="O20" i="12826"/>
  <c r="Q43" i="12826"/>
  <c r="U38" i="12826"/>
  <c r="U37" i="12826"/>
  <c r="H74" i="12818"/>
  <c r="O74" i="12818"/>
  <c r="D11" i="12830"/>
  <c r="E11" i="12830" s="1"/>
  <c r="S47" i="12823" s="1"/>
  <c r="P74" i="12818"/>
  <c r="O20" i="12818"/>
  <c r="P20" i="12818"/>
  <c r="J25" i="12818"/>
  <c r="K9" i="12818" a="1"/>
  <c r="K9" i="12818" s="1"/>
  <c r="O9" i="12818" s="1"/>
  <c r="P52" i="12818"/>
  <c r="O52" i="12818"/>
  <c r="P56" i="12818"/>
  <c r="O56" i="12818"/>
  <c r="K50" i="12818" a="1"/>
  <c r="K50" i="12818" s="1"/>
  <c r="P50" i="12818" s="1"/>
  <c r="K68" i="12818" a="1"/>
  <c r="K68" i="12818" s="1"/>
  <c r="P68" i="12818" s="1"/>
  <c r="K13" i="12818" a="1"/>
  <c r="K13" i="12818" s="1"/>
  <c r="O13" i="12818" s="1"/>
  <c r="O23" i="12818"/>
  <c r="P23" i="12818"/>
  <c r="O16" i="12818"/>
  <c r="P16" i="12818"/>
  <c r="K49" i="12818" a="1"/>
  <c r="K49" i="12818" s="1"/>
  <c r="O49" i="12818" s="1"/>
  <c r="P55" i="12818"/>
  <c r="O55" i="12818"/>
  <c r="K66" i="12818" a="1"/>
  <c r="K66" i="12818" s="1"/>
  <c r="P66" i="12818" s="1"/>
  <c r="K70" i="12818" a="1"/>
  <c r="K70" i="12818" s="1"/>
  <c r="O70" i="12818" s="1"/>
  <c r="K80" i="12818" a="1"/>
  <c r="K80" i="12818" s="1"/>
  <c r="O80" i="12818" s="1"/>
  <c r="J87" i="12818"/>
  <c r="K15" i="12818" a="1"/>
  <c r="K15" i="12818" s="1"/>
  <c r="P15" i="12818" s="1"/>
  <c r="P21" i="12818"/>
  <c r="O21" i="12818"/>
  <c r="P54" i="12818"/>
  <c r="O54" i="12818"/>
  <c r="O53" i="12818"/>
  <c r="P53" i="12818"/>
  <c r="K64" i="12818" a="1"/>
  <c r="K64" i="12818" s="1"/>
  <c r="J78" i="12818"/>
  <c r="K82" i="12818" a="1"/>
  <c r="K82" i="12818" s="1"/>
  <c r="O82" i="12818" s="1"/>
  <c r="P60" i="12818"/>
  <c r="O60" i="12818"/>
  <c r="P51" i="12818"/>
  <c r="O51" i="12818"/>
  <c r="P76" i="12818"/>
  <c r="O76" i="12818"/>
  <c r="P73" i="12818"/>
  <c r="O73" i="12818"/>
  <c r="R86" i="12818"/>
  <c r="O86" i="12818"/>
  <c r="P86" i="12818"/>
  <c r="P19" i="12818"/>
  <c r="O19" i="12818"/>
  <c r="L25" i="12818"/>
  <c r="K46" i="12818" a="1"/>
  <c r="K46" i="12818" s="1"/>
  <c r="P46" i="12818" s="1"/>
  <c r="P71" i="12818"/>
  <c r="O71" i="12818"/>
  <c r="P72" i="12818"/>
  <c r="O72" i="12818"/>
  <c r="P84" i="12818"/>
  <c r="O84" i="12818"/>
  <c r="O17" i="12818"/>
  <c r="P17" i="12818"/>
  <c r="K11" i="12818" a="1"/>
  <c r="K11" i="12818" s="1"/>
  <c r="O11" i="12818" s="1"/>
  <c r="P58" i="12818"/>
  <c r="O58" i="12818"/>
  <c r="K48" i="12818" a="1"/>
  <c r="K48" i="12818" s="1"/>
  <c r="O48" i="12818" s="1"/>
  <c r="K67" i="12818" a="1"/>
  <c r="K67" i="12818" s="1"/>
  <c r="O67" i="12818" s="1"/>
  <c r="K81" i="12818" a="1"/>
  <c r="K81" i="12818" s="1"/>
  <c r="P81" i="12818" s="1"/>
  <c r="R24" i="12818"/>
  <c r="P24" i="12818"/>
  <c r="O24" i="12818"/>
  <c r="K10" i="12818" a="1"/>
  <c r="K10" i="12818" s="1"/>
  <c r="P10" i="12818" s="1"/>
  <c r="K12" i="12818" a="1"/>
  <c r="K12" i="12818" s="1"/>
  <c r="O12" i="12818" s="1"/>
  <c r="R61" i="12818"/>
  <c r="P61" i="12818"/>
  <c r="O61" i="12818"/>
  <c r="L62" i="12818"/>
  <c r="K45" i="12818" a="1"/>
  <c r="K45" i="12818" s="1"/>
  <c r="O45" i="12818" s="1"/>
  <c r="J62" i="12818"/>
  <c r="K69" i="12818" a="1"/>
  <c r="K69" i="12818" s="1"/>
  <c r="O69" i="12818" s="1"/>
  <c r="R77" i="12818"/>
  <c r="O77" i="12818"/>
  <c r="P77" i="12818"/>
  <c r="K65" i="12818" a="1"/>
  <c r="K65" i="12818" s="1"/>
  <c r="P65" i="12818" s="1"/>
  <c r="L78" i="12818"/>
  <c r="P85" i="12818"/>
  <c r="O85" i="12818"/>
  <c r="P22" i="12818"/>
  <c r="O22" i="12818"/>
  <c r="P18" i="12818"/>
  <c r="O18" i="12818"/>
  <c r="K14" i="12818" a="1"/>
  <c r="K14" i="12818" s="1"/>
  <c r="P14" i="12818" s="1"/>
  <c r="O59" i="12818"/>
  <c r="P59" i="12818"/>
  <c r="K47" i="12818" a="1"/>
  <c r="K47" i="12818" s="1"/>
  <c r="P47" i="12818" s="1"/>
  <c r="O57" i="12818"/>
  <c r="P57" i="12818"/>
  <c r="O75" i="12818"/>
  <c r="P75" i="12818"/>
  <c r="O83" i="12818"/>
  <c r="P83" i="12818"/>
  <c r="I268" i="12817"/>
  <c r="P242" i="12817"/>
  <c r="L242" i="12817"/>
  <c r="M242" i="12817"/>
  <c r="U242" i="12817"/>
  <c r="N242" i="12817"/>
  <c r="N89" i="12818"/>
  <c r="Q242" i="12817"/>
  <c r="O242" i="12817"/>
  <c r="R242" i="12817"/>
  <c r="S242" i="12817"/>
  <c r="T242" i="12817"/>
  <c r="E25" i="12818"/>
  <c r="E62" i="12818"/>
  <c r="J242" i="12817"/>
  <c r="Q249" i="12817"/>
  <c r="Q266" i="12817" s="1"/>
  <c r="O249" i="12817"/>
  <c r="O266" i="12817" s="1"/>
  <c r="N249" i="12817"/>
  <c r="N266" i="12817" s="1"/>
  <c r="U249" i="12817"/>
  <c r="U266" i="12817" s="1"/>
  <c r="J249" i="12817"/>
  <c r="J266" i="12817" s="1"/>
  <c r="M249" i="12817"/>
  <c r="M266" i="12817" s="1"/>
  <c r="T249" i="12817"/>
  <c r="T266" i="12817" s="1"/>
  <c r="L249" i="12817"/>
  <c r="L266" i="12817" s="1"/>
  <c r="S249" i="12817"/>
  <c r="S266" i="12817" s="1"/>
  <c r="P249" i="12817"/>
  <c r="P266" i="12817" s="1"/>
  <c r="K249" i="12817"/>
  <c r="K266" i="12817" s="1"/>
  <c r="R249" i="12817"/>
  <c r="R266" i="12817" s="1"/>
  <c r="O239" i="12817"/>
  <c r="S239" i="12817"/>
  <c r="K239" i="12817"/>
  <c r="R239" i="12817"/>
  <c r="Q239" i="12817"/>
  <c r="P239" i="12817"/>
  <c r="M239" i="12817"/>
  <c r="J239" i="12817"/>
  <c r="T239" i="12817"/>
  <c r="L239" i="12817"/>
  <c r="N239" i="12817"/>
  <c r="U239" i="12817"/>
  <c r="I21" i="12818"/>
  <c r="H21" i="12818" s="1"/>
  <c r="K243" i="12817"/>
  <c r="K264" i="12817" s="1"/>
  <c r="Q243" i="12817"/>
  <c r="Q264" i="12817" s="1"/>
  <c r="P243" i="12817"/>
  <c r="P264" i="12817" s="1"/>
  <c r="S243" i="12817"/>
  <c r="S264" i="12817" s="1"/>
  <c r="J243" i="12817"/>
  <c r="J264" i="12817" s="1"/>
  <c r="O243" i="12817"/>
  <c r="O264" i="12817" s="1"/>
  <c r="N243" i="12817"/>
  <c r="N264" i="12817" s="1"/>
  <c r="U243" i="12817"/>
  <c r="U264" i="12817" s="1"/>
  <c r="L243" i="12817"/>
  <c r="L264" i="12817" s="1"/>
  <c r="R243" i="12817"/>
  <c r="R264" i="12817" s="1"/>
  <c r="M243" i="12817"/>
  <c r="M264" i="12817" s="1"/>
  <c r="T243" i="12817"/>
  <c r="T264" i="12817" s="1"/>
  <c r="K251" i="12817"/>
  <c r="O251" i="12817"/>
  <c r="N251" i="12817"/>
  <c r="U251" i="12817"/>
  <c r="J251" i="12817"/>
  <c r="M251" i="12817"/>
  <c r="T251" i="12817"/>
  <c r="L251" i="12817"/>
  <c r="R251" i="12817"/>
  <c r="P251" i="12817"/>
  <c r="S251" i="12817"/>
  <c r="Q251" i="12817"/>
  <c r="M253" i="12817"/>
  <c r="N253" i="12817"/>
  <c r="T253" i="12817"/>
  <c r="L253" i="12817"/>
  <c r="S253" i="12817"/>
  <c r="K253" i="12817"/>
  <c r="R253" i="12817"/>
  <c r="P253" i="12817"/>
  <c r="J253" i="12817"/>
  <c r="O253" i="12817"/>
  <c r="Q253" i="12817"/>
  <c r="U253" i="12817"/>
  <c r="K235" i="12817"/>
  <c r="K261" i="12817" s="1"/>
  <c r="M235" i="12817"/>
  <c r="M261" i="12817" s="1"/>
  <c r="T235" i="12817"/>
  <c r="T261" i="12817" s="1"/>
  <c r="L235" i="12817"/>
  <c r="L261" i="12817" s="1"/>
  <c r="R235" i="12817"/>
  <c r="R261" i="12817" s="1"/>
  <c r="Q235" i="12817"/>
  <c r="Q261" i="12817" s="1"/>
  <c r="P235" i="12817"/>
  <c r="P261" i="12817" s="1"/>
  <c r="S235" i="12817"/>
  <c r="S261" i="12817" s="1"/>
  <c r="O235" i="12817"/>
  <c r="O261" i="12817" s="1"/>
  <c r="N235" i="12817"/>
  <c r="N261" i="12817" s="1"/>
  <c r="U235" i="12817"/>
  <c r="U261" i="12817" s="1"/>
  <c r="J235" i="12817"/>
  <c r="J261" i="12817" s="1"/>
  <c r="L248" i="12817"/>
  <c r="L265" i="12817" s="1"/>
  <c r="S248" i="12817"/>
  <c r="S265" i="12817" s="1"/>
  <c r="K248" i="12817"/>
  <c r="K265" i="12817" s="1"/>
  <c r="R248" i="12817"/>
  <c r="R265" i="12817" s="1"/>
  <c r="Q248" i="12817"/>
  <c r="Q265" i="12817" s="1"/>
  <c r="J248" i="12817"/>
  <c r="J265" i="12817" s="1"/>
  <c r="P248" i="12817"/>
  <c r="P265" i="12817" s="1"/>
  <c r="N248" i="12817"/>
  <c r="N265" i="12817" s="1"/>
  <c r="U248" i="12817"/>
  <c r="U265" i="12817" s="1"/>
  <c r="M248" i="12817"/>
  <c r="M265" i="12817" s="1"/>
  <c r="T248" i="12817"/>
  <c r="T265" i="12817" s="1"/>
  <c r="O248" i="12817"/>
  <c r="O265" i="12817" s="1"/>
  <c r="M245" i="12817"/>
  <c r="M270" i="12817" s="1"/>
  <c r="Q245" i="12817"/>
  <c r="Q270" i="12817" s="1"/>
  <c r="J245" i="12817"/>
  <c r="J270" i="12817" s="1"/>
  <c r="U245" i="12817"/>
  <c r="U270" i="12817" s="1"/>
  <c r="P245" i="12817"/>
  <c r="P270" i="12817" s="1"/>
  <c r="O245" i="12817"/>
  <c r="O270" i="12817" s="1"/>
  <c r="N245" i="12817"/>
  <c r="N270" i="12817" s="1"/>
  <c r="T245" i="12817"/>
  <c r="T270" i="12817" s="1"/>
  <c r="K245" i="12817"/>
  <c r="K270" i="12817" s="1"/>
  <c r="R245" i="12817"/>
  <c r="R270" i="12817" s="1"/>
  <c r="L245" i="12817"/>
  <c r="L270" i="12817" s="1"/>
  <c r="S245" i="12817"/>
  <c r="S270" i="12817" s="1"/>
  <c r="R238" i="12817"/>
  <c r="O238" i="12817"/>
  <c r="J238" i="12817"/>
  <c r="N238" i="12817"/>
  <c r="U238" i="12817"/>
  <c r="M238" i="12817"/>
  <c r="T238" i="12817"/>
  <c r="L238" i="12817"/>
  <c r="S238" i="12817"/>
  <c r="Q238" i="12817"/>
  <c r="P238" i="12817"/>
  <c r="K238" i="12817"/>
  <c r="H85" i="12818"/>
  <c r="I55" i="12818"/>
  <c r="H55" i="12818" s="1"/>
  <c r="E87" i="12818"/>
  <c r="I56" i="12818"/>
  <c r="H56" i="12818" s="1"/>
  <c r="I43" i="12818"/>
  <c r="F25" i="12818"/>
  <c r="H9" i="12818"/>
  <c r="F78" i="12818"/>
  <c r="H64" i="12818"/>
  <c r="D62" i="12818"/>
  <c r="H84" i="12818"/>
  <c r="I87" i="12818"/>
  <c r="F62" i="12818"/>
  <c r="H45" i="12818"/>
  <c r="D78" i="12818"/>
  <c r="F87" i="12818"/>
  <c r="H80" i="12818"/>
  <c r="D87" i="12818"/>
  <c r="D25" i="12818"/>
  <c r="F69" i="12834" l="1"/>
  <c r="F17" i="12834" s="1"/>
  <c r="S88" i="12823"/>
  <c r="T129" i="12823" s="1"/>
  <c r="F62" i="12834"/>
  <c r="E12" i="12834"/>
  <c r="T12" i="12834"/>
  <c r="T50" i="12834"/>
  <c r="E10" i="12834"/>
  <c r="T48" i="12834"/>
  <c r="T51" i="12834" s="1"/>
  <c r="T10" i="12834"/>
  <c r="U13" i="12834"/>
  <c r="V13" i="12834" s="1"/>
  <c r="T37" i="12834"/>
  <c r="T60" i="12834" s="1"/>
  <c r="V9" i="12834"/>
  <c r="U47" i="12834"/>
  <c r="U35" i="12834"/>
  <c r="U40" i="12834"/>
  <c r="U8" i="12834"/>
  <c r="D13" i="12835" s="1"/>
  <c r="E60" i="12834"/>
  <c r="E11" i="12834"/>
  <c r="X156" i="12825"/>
  <c r="M262" i="12817"/>
  <c r="T262" i="12817"/>
  <c r="G179" i="12827"/>
  <c r="R85" i="12818"/>
  <c r="Q85" i="12818" s="1"/>
  <c r="H128" i="12827"/>
  <c r="H179" i="12827"/>
  <c r="E19" i="12830"/>
  <c r="G75" i="12827" s="1"/>
  <c r="G128" i="12827"/>
  <c r="D15" i="12830"/>
  <c r="E7" i="12830" s="1"/>
  <c r="S103" i="12821" s="1"/>
  <c r="F53" i="12834" s="1"/>
  <c r="R262" i="12817"/>
  <c r="L262" i="12817"/>
  <c r="Q262" i="12817"/>
  <c r="U262" i="12817"/>
  <c r="K262" i="12817"/>
  <c r="N262" i="12817"/>
  <c r="P262" i="12817"/>
  <c r="J262" i="12817"/>
  <c r="S262" i="12817"/>
  <c r="O262" i="12817"/>
  <c r="K263" i="12817"/>
  <c r="E19" i="12834"/>
  <c r="M263" i="12817"/>
  <c r="U263" i="12817"/>
  <c r="T156" i="12825"/>
  <c r="X173" i="12825" s="1"/>
  <c r="T173" i="12825" s="1"/>
  <c r="L263" i="12817"/>
  <c r="I267" i="12817"/>
  <c r="U59" i="12823"/>
  <c r="V59" i="12823"/>
  <c r="T88" i="12823"/>
  <c r="H78" i="12818"/>
  <c r="P67" i="12818"/>
  <c r="Q67" i="12818" s="1"/>
  <c r="R74" i="12818"/>
  <c r="J263" i="12817"/>
  <c r="Q263" i="12817"/>
  <c r="Q16" i="12818"/>
  <c r="Q71" i="12818"/>
  <c r="Q60" i="12818"/>
  <c r="Q17" i="12818"/>
  <c r="P82" i="12818"/>
  <c r="Q82" i="12818" s="1"/>
  <c r="O10" i="12818"/>
  <c r="Q10" i="12818" s="1"/>
  <c r="Q51" i="12818"/>
  <c r="Q59" i="12818"/>
  <c r="Q83" i="12818"/>
  <c r="O81" i="12818"/>
  <c r="O87" i="12818" s="1"/>
  <c r="Q76" i="12818"/>
  <c r="P11" i="12818"/>
  <c r="Q11" i="12818" s="1"/>
  <c r="O47" i="12818"/>
  <c r="Q47" i="12818" s="1"/>
  <c r="P69" i="12818"/>
  <c r="Q69" i="12818" s="1"/>
  <c r="P70" i="12818"/>
  <c r="Q70" i="12818" s="1"/>
  <c r="Q75" i="12818"/>
  <c r="P80" i="12818"/>
  <c r="P48" i="12818"/>
  <c r="Q48" i="12818" s="1"/>
  <c r="O46" i="12818"/>
  <c r="Q46" i="12818" s="1"/>
  <c r="Q73" i="12818"/>
  <c r="Q23" i="12818"/>
  <c r="O14" i="12818"/>
  <c r="Q14" i="12818" s="1"/>
  <c r="Q61" i="12818"/>
  <c r="P13" i="12818"/>
  <c r="Q13" i="12818" s="1"/>
  <c r="Q72" i="12818"/>
  <c r="Q52" i="12818"/>
  <c r="O68" i="12818"/>
  <c r="Q68" i="12818" s="1"/>
  <c r="O64" i="12818"/>
  <c r="Q22" i="12818"/>
  <c r="Q77" i="12818"/>
  <c r="P64" i="12818"/>
  <c r="O66" i="12818"/>
  <c r="Q66" i="12818" s="1"/>
  <c r="K62" i="12818"/>
  <c r="O65" i="12818"/>
  <c r="Q65" i="12818" s="1"/>
  <c r="O15" i="12818"/>
  <c r="Q15" i="12818" s="1"/>
  <c r="P12" i="12818"/>
  <c r="Q12" i="12818" s="1"/>
  <c r="Q24" i="12818"/>
  <c r="Q86" i="12818"/>
  <c r="P49" i="12818"/>
  <c r="Q49" i="12818" s="1"/>
  <c r="O50" i="12818"/>
  <c r="P45" i="12818"/>
  <c r="Q45" i="12818" s="1"/>
  <c r="P9" i="12818"/>
  <c r="Q9" i="12818" s="1"/>
  <c r="K25" i="12818"/>
  <c r="K87" i="12818"/>
  <c r="K78" i="12818"/>
  <c r="I270" i="12817"/>
  <c r="I261" i="12817"/>
  <c r="I265" i="12817"/>
  <c r="I264" i="12817"/>
  <c r="I266" i="12817"/>
  <c r="O263" i="12817"/>
  <c r="P263" i="12817"/>
  <c r="R263" i="12817"/>
  <c r="N263" i="12817"/>
  <c r="T263" i="12817"/>
  <c r="I25" i="12818"/>
  <c r="R269" i="12817"/>
  <c r="S263" i="12817"/>
  <c r="T269" i="12817"/>
  <c r="S269" i="12817"/>
  <c r="M269" i="12817"/>
  <c r="J269" i="12817"/>
  <c r="Q269" i="12817"/>
  <c r="U269" i="12817"/>
  <c r="N269" i="12817"/>
  <c r="P269" i="12817"/>
  <c r="O269" i="12817"/>
  <c r="K269" i="12817"/>
  <c r="L269" i="12817"/>
  <c r="I62" i="12818"/>
  <c r="H62" i="12818"/>
  <c r="H25" i="12818"/>
  <c r="H87" i="12818"/>
  <c r="V100" i="12823" l="1"/>
  <c r="S129" i="12823"/>
  <c r="U100" i="12823"/>
  <c r="G177" i="12827"/>
  <c r="F68" i="12834"/>
  <c r="F71" i="12834" s="1"/>
  <c r="U53" i="12834"/>
  <c r="U54" i="12834" s="1"/>
  <c r="I13" i="12835"/>
  <c r="F13" i="12835"/>
  <c r="G13" i="12835" s="1"/>
  <c r="H13" i="12835" s="1"/>
  <c r="U10" i="12834"/>
  <c r="V11" i="12834"/>
  <c r="U49" i="12834"/>
  <c r="U42" i="12834"/>
  <c r="V8" i="12834"/>
  <c r="U34" i="12834"/>
  <c r="T21" i="12834"/>
  <c r="U17" i="12834"/>
  <c r="U18" i="12834"/>
  <c r="F13" i="12834"/>
  <c r="AB13" i="12834" s="1"/>
  <c r="F66" i="12834"/>
  <c r="X179" i="12825"/>
  <c r="T179" i="12825" s="1"/>
  <c r="W173" i="12825"/>
  <c r="U212" i="12825" s="1"/>
  <c r="H177" i="12827"/>
  <c r="H126" i="12827"/>
  <c r="G126" i="12827"/>
  <c r="R84" i="12818"/>
  <c r="Q84" i="12818" s="1"/>
  <c r="E14" i="12830"/>
  <c r="T81" i="12825" s="1"/>
  <c r="R54" i="12818"/>
  <c r="Q54" i="12818" s="1"/>
  <c r="E10" i="12830"/>
  <c r="S89" i="12822" s="1"/>
  <c r="S180" i="12821"/>
  <c r="S257" i="12821" s="1"/>
  <c r="E18" i="12830"/>
  <c r="G62" i="12827" s="1"/>
  <c r="E15" i="12830"/>
  <c r="O23" i="12826" s="1"/>
  <c r="F56" i="12834" s="1"/>
  <c r="T180" i="12821"/>
  <c r="E12" i="12830"/>
  <c r="F23" i="12824" s="1"/>
  <c r="I262" i="12817"/>
  <c r="E73" i="12834"/>
  <c r="E25" i="12834"/>
  <c r="X165" i="12825"/>
  <c r="T165" i="12825" s="1"/>
  <c r="S59" i="12823"/>
  <c r="O62" i="12818"/>
  <c r="P87" i="12818"/>
  <c r="Q50" i="12818"/>
  <c r="Q64" i="12818"/>
  <c r="P78" i="12818"/>
  <c r="Q80" i="12818"/>
  <c r="Q81" i="12818"/>
  <c r="P25" i="12818"/>
  <c r="O25" i="12818"/>
  <c r="P62" i="12818"/>
  <c r="O78" i="12818"/>
  <c r="I263" i="12817"/>
  <c r="I269" i="12817"/>
  <c r="I89" i="12818"/>
  <c r="J3" i="12811"/>
  <c r="S100" i="12823" l="1"/>
  <c r="F55" i="12834"/>
  <c r="G164" i="12827"/>
  <c r="F52" i="12834"/>
  <c r="S152" i="12822"/>
  <c r="T215" i="12822" s="1"/>
  <c r="F54" i="12834"/>
  <c r="U50" i="12834"/>
  <c r="V12" i="12834"/>
  <c r="V15" i="12834"/>
  <c r="U46" i="12834"/>
  <c r="U39" i="12834"/>
  <c r="U33" i="12834"/>
  <c r="V16" i="12834"/>
  <c r="U56" i="12834"/>
  <c r="U36" i="12834"/>
  <c r="U41" i="12834"/>
  <c r="U48" i="12834"/>
  <c r="V10" i="12834"/>
  <c r="J13" i="12835"/>
  <c r="L13" i="12835" s="1"/>
  <c r="K13" i="12835"/>
  <c r="V18" i="12834"/>
  <c r="U43" i="12834"/>
  <c r="V17" i="12834"/>
  <c r="U57" i="12834"/>
  <c r="D42" i="12834" a="1"/>
  <c r="D42" i="12834" s="1"/>
  <c r="D50" i="12834" s="1"/>
  <c r="K23" i="12834"/>
  <c r="W179" i="12825"/>
  <c r="W212" i="12825" s="1"/>
  <c r="Q33" i="12826"/>
  <c r="U195" i="12825"/>
  <c r="W165" i="12825"/>
  <c r="U187" i="12825" s="1"/>
  <c r="W147" i="12825"/>
  <c r="T257" i="12821"/>
  <c r="F16" i="12834"/>
  <c r="R87" i="12818"/>
  <c r="K115" i="12833"/>
  <c r="K118" i="12833"/>
  <c r="K114" i="12833"/>
  <c r="K113" i="12833"/>
  <c r="G37" i="12824"/>
  <c r="K121" i="12833"/>
  <c r="U147" i="12825"/>
  <c r="K111" i="12833"/>
  <c r="F51" i="12824"/>
  <c r="H164" i="12827"/>
  <c r="H113" i="12827"/>
  <c r="K120" i="12833"/>
  <c r="R58" i="12818"/>
  <c r="Q58" i="12818" s="1"/>
  <c r="R56" i="12818"/>
  <c r="Q56" i="12818" s="1"/>
  <c r="K119" i="12833"/>
  <c r="T147" i="12825"/>
  <c r="R57" i="12818"/>
  <c r="Q57" i="12818" s="1"/>
  <c r="P46" i="12826"/>
  <c r="K116" i="12833"/>
  <c r="R53" i="12818"/>
  <c r="Q53" i="12818" s="1"/>
  <c r="O46" i="12826"/>
  <c r="P69" i="12826" s="1"/>
  <c r="F12" i="12834"/>
  <c r="AB12" i="12834" s="1"/>
  <c r="F37" i="12824"/>
  <c r="K117" i="12833"/>
  <c r="K112" i="12833"/>
  <c r="G51" i="12824"/>
  <c r="G113" i="12827"/>
  <c r="T152" i="12822"/>
  <c r="R33" i="12826"/>
  <c r="R55" i="12818"/>
  <c r="Q55" i="12818" s="1"/>
  <c r="S215" i="12822"/>
  <c r="T204" i="12825"/>
  <c r="T187" i="12825"/>
  <c r="T195" i="12825"/>
  <c r="T212" i="12825"/>
  <c r="Q87" i="12818"/>
  <c r="J29" i="12818"/>
  <c r="J34" i="12818"/>
  <c r="J36" i="12818"/>
  <c r="L38" i="12818"/>
  <c r="L29" i="12818"/>
  <c r="J32" i="12818"/>
  <c r="J39" i="12818"/>
  <c r="J41" i="12818"/>
  <c r="L31" i="12818"/>
  <c r="J27" i="12818"/>
  <c r="L32" i="12818"/>
  <c r="L34" i="12818"/>
  <c r="L36" i="12818"/>
  <c r="L27" i="12818"/>
  <c r="J30" i="12818"/>
  <c r="J37" i="12818"/>
  <c r="L39" i="12818"/>
  <c r="L41" i="12818"/>
  <c r="L30" i="12818"/>
  <c r="J33" i="12818"/>
  <c r="J35" i="12818"/>
  <c r="J28" i="12818"/>
  <c r="L37" i="12818"/>
  <c r="J40" i="12818"/>
  <c r="J42" i="12818"/>
  <c r="L42" i="12818"/>
  <c r="L28" i="12818"/>
  <c r="J31" i="12818"/>
  <c r="L33" i="12818"/>
  <c r="L35" i="12818"/>
  <c r="J38" i="12818"/>
  <c r="L40" i="12818"/>
  <c r="H3" i="12811"/>
  <c r="D36" i="12818" s="1"/>
  <c r="E13" i="12830"/>
  <c r="T66" i="12825" s="1"/>
  <c r="F45" i="12834" s="1"/>
  <c r="E9" i="12830"/>
  <c r="S76" i="12822" s="1"/>
  <c r="F44" i="12834" s="1"/>
  <c r="E17" i="12830"/>
  <c r="G58" i="12827" s="1"/>
  <c r="F42" i="12834" s="1"/>
  <c r="E6" i="12830"/>
  <c r="S89" i="12821" s="1"/>
  <c r="F43" i="12834" s="1"/>
  <c r="E21" i="12830"/>
  <c r="G81" i="12827" s="1"/>
  <c r="F36" i="12818"/>
  <c r="H36" i="12818" s="1"/>
  <c r="F38" i="12818"/>
  <c r="H38" i="12818" s="1"/>
  <c r="F40" i="12818"/>
  <c r="H40" i="12818" s="1"/>
  <c r="D42" i="12818"/>
  <c r="D40" i="12818"/>
  <c r="F42" i="12818"/>
  <c r="H42" i="12818" s="1"/>
  <c r="D37" i="12818"/>
  <c r="D39" i="12818"/>
  <c r="F41" i="12818"/>
  <c r="H41" i="12818" s="1"/>
  <c r="D38" i="12818"/>
  <c r="F37" i="12818"/>
  <c r="H37" i="12818" s="1"/>
  <c r="F39" i="12818"/>
  <c r="H39" i="12818" s="1"/>
  <c r="D41" i="12818"/>
  <c r="D28" i="12818"/>
  <c r="D30" i="12818"/>
  <c r="D32" i="12818"/>
  <c r="D34" i="12818"/>
  <c r="F28" i="12818"/>
  <c r="H28" i="12818" s="1"/>
  <c r="F30" i="12818"/>
  <c r="H30" i="12818" s="1"/>
  <c r="F32" i="12818"/>
  <c r="H32" i="12818" s="1"/>
  <c r="F34" i="12818"/>
  <c r="H34" i="12818" s="1"/>
  <c r="D27" i="12818"/>
  <c r="D29" i="12818"/>
  <c r="D31" i="12818"/>
  <c r="D33" i="12818"/>
  <c r="D35" i="12818"/>
  <c r="E35" i="12818" s="1" a="1"/>
  <c r="E35" i="12818" s="1"/>
  <c r="F35" i="12818"/>
  <c r="H35" i="12818" s="1"/>
  <c r="F27" i="12818"/>
  <c r="F29" i="12818"/>
  <c r="H29" i="12818" s="1"/>
  <c r="F31" i="12818"/>
  <c r="H31" i="12818" s="1"/>
  <c r="F33" i="12818"/>
  <c r="H33" i="12818" s="1"/>
  <c r="V21" i="12834" l="1"/>
  <c r="F46" i="12834"/>
  <c r="F18" i="12834" s="1"/>
  <c r="U51" i="12834"/>
  <c r="U37" i="12834"/>
  <c r="V19" i="12834"/>
  <c r="U58" i="12834"/>
  <c r="U44" i="12834"/>
  <c r="U60" i="12834" s="1"/>
  <c r="M13" i="12835"/>
  <c r="N13" i="12835" s="1"/>
  <c r="O13" i="12835"/>
  <c r="P13" i="12835" s="1"/>
  <c r="U204" i="12825"/>
  <c r="F60" i="12834"/>
  <c r="G23" i="12834"/>
  <c r="H49" i="12834"/>
  <c r="I49" i="12834" s="1"/>
  <c r="F23" i="12834"/>
  <c r="N49" i="12834"/>
  <c r="O49" i="12834" s="1"/>
  <c r="W195" i="12825"/>
  <c r="W187" i="12825"/>
  <c r="W204" i="12825"/>
  <c r="O33" i="12826"/>
  <c r="T213" i="12825"/>
  <c r="W213" i="12825"/>
  <c r="Z91" i="12825"/>
  <c r="W130" i="12825"/>
  <c r="F11" i="12834"/>
  <c r="V91" i="12825"/>
  <c r="Y91" i="12825"/>
  <c r="U213" i="12825"/>
  <c r="J49" i="12834"/>
  <c r="L49" i="12834" s="1"/>
  <c r="M49" i="12834" s="1"/>
  <c r="D73" i="12834"/>
  <c r="D15" i="12834"/>
  <c r="D19" i="12834" s="1"/>
  <c r="Q62" i="12818"/>
  <c r="K128" i="12833"/>
  <c r="AF11" i="12834" s="1"/>
  <c r="O69" i="12826"/>
  <c r="R56" i="12826"/>
  <c r="Q56" i="12826"/>
  <c r="R62" i="12818"/>
  <c r="H23" i="12834"/>
  <c r="S140" i="12822"/>
  <c r="T164" i="12821"/>
  <c r="S164" i="12821"/>
  <c r="H160" i="12827"/>
  <c r="G160" i="12827"/>
  <c r="H183" i="12827"/>
  <c r="G183" i="12827"/>
  <c r="G109" i="12827"/>
  <c r="G132" i="12827"/>
  <c r="U130" i="12825"/>
  <c r="T130" i="12825"/>
  <c r="W196" i="12825" s="1"/>
  <c r="W91" i="12825"/>
  <c r="R38" i="12818"/>
  <c r="R37" i="12818"/>
  <c r="T140" i="12822"/>
  <c r="R36" i="12818"/>
  <c r="H132" i="12827"/>
  <c r="R35" i="12818"/>
  <c r="H109" i="12827"/>
  <c r="R39" i="12818"/>
  <c r="O40" i="12818"/>
  <c r="P40" i="12818"/>
  <c r="O37" i="12818"/>
  <c r="P37" i="12818"/>
  <c r="O41" i="12818"/>
  <c r="P41" i="12818"/>
  <c r="O38" i="12818"/>
  <c r="P38" i="12818"/>
  <c r="K30" i="12818" a="1"/>
  <c r="K30" i="12818" s="1"/>
  <c r="P30" i="12818" s="1"/>
  <c r="P39" i="12818"/>
  <c r="O39" i="12818"/>
  <c r="K28" i="12818" a="1"/>
  <c r="K28" i="12818" s="1"/>
  <c r="O28" i="12818" s="1"/>
  <c r="L43" i="12818"/>
  <c r="L89" i="12818" s="1"/>
  <c r="K32" i="12818" a="1"/>
  <c r="K32" i="12818" s="1"/>
  <c r="P32" i="12818" s="1"/>
  <c r="P35" i="12818"/>
  <c r="O35" i="12818"/>
  <c r="K31" i="12818" a="1"/>
  <c r="K31" i="12818" s="1"/>
  <c r="P31" i="12818" s="1"/>
  <c r="P33" i="12818"/>
  <c r="O33" i="12818"/>
  <c r="P36" i="12818"/>
  <c r="O36" i="12818"/>
  <c r="K27" i="12818" a="1"/>
  <c r="K27" i="12818" s="1"/>
  <c r="P27" i="12818" s="1"/>
  <c r="J43" i="12818"/>
  <c r="J89" i="12818" s="1"/>
  <c r="O34" i="12818"/>
  <c r="P34" i="12818"/>
  <c r="R42" i="12818"/>
  <c r="O42" i="12818"/>
  <c r="P42" i="12818"/>
  <c r="K29" i="12818" a="1"/>
  <c r="K29" i="12818" s="1"/>
  <c r="O29" i="12818" s="1"/>
  <c r="E43" i="12818"/>
  <c r="E89" i="12818" s="1"/>
  <c r="F43" i="12818"/>
  <c r="H27" i="12818"/>
  <c r="H43" i="12818" s="1"/>
  <c r="D43" i="12818"/>
  <c r="D89" i="12818" s="1"/>
  <c r="AB11" i="12834" l="1"/>
  <c r="AF15" i="12834"/>
  <c r="F50" i="12834"/>
  <c r="X91" i="12825"/>
  <c r="Y157" i="12825"/>
  <c r="Z157" i="12825"/>
  <c r="I23" i="12834"/>
  <c r="N23" i="12834"/>
  <c r="O23" i="12834" s="1"/>
  <c r="J23" i="12834"/>
  <c r="D25" i="12834"/>
  <c r="O56" i="12826"/>
  <c r="T203" i="12822"/>
  <c r="S203" i="12822"/>
  <c r="T241" i="12821"/>
  <c r="S241" i="12821"/>
  <c r="V157" i="12825"/>
  <c r="W157" i="12825"/>
  <c r="T91" i="12825"/>
  <c r="U196" i="12825"/>
  <c r="T196" i="12825"/>
  <c r="Q36" i="12818"/>
  <c r="Q39" i="12818"/>
  <c r="Q33" i="12818"/>
  <c r="Q34" i="12818"/>
  <c r="Q35" i="12818"/>
  <c r="Q40" i="12818"/>
  <c r="Q37" i="12818"/>
  <c r="Q38" i="12818"/>
  <c r="O30" i="12818"/>
  <c r="Q30" i="12818" s="1"/>
  <c r="O27" i="12818"/>
  <c r="P28" i="12818"/>
  <c r="Q28" i="12818" s="1"/>
  <c r="Q41" i="12818"/>
  <c r="O31" i="12818"/>
  <c r="Q31" i="12818" s="1"/>
  <c r="O32" i="12818"/>
  <c r="Q32" i="12818" s="1"/>
  <c r="P29" i="12818"/>
  <c r="Q29" i="12818" s="1"/>
  <c r="Q42" i="12818"/>
  <c r="K43" i="12818"/>
  <c r="K89" i="12818" s="1"/>
  <c r="R43" i="12818"/>
  <c r="R78" i="12818"/>
  <c r="Q74" i="12818"/>
  <c r="Q78" i="12818" s="1"/>
  <c r="H89" i="12818"/>
  <c r="F89" i="12818"/>
  <c r="X157" i="12825" l="1"/>
  <c r="L23" i="12834"/>
  <c r="T157" i="12825"/>
  <c r="O43" i="12818"/>
  <c r="O89" i="12818" s="1"/>
  <c r="Q27" i="12818"/>
  <c r="Q43" i="12818" s="1"/>
  <c r="P43" i="12818"/>
  <c r="P89" i="12818" s="1"/>
  <c r="M23" i="12834" l="1"/>
  <c r="E4" i="12830" l="1"/>
  <c r="Q33" i="12820" s="1"/>
  <c r="F34" i="12834" s="1"/>
  <c r="E5" i="12830"/>
  <c r="S74" i="12821" s="1"/>
  <c r="E8" i="12830"/>
  <c r="S63" i="12822" s="1"/>
  <c r="F36" i="12834" s="1"/>
  <c r="E16" i="12830"/>
  <c r="G54" i="12827" s="1"/>
  <c r="F33" i="12834" s="1"/>
  <c r="U114" i="12821" l="1"/>
  <c r="F35" i="12834"/>
  <c r="F9" i="12834" s="1"/>
  <c r="AB9" i="12834" s="1"/>
  <c r="C130" i="12833"/>
  <c r="F10" i="12834"/>
  <c r="AB10" i="12834" s="1"/>
  <c r="S128" i="12822"/>
  <c r="V165" i="12822"/>
  <c r="U165" i="12822"/>
  <c r="U102" i="12822"/>
  <c r="V102" i="12822"/>
  <c r="U191" i="12821"/>
  <c r="V191" i="12821"/>
  <c r="T148" i="12821"/>
  <c r="S148" i="12821"/>
  <c r="V114" i="12821"/>
  <c r="Q57" i="12820"/>
  <c r="R57" i="12820"/>
  <c r="H156" i="12827"/>
  <c r="G156" i="12827"/>
  <c r="G105" i="12827"/>
  <c r="T128" i="12822"/>
  <c r="R21" i="12818"/>
  <c r="Q21" i="12818" s="1"/>
  <c r="R20" i="12818"/>
  <c r="Q20" i="12818" s="1"/>
  <c r="H105" i="12827"/>
  <c r="R18" i="12818"/>
  <c r="Q18" i="12818" s="1"/>
  <c r="R19" i="12818"/>
  <c r="F15" i="12834" l="1"/>
  <c r="F40" i="12834"/>
  <c r="F8" i="12834"/>
  <c r="AB8" i="12834" s="1"/>
  <c r="T191" i="12822"/>
  <c r="S191" i="12822"/>
  <c r="S165" i="12822"/>
  <c r="Q81" i="12820"/>
  <c r="T225" i="12821"/>
  <c r="S225" i="12821"/>
  <c r="S191" i="12821"/>
  <c r="S114" i="12821"/>
  <c r="R81" i="12820"/>
  <c r="Q19" i="12818"/>
  <c r="Q25" i="12818" s="1"/>
  <c r="Q89" i="12818" s="1"/>
  <c r="R25" i="12818"/>
  <c r="R89" i="12818" s="1"/>
  <c r="S98" i="12822"/>
  <c r="W110" i="12822" s="1"/>
  <c r="S110" i="12822" s="1"/>
  <c r="S99" i="12822"/>
  <c r="S100" i="12822"/>
  <c r="W112" i="12822" s="1"/>
  <c r="S112" i="12822" s="1"/>
  <c r="S101" i="12822"/>
  <c r="W113" i="12822" s="1"/>
  <c r="S113" i="12822" s="1"/>
  <c r="S102" i="12822"/>
  <c r="S126" i="12822" l="1"/>
  <c r="S150" i="12822"/>
  <c r="S138" i="12822"/>
  <c r="S127" i="12822"/>
  <c r="S151" i="12822"/>
  <c r="S139" i="12822"/>
  <c r="S136" i="12822"/>
  <c r="S124" i="12822"/>
  <c r="S148" i="12822"/>
  <c r="V113" i="12822"/>
  <c r="T127" i="12822" s="1"/>
  <c r="V112" i="12822"/>
  <c r="T150" i="12822" s="1"/>
  <c r="V110" i="12822"/>
  <c r="W111" i="12822"/>
  <c r="S111" i="12822" s="1"/>
  <c r="T138" i="12822" l="1"/>
  <c r="T151" i="12822"/>
  <c r="T126" i="12822"/>
  <c r="T139" i="12822"/>
  <c r="Y175" i="12822"/>
  <c r="X175" i="12822"/>
  <c r="X173" i="12822"/>
  <c r="Y173" i="12822"/>
  <c r="Y176" i="12822"/>
  <c r="X176" i="12822"/>
  <c r="S137" i="12822"/>
  <c r="S149" i="12822"/>
  <c r="S125" i="12822"/>
  <c r="T124" i="12822"/>
  <c r="T136" i="12822"/>
  <c r="T148" i="12822"/>
  <c r="V111" i="12822"/>
  <c r="T125" i="12822" s="1"/>
  <c r="S175" i="12822" l="1"/>
  <c r="S189" i="12822" s="1"/>
  <c r="S176" i="12822"/>
  <c r="S190" i="12822" s="1"/>
  <c r="S173" i="12822"/>
  <c r="T149" i="12822"/>
  <c r="V176" i="12822"/>
  <c r="T202" i="12822" s="1"/>
  <c r="V175" i="12822"/>
  <c r="T201" i="12822" s="1"/>
  <c r="V173" i="12822"/>
  <c r="Y174" i="12822"/>
  <c r="X174" i="12822"/>
  <c r="T137" i="12822"/>
  <c r="S202" i="12822" l="1"/>
  <c r="S174" i="12822"/>
  <c r="S188" i="12822" s="1"/>
  <c r="S214" i="12822"/>
  <c r="T190" i="12822"/>
  <c r="S201" i="12822"/>
  <c r="S213" i="12822"/>
  <c r="S199" i="12822"/>
  <c r="S187" i="12822"/>
  <c r="S211" i="12822"/>
  <c r="T189" i="12822"/>
  <c r="T214" i="12822"/>
  <c r="T213" i="12822"/>
  <c r="T211" i="12822"/>
  <c r="T187" i="12822"/>
  <c r="T199" i="12822"/>
  <c r="V174" i="12822"/>
  <c r="S200" i="12822" l="1"/>
  <c r="S212" i="12822"/>
  <c r="T212" i="12822"/>
  <c r="T200" i="12822"/>
  <c r="T188" i="12822"/>
  <c r="F19" i="12834" l="1"/>
  <c r="AB14" i="12834" s="1"/>
  <c r="F25" i="12834" l="1"/>
  <c r="F73" i="12834"/>
  <c r="T113" i="12825"/>
  <c r="W121" i="12825"/>
  <c r="W129" i="12825"/>
  <c r="W138" i="12825"/>
  <c r="W146" i="12825"/>
  <c r="AB15" i="12834" l="1"/>
  <c r="W89" i="12818"/>
  <c r="E20" i="12835" l="1"/>
  <c r="L111" i="12833"/>
  <c r="M111" i="12833"/>
  <c r="N111" i="12833"/>
  <c r="O111" i="12833"/>
  <c r="P111" i="12833"/>
  <c r="Q111" i="12833"/>
  <c r="R111" i="12833"/>
  <c r="S111" i="12833"/>
  <c r="U111" i="12833"/>
  <c r="V111" i="12833"/>
  <c r="W111" i="12833"/>
  <c r="X111" i="12833"/>
  <c r="Y111" i="12833"/>
  <c r="Z111" i="12833"/>
  <c r="AA111" i="12833"/>
  <c r="AB111" i="12833"/>
  <c r="L112" i="12833"/>
  <c r="M112" i="12833"/>
  <c r="N112" i="12833"/>
  <c r="O112" i="12833"/>
  <c r="P112" i="12833"/>
  <c r="Q112" i="12833"/>
  <c r="R112" i="12833"/>
  <c r="S112" i="12833"/>
  <c r="U112" i="12833"/>
  <c r="V112" i="12833"/>
  <c r="W112" i="12833"/>
  <c r="X112" i="12833"/>
  <c r="Y112" i="12833"/>
  <c r="Z112" i="12833"/>
  <c r="AA112" i="12833"/>
  <c r="AB112" i="12833"/>
  <c r="L113" i="12833"/>
  <c r="M113" i="12833"/>
  <c r="N113" i="12833"/>
  <c r="O113" i="12833"/>
  <c r="P113" i="12833"/>
  <c r="Q113" i="12833"/>
  <c r="R113" i="12833"/>
  <c r="S113" i="12833"/>
  <c r="U113" i="12833"/>
  <c r="V113" i="12833"/>
  <c r="W113" i="12833"/>
  <c r="X113" i="12833"/>
  <c r="Y113" i="12833"/>
  <c r="Z113" i="12833"/>
  <c r="AA113" i="12833"/>
  <c r="AB113" i="12833"/>
  <c r="L114" i="12833"/>
  <c r="M114" i="12833"/>
  <c r="N114" i="12833"/>
  <c r="O114" i="12833"/>
  <c r="P114" i="12833"/>
  <c r="Q114" i="12833"/>
  <c r="R114" i="12833"/>
  <c r="S114" i="12833"/>
  <c r="U114" i="12833"/>
  <c r="V114" i="12833"/>
  <c r="W114" i="12833"/>
  <c r="X114" i="12833"/>
  <c r="Y114" i="12833"/>
  <c r="Z114" i="12833"/>
  <c r="AA114" i="12833"/>
  <c r="AB114" i="12833"/>
  <c r="L115" i="12833"/>
  <c r="M115" i="12833"/>
  <c r="N115" i="12833"/>
  <c r="O115" i="12833"/>
  <c r="P115" i="12833"/>
  <c r="Q115" i="12833"/>
  <c r="R115" i="12833"/>
  <c r="S115" i="12833"/>
  <c r="U115" i="12833"/>
  <c r="V115" i="12833"/>
  <c r="W115" i="12833"/>
  <c r="X115" i="12833"/>
  <c r="Y115" i="12833"/>
  <c r="Z115" i="12833"/>
  <c r="AA115" i="12833"/>
  <c r="AB115" i="12833"/>
  <c r="L116" i="12833"/>
  <c r="M116" i="12833"/>
  <c r="N116" i="12833"/>
  <c r="O116" i="12833"/>
  <c r="P116" i="12833"/>
  <c r="Q116" i="12833"/>
  <c r="R116" i="12833"/>
  <c r="S116" i="12833"/>
  <c r="U116" i="12833"/>
  <c r="V116" i="12833"/>
  <c r="W116" i="12833"/>
  <c r="X116" i="12833"/>
  <c r="Y116" i="12833"/>
  <c r="Z116" i="12833"/>
  <c r="AA116" i="12833"/>
  <c r="AB116" i="12833"/>
  <c r="L117" i="12833"/>
  <c r="M117" i="12833"/>
  <c r="N117" i="12833"/>
  <c r="O117" i="12833"/>
  <c r="P117" i="12833"/>
  <c r="Q117" i="12833"/>
  <c r="R117" i="12833"/>
  <c r="S117" i="12833"/>
  <c r="U117" i="12833"/>
  <c r="V117" i="12833"/>
  <c r="W117" i="12833"/>
  <c r="X117" i="12833"/>
  <c r="Y117" i="12833"/>
  <c r="Z117" i="12833"/>
  <c r="AA117" i="12833"/>
  <c r="AB117" i="12833"/>
  <c r="L118" i="12833"/>
  <c r="M118" i="12833"/>
  <c r="N118" i="12833"/>
  <c r="O118" i="12833"/>
  <c r="P118" i="12833"/>
  <c r="Q118" i="12833"/>
  <c r="R118" i="12833"/>
  <c r="S118" i="12833"/>
  <c r="U118" i="12833"/>
  <c r="V118" i="12833"/>
  <c r="W118" i="12833"/>
  <c r="X118" i="12833"/>
  <c r="Y118" i="12833"/>
  <c r="Z118" i="12833"/>
  <c r="AA118" i="12833"/>
  <c r="AB118" i="12833"/>
  <c r="L119" i="12833"/>
  <c r="M119" i="12833"/>
  <c r="N119" i="12833"/>
  <c r="O119" i="12833"/>
  <c r="P119" i="12833"/>
  <c r="Q119" i="12833"/>
  <c r="R119" i="12833"/>
  <c r="S119" i="12833"/>
  <c r="U119" i="12833"/>
  <c r="V119" i="12833"/>
  <c r="W119" i="12833"/>
  <c r="X119" i="12833"/>
  <c r="Y119" i="12833"/>
  <c r="Z119" i="12833"/>
  <c r="AA119" i="12833"/>
  <c r="AB119" i="12833"/>
  <c r="L120" i="12833"/>
  <c r="M120" i="12833"/>
  <c r="N120" i="12833"/>
  <c r="O120" i="12833"/>
  <c r="P120" i="12833"/>
  <c r="Q120" i="12833"/>
  <c r="R120" i="12833"/>
  <c r="S120" i="12833"/>
  <c r="U120" i="12833"/>
  <c r="V120" i="12833"/>
  <c r="W120" i="12833"/>
  <c r="X120" i="12833"/>
  <c r="Y120" i="12833"/>
  <c r="Z120" i="12833"/>
  <c r="AA120" i="12833"/>
  <c r="AB120" i="12833"/>
  <c r="L121" i="12833"/>
  <c r="M121" i="12833"/>
  <c r="N121" i="12833"/>
  <c r="O121" i="12833"/>
  <c r="P121" i="12833"/>
  <c r="Q121" i="12833"/>
  <c r="R121" i="12833"/>
  <c r="S121" i="12833"/>
  <c r="U121" i="12833"/>
  <c r="V121" i="12833"/>
  <c r="W121" i="12833"/>
  <c r="X121" i="12833"/>
  <c r="Y121" i="12833"/>
  <c r="Z121" i="12833"/>
  <c r="AA121" i="12833"/>
  <c r="AB121" i="12833"/>
  <c r="M123" i="12833"/>
  <c r="N123" i="12833"/>
  <c r="O123" i="12833"/>
  <c r="P123" i="12833"/>
  <c r="Q123" i="12833"/>
  <c r="V123" i="12833"/>
  <c r="W123" i="12833"/>
  <c r="X123" i="12833"/>
  <c r="Y123" i="12833"/>
  <c r="Z123" i="12833"/>
  <c r="N124" i="12833"/>
  <c r="O124" i="12833"/>
  <c r="P124" i="12833"/>
  <c r="Q124" i="12833"/>
  <c r="W124" i="12833"/>
  <c r="X124" i="12833"/>
  <c r="Y124" i="12833"/>
  <c r="Z124" i="12833"/>
  <c r="N125" i="12833"/>
  <c r="O125" i="12833"/>
  <c r="P125" i="12833"/>
  <c r="Q125" i="12833"/>
  <c r="W125" i="12833"/>
  <c r="X125" i="12833"/>
  <c r="Y125" i="12833"/>
  <c r="Z125" i="12833"/>
  <c r="N126" i="12833"/>
  <c r="O126" i="12833"/>
  <c r="P126" i="12833"/>
  <c r="Q126" i="12833"/>
  <c r="W126" i="12833"/>
  <c r="X126" i="12833"/>
  <c r="Y126" i="12833"/>
  <c r="Z126" i="12833"/>
  <c r="L128" i="12833"/>
  <c r="M128" i="12833"/>
  <c r="N128" i="12833"/>
  <c r="O128" i="12833"/>
  <c r="P128" i="12833"/>
  <c r="Q128" i="12833"/>
  <c r="R128" i="12833"/>
  <c r="S128" i="12833"/>
  <c r="T128" i="12833"/>
  <c r="U128" i="12833"/>
  <c r="V128" i="12833"/>
  <c r="W128" i="12833"/>
  <c r="X128" i="12833"/>
  <c r="Y128" i="12833"/>
  <c r="Z128" i="12833"/>
  <c r="AA128" i="12833"/>
  <c r="AB128" i="12833"/>
  <c r="AC128" i="12833"/>
  <c r="AE128" i="12833"/>
  <c r="O132" i="12833"/>
  <c r="X132" i="12833"/>
  <c r="O134" i="12833"/>
  <c r="P134" i="12833"/>
  <c r="X134" i="12833"/>
  <c r="Y134" i="12833"/>
  <c r="O135" i="12833"/>
  <c r="P135" i="12833"/>
  <c r="X135" i="12833"/>
  <c r="Y135" i="12833"/>
  <c r="O136" i="12833"/>
  <c r="P136" i="12833"/>
  <c r="X136" i="12833"/>
  <c r="Y136" i="12833"/>
  <c r="O137" i="12833"/>
  <c r="P137" i="12833"/>
  <c r="X137" i="12833"/>
  <c r="Y137" i="12833"/>
  <c r="G82" i="12827"/>
  <c r="G83" i="12827"/>
  <c r="J83" i="12827"/>
  <c r="K83" i="12827"/>
  <c r="G84" i="12827"/>
  <c r="J84" i="12827"/>
  <c r="K84" i="12827"/>
  <c r="G85" i="12827"/>
  <c r="J85" i="12827"/>
  <c r="K85" i="12827"/>
  <c r="G86" i="12827"/>
  <c r="J86" i="12827"/>
  <c r="K86" i="12827"/>
  <c r="G87" i="12827"/>
  <c r="J87" i="12827"/>
  <c r="K87" i="12827"/>
  <c r="G88" i="12827"/>
  <c r="J88" i="12827"/>
  <c r="K88" i="12827"/>
  <c r="G89" i="12827"/>
  <c r="J89" i="12827"/>
  <c r="K89" i="12827"/>
  <c r="G90" i="12827"/>
  <c r="J90" i="12827"/>
  <c r="K90" i="12827"/>
  <c r="G91" i="12827"/>
  <c r="J91" i="12827"/>
  <c r="K91" i="12827"/>
  <c r="G92" i="12827"/>
  <c r="J92" i="12827"/>
  <c r="K92" i="12827"/>
  <c r="G93" i="12827"/>
  <c r="J93" i="12827"/>
  <c r="K93" i="12827"/>
  <c r="G94" i="12827"/>
  <c r="J94" i="12827"/>
  <c r="K94" i="12827"/>
  <c r="G95" i="12827"/>
  <c r="J95" i="12827"/>
  <c r="K95" i="12827"/>
  <c r="G96" i="12827"/>
  <c r="J96" i="12827"/>
  <c r="K96" i="12827"/>
  <c r="G97" i="12827"/>
  <c r="J97" i="12827"/>
  <c r="K97" i="12827"/>
  <c r="G98" i="12827"/>
  <c r="J98" i="12827"/>
  <c r="K98" i="12827"/>
  <c r="G99" i="12827"/>
  <c r="J99" i="12827"/>
  <c r="K99" i="12827"/>
  <c r="G100" i="12827"/>
  <c r="J100" i="12827"/>
  <c r="K100" i="12827"/>
  <c r="G101" i="12827"/>
  <c r="J101" i="12827"/>
  <c r="K101" i="12827"/>
  <c r="G102" i="12827"/>
  <c r="H102" i="12827"/>
  <c r="G103" i="12827"/>
  <c r="H103" i="12827"/>
  <c r="G104" i="12827"/>
  <c r="H104" i="12827"/>
  <c r="G106" i="12827"/>
  <c r="H106" i="12827"/>
  <c r="G107" i="12827"/>
  <c r="H107" i="12827"/>
  <c r="G108" i="12827"/>
  <c r="H108" i="12827"/>
  <c r="G110" i="12827"/>
  <c r="H110" i="12827"/>
  <c r="G111" i="12827"/>
  <c r="H111" i="12827"/>
  <c r="G112" i="12827"/>
  <c r="H112" i="12827"/>
  <c r="G114" i="12827"/>
  <c r="H114" i="12827"/>
  <c r="G115" i="12827"/>
  <c r="H115" i="12827"/>
  <c r="G116" i="12827"/>
  <c r="H116" i="12827"/>
  <c r="G117" i="12827"/>
  <c r="H117" i="12827"/>
  <c r="G118" i="12827"/>
  <c r="H118" i="12827"/>
  <c r="G119" i="12827"/>
  <c r="H119" i="12827"/>
  <c r="G120" i="12827"/>
  <c r="H120" i="12827"/>
  <c r="G121" i="12827"/>
  <c r="H121" i="12827"/>
  <c r="G122" i="12827"/>
  <c r="H122" i="12827"/>
  <c r="G123" i="12827"/>
  <c r="H123" i="12827"/>
  <c r="G124" i="12827"/>
  <c r="H124" i="12827"/>
  <c r="G125" i="12827"/>
  <c r="H125" i="12827"/>
  <c r="G127" i="12827"/>
  <c r="H127" i="12827"/>
  <c r="G129" i="12827"/>
  <c r="H129" i="12827"/>
  <c r="G130" i="12827"/>
  <c r="H130" i="12827"/>
  <c r="G131" i="12827"/>
  <c r="H131" i="12827"/>
  <c r="G133" i="12827"/>
  <c r="G134" i="12827"/>
  <c r="J134" i="12827"/>
  <c r="K134" i="12827"/>
  <c r="G135" i="12827"/>
  <c r="J135" i="12827"/>
  <c r="K135" i="12827"/>
  <c r="G136" i="12827"/>
  <c r="J136" i="12827"/>
  <c r="K136" i="12827"/>
  <c r="G137" i="12827"/>
  <c r="J137" i="12827"/>
  <c r="K137" i="12827"/>
  <c r="G138" i="12827"/>
  <c r="J138" i="12827"/>
  <c r="K138" i="12827"/>
  <c r="G139" i="12827"/>
  <c r="J139" i="12827"/>
  <c r="K139" i="12827"/>
  <c r="G140" i="12827"/>
  <c r="J140" i="12827"/>
  <c r="K140" i="12827"/>
  <c r="G141" i="12827"/>
  <c r="J141" i="12827"/>
  <c r="K141" i="12827"/>
  <c r="G142" i="12827"/>
  <c r="J142" i="12827"/>
  <c r="K142" i="12827"/>
  <c r="G143" i="12827"/>
  <c r="J143" i="12827"/>
  <c r="K143" i="12827"/>
  <c r="G144" i="12827"/>
  <c r="J144" i="12827"/>
  <c r="K144" i="12827"/>
  <c r="G145" i="12827"/>
  <c r="J145" i="12827"/>
  <c r="K145" i="12827"/>
  <c r="G146" i="12827"/>
  <c r="J146" i="12827"/>
  <c r="K146" i="12827"/>
  <c r="G147" i="12827"/>
  <c r="J147" i="12827"/>
  <c r="K147" i="12827"/>
  <c r="G148" i="12827"/>
  <c r="J148" i="12827"/>
  <c r="K148" i="12827"/>
  <c r="G149" i="12827"/>
  <c r="J149" i="12827"/>
  <c r="K149" i="12827"/>
  <c r="G150" i="12827"/>
  <c r="J150" i="12827"/>
  <c r="K150" i="12827"/>
  <c r="G151" i="12827"/>
  <c r="J151" i="12827"/>
  <c r="K151" i="12827"/>
  <c r="G152" i="12827"/>
  <c r="J152" i="12827"/>
  <c r="K152" i="12827"/>
  <c r="G153" i="12827"/>
  <c r="H153" i="12827"/>
  <c r="G154" i="12827"/>
  <c r="H154" i="12827"/>
  <c r="G155" i="12827"/>
  <c r="H155" i="12827"/>
  <c r="G157" i="12827"/>
  <c r="H157" i="12827"/>
  <c r="G158" i="12827"/>
  <c r="H158" i="12827"/>
  <c r="G159" i="12827"/>
  <c r="H159" i="12827"/>
  <c r="G161" i="12827"/>
  <c r="H161" i="12827"/>
  <c r="G162" i="12827"/>
  <c r="H162" i="12827"/>
  <c r="G163" i="12827"/>
  <c r="H163" i="12827"/>
  <c r="G165" i="12827"/>
  <c r="H165" i="12827"/>
  <c r="G166" i="12827"/>
  <c r="H166" i="12827"/>
  <c r="G167" i="12827"/>
  <c r="H167" i="12827"/>
  <c r="G168" i="12827"/>
  <c r="H168" i="12827"/>
  <c r="G169" i="12827"/>
  <c r="H169" i="12827"/>
  <c r="G170" i="12827"/>
  <c r="H170" i="12827"/>
  <c r="G171" i="12827"/>
  <c r="H171" i="12827"/>
  <c r="G172" i="12827"/>
  <c r="H172" i="12827"/>
  <c r="G173" i="12827"/>
  <c r="H173" i="12827"/>
  <c r="G174" i="12827"/>
  <c r="H174" i="12827"/>
  <c r="G175" i="12827"/>
  <c r="H175" i="12827"/>
  <c r="G176" i="12827"/>
  <c r="H176" i="12827"/>
  <c r="G178" i="12827"/>
  <c r="H178" i="12827"/>
  <c r="G180" i="12827"/>
  <c r="H180" i="12827"/>
  <c r="G181" i="12827"/>
  <c r="H181" i="12827"/>
  <c r="G182" i="12827"/>
  <c r="H182" i="12827"/>
  <c r="I186" i="12827"/>
  <c r="I187" i="12827"/>
  <c r="D8" i="12835"/>
  <c r="F8" i="12835"/>
  <c r="G8" i="12835"/>
  <c r="H8" i="12835"/>
  <c r="I8" i="12835"/>
  <c r="J8" i="12835"/>
  <c r="K8" i="12835"/>
  <c r="L8" i="12835"/>
  <c r="M8" i="12835"/>
  <c r="N8" i="12835"/>
  <c r="O8" i="12835"/>
  <c r="P8" i="12835"/>
  <c r="D9" i="12835"/>
  <c r="F9" i="12835"/>
  <c r="G9" i="12835"/>
  <c r="H9" i="12835"/>
  <c r="I9" i="12835"/>
  <c r="J9" i="12835"/>
  <c r="K9" i="12835"/>
  <c r="L9" i="12835"/>
  <c r="M9" i="12835"/>
  <c r="N9" i="12835"/>
  <c r="O9" i="12835"/>
  <c r="P9" i="12835"/>
  <c r="D10" i="12835"/>
  <c r="F10" i="12835"/>
  <c r="G10" i="12835"/>
  <c r="H10" i="12835"/>
  <c r="I10" i="12835"/>
  <c r="J10" i="12835"/>
  <c r="K10" i="12835"/>
  <c r="L10" i="12835"/>
  <c r="M10" i="12835"/>
  <c r="N10" i="12835"/>
  <c r="O10" i="12835"/>
  <c r="P10" i="12835"/>
  <c r="D11" i="12835"/>
  <c r="F11" i="12835"/>
  <c r="G11" i="12835"/>
  <c r="H11" i="12835"/>
  <c r="I11" i="12835"/>
  <c r="J11" i="12835"/>
  <c r="K11" i="12835"/>
  <c r="L11" i="12835"/>
  <c r="M11" i="12835"/>
  <c r="N11" i="12835"/>
  <c r="O11" i="12835"/>
  <c r="P11" i="12835"/>
  <c r="F20" i="12835"/>
  <c r="G20" i="12835"/>
  <c r="H20" i="12835"/>
  <c r="K20" i="12835"/>
  <c r="L20" i="12835"/>
  <c r="M20" i="12835"/>
  <c r="N20" i="12835"/>
  <c r="O20" i="12835"/>
  <c r="P20" i="12835"/>
  <c r="E8" i="12820"/>
  <c r="F8" i="12820"/>
  <c r="G8" i="12820"/>
  <c r="H8" i="12820"/>
  <c r="I8" i="12820"/>
  <c r="J8" i="12820"/>
  <c r="K8" i="12820"/>
  <c r="E9" i="12820"/>
  <c r="F9" i="12820"/>
  <c r="G9" i="12820"/>
  <c r="H9" i="12820"/>
  <c r="I9" i="12820"/>
  <c r="J9" i="12820"/>
  <c r="K9" i="12820"/>
  <c r="E10" i="12820"/>
  <c r="F10" i="12820"/>
  <c r="G10" i="12820"/>
  <c r="H10" i="12820"/>
  <c r="I10" i="12820"/>
  <c r="J10" i="12820"/>
  <c r="K10" i="12820"/>
  <c r="E11" i="12820"/>
  <c r="F11" i="12820"/>
  <c r="G11" i="12820"/>
  <c r="H11" i="12820"/>
  <c r="I11" i="12820"/>
  <c r="J11" i="12820"/>
  <c r="K11" i="12820"/>
  <c r="E12" i="12820"/>
  <c r="F12" i="12820"/>
  <c r="G12" i="12820"/>
  <c r="H12" i="12820"/>
  <c r="I12" i="12820"/>
  <c r="J12" i="12820"/>
  <c r="K12" i="12820"/>
  <c r="E13" i="12820"/>
  <c r="F13" i="12820"/>
  <c r="G13" i="12820"/>
  <c r="H13" i="12820"/>
  <c r="I13" i="12820"/>
  <c r="J13" i="12820"/>
  <c r="K13" i="12820"/>
  <c r="E14" i="12820"/>
  <c r="F14" i="12820"/>
  <c r="G14" i="12820"/>
  <c r="H14" i="12820"/>
  <c r="I14" i="12820"/>
  <c r="J14" i="12820"/>
  <c r="K14" i="12820"/>
  <c r="E15" i="12820"/>
  <c r="F15" i="12820"/>
  <c r="G15" i="12820"/>
  <c r="H15" i="12820"/>
  <c r="I15" i="12820"/>
  <c r="J15" i="12820"/>
  <c r="K15" i="12820"/>
  <c r="E16" i="12820"/>
  <c r="F16" i="12820"/>
  <c r="G16" i="12820"/>
  <c r="H16" i="12820"/>
  <c r="I16" i="12820"/>
  <c r="J16" i="12820"/>
  <c r="K16" i="12820"/>
  <c r="E17" i="12820"/>
  <c r="F17" i="12820"/>
  <c r="G17" i="12820"/>
  <c r="H17" i="12820"/>
  <c r="I17" i="12820"/>
  <c r="J17" i="12820"/>
  <c r="K17" i="12820"/>
  <c r="E18" i="12820"/>
  <c r="F18" i="12820"/>
  <c r="G18" i="12820"/>
  <c r="H18" i="12820"/>
  <c r="I18" i="12820"/>
  <c r="J18" i="12820"/>
  <c r="K18" i="12820"/>
  <c r="E19" i="12820"/>
  <c r="F19" i="12820"/>
  <c r="G19" i="12820"/>
  <c r="H19" i="12820"/>
  <c r="I19" i="12820"/>
  <c r="J19" i="12820"/>
  <c r="K19" i="12820"/>
  <c r="E20" i="12820"/>
  <c r="F20" i="12820"/>
  <c r="G20" i="12820"/>
  <c r="H20" i="12820"/>
  <c r="I20" i="12820"/>
  <c r="J20" i="12820"/>
  <c r="K20" i="12820"/>
  <c r="E21" i="12820"/>
  <c r="F21" i="12820"/>
  <c r="G21" i="12820"/>
  <c r="H21" i="12820"/>
  <c r="I21" i="12820"/>
  <c r="J21" i="12820"/>
  <c r="K21" i="12820"/>
  <c r="E22" i="12820"/>
  <c r="F22" i="12820"/>
  <c r="G22" i="12820"/>
  <c r="H22" i="12820"/>
  <c r="I22" i="12820"/>
  <c r="J22" i="12820"/>
  <c r="K22" i="12820"/>
  <c r="E23" i="12820"/>
  <c r="F23" i="12820"/>
  <c r="G23" i="12820"/>
  <c r="H23" i="12820"/>
  <c r="I23" i="12820"/>
  <c r="J23" i="12820"/>
  <c r="K23" i="12820"/>
  <c r="E24" i="12820"/>
  <c r="F24" i="12820"/>
  <c r="G24" i="12820"/>
  <c r="H24" i="12820"/>
  <c r="I24" i="12820"/>
  <c r="J24" i="12820"/>
  <c r="K24" i="12820"/>
  <c r="E25" i="12820"/>
  <c r="F25" i="12820"/>
  <c r="G25" i="12820"/>
  <c r="H25" i="12820"/>
  <c r="I25" i="12820"/>
  <c r="J25" i="12820"/>
  <c r="K25" i="12820"/>
  <c r="E26" i="12820"/>
  <c r="F26" i="12820"/>
  <c r="G26" i="12820"/>
  <c r="H26" i="12820"/>
  <c r="I26" i="12820"/>
  <c r="J26" i="12820"/>
  <c r="K26" i="12820"/>
  <c r="E27" i="12820"/>
  <c r="F27" i="12820"/>
  <c r="G27" i="12820"/>
  <c r="H27" i="12820"/>
  <c r="I27" i="12820"/>
  <c r="J27" i="12820"/>
  <c r="K27" i="12820"/>
  <c r="E28" i="12820"/>
  <c r="F28" i="12820"/>
  <c r="G28" i="12820"/>
  <c r="H28" i="12820"/>
  <c r="I28" i="12820"/>
  <c r="J28" i="12820"/>
  <c r="K28" i="12820"/>
  <c r="E33" i="12820"/>
  <c r="F33" i="12820"/>
  <c r="G33" i="12820"/>
  <c r="H33" i="12820"/>
  <c r="I33" i="12820"/>
  <c r="J33" i="12820"/>
  <c r="K33" i="12820"/>
  <c r="E34" i="12820"/>
  <c r="F34" i="12820"/>
  <c r="G34" i="12820"/>
  <c r="H34" i="12820"/>
  <c r="I34" i="12820"/>
  <c r="J34" i="12820"/>
  <c r="K34" i="12820"/>
  <c r="Q34" i="12820"/>
  <c r="E35" i="12820"/>
  <c r="F35" i="12820"/>
  <c r="G35" i="12820"/>
  <c r="H35" i="12820"/>
  <c r="I35" i="12820"/>
  <c r="J35" i="12820"/>
  <c r="K35" i="12820"/>
  <c r="E36" i="12820"/>
  <c r="F36" i="12820"/>
  <c r="G36" i="12820"/>
  <c r="H36" i="12820"/>
  <c r="I36" i="12820"/>
  <c r="J36" i="12820"/>
  <c r="K36" i="12820"/>
  <c r="E37" i="12820"/>
  <c r="F37" i="12820"/>
  <c r="G37" i="12820"/>
  <c r="H37" i="12820"/>
  <c r="I37" i="12820"/>
  <c r="J37" i="12820"/>
  <c r="K37" i="12820"/>
  <c r="E38" i="12820"/>
  <c r="F38" i="12820"/>
  <c r="G38" i="12820"/>
  <c r="H38" i="12820"/>
  <c r="I38" i="12820"/>
  <c r="J38" i="12820"/>
  <c r="K38" i="12820"/>
  <c r="E39" i="12820"/>
  <c r="F39" i="12820"/>
  <c r="G39" i="12820"/>
  <c r="H39" i="12820"/>
  <c r="I39" i="12820"/>
  <c r="J39" i="12820"/>
  <c r="K39" i="12820"/>
  <c r="E40" i="12820"/>
  <c r="F40" i="12820"/>
  <c r="G40" i="12820"/>
  <c r="H40" i="12820"/>
  <c r="I40" i="12820"/>
  <c r="J40" i="12820"/>
  <c r="K40" i="12820"/>
  <c r="Q40" i="12820"/>
  <c r="T40" i="12820"/>
  <c r="U40" i="12820"/>
  <c r="E41" i="12820"/>
  <c r="F41" i="12820"/>
  <c r="G41" i="12820"/>
  <c r="H41" i="12820"/>
  <c r="I41" i="12820"/>
  <c r="J41" i="12820"/>
  <c r="K41" i="12820"/>
  <c r="Q41" i="12820"/>
  <c r="T41" i="12820"/>
  <c r="U41" i="12820"/>
  <c r="Y41" i="12820"/>
  <c r="E42" i="12820"/>
  <c r="F42" i="12820"/>
  <c r="G42" i="12820"/>
  <c r="H42" i="12820"/>
  <c r="I42" i="12820"/>
  <c r="J42" i="12820"/>
  <c r="K42" i="12820"/>
  <c r="Q42" i="12820"/>
  <c r="T42" i="12820"/>
  <c r="U42" i="12820"/>
  <c r="E43" i="12820"/>
  <c r="F43" i="12820"/>
  <c r="G43" i="12820"/>
  <c r="H43" i="12820"/>
  <c r="I43" i="12820"/>
  <c r="J43" i="12820"/>
  <c r="K43" i="12820"/>
  <c r="Q43" i="12820"/>
  <c r="T43" i="12820"/>
  <c r="U43" i="12820"/>
  <c r="Y43" i="12820"/>
  <c r="E44" i="12820"/>
  <c r="F44" i="12820"/>
  <c r="G44" i="12820"/>
  <c r="H44" i="12820"/>
  <c r="I44" i="12820"/>
  <c r="J44" i="12820"/>
  <c r="K44" i="12820"/>
  <c r="Q44" i="12820"/>
  <c r="T44" i="12820"/>
  <c r="U44" i="12820"/>
  <c r="E45" i="12820"/>
  <c r="F45" i="12820"/>
  <c r="G45" i="12820"/>
  <c r="H45" i="12820"/>
  <c r="I45" i="12820"/>
  <c r="J45" i="12820"/>
  <c r="K45" i="12820"/>
  <c r="Q45" i="12820"/>
  <c r="T45" i="12820"/>
  <c r="U45" i="12820"/>
  <c r="E46" i="12820"/>
  <c r="F46" i="12820"/>
  <c r="G46" i="12820"/>
  <c r="H46" i="12820"/>
  <c r="I46" i="12820"/>
  <c r="J46" i="12820"/>
  <c r="K46" i="12820"/>
  <c r="Q46" i="12820"/>
  <c r="T46" i="12820"/>
  <c r="U46" i="12820"/>
  <c r="E47" i="12820"/>
  <c r="F47" i="12820"/>
  <c r="G47" i="12820"/>
  <c r="H47" i="12820"/>
  <c r="I47" i="12820"/>
  <c r="J47" i="12820"/>
  <c r="K47" i="12820"/>
  <c r="Q47" i="12820"/>
  <c r="T47" i="12820"/>
  <c r="U47" i="12820"/>
  <c r="E48" i="12820"/>
  <c r="F48" i="12820"/>
  <c r="G48" i="12820"/>
  <c r="H48" i="12820"/>
  <c r="I48" i="12820"/>
  <c r="J48" i="12820"/>
  <c r="K48" i="12820"/>
  <c r="E49" i="12820"/>
  <c r="F49" i="12820"/>
  <c r="G49" i="12820"/>
  <c r="H49" i="12820"/>
  <c r="I49" i="12820"/>
  <c r="J49" i="12820"/>
  <c r="K49" i="12820"/>
  <c r="E50" i="12820"/>
  <c r="F50" i="12820"/>
  <c r="G50" i="12820"/>
  <c r="H50" i="12820"/>
  <c r="I50" i="12820"/>
  <c r="J50" i="12820"/>
  <c r="K50" i="12820"/>
  <c r="E51" i="12820"/>
  <c r="F51" i="12820"/>
  <c r="G51" i="12820"/>
  <c r="H51" i="12820"/>
  <c r="I51" i="12820"/>
  <c r="J51" i="12820"/>
  <c r="K51" i="12820"/>
  <c r="E52" i="12820"/>
  <c r="F52" i="12820"/>
  <c r="G52" i="12820"/>
  <c r="H52" i="12820"/>
  <c r="I52" i="12820"/>
  <c r="J52" i="12820"/>
  <c r="K52" i="12820"/>
  <c r="E53" i="12820"/>
  <c r="F53" i="12820"/>
  <c r="G53" i="12820"/>
  <c r="H53" i="12820"/>
  <c r="I53" i="12820"/>
  <c r="J53" i="12820"/>
  <c r="K53" i="12820"/>
  <c r="Q53" i="12820"/>
  <c r="R53" i="12820"/>
  <c r="Q54" i="12820"/>
  <c r="R54" i="12820"/>
  <c r="Q55" i="12820"/>
  <c r="R55" i="12820"/>
  <c r="Q56" i="12820"/>
  <c r="R56" i="12820"/>
  <c r="E58" i="12820"/>
  <c r="F58" i="12820"/>
  <c r="G58" i="12820"/>
  <c r="H58" i="12820"/>
  <c r="I58" i="12820"/>
  <c r="J58" i="12820"/>
  <c r="K58" i="12820"/>
  <c r="Q58" i="12820"/>
  <c r="E59" i="12820"/>
  <c r="F59" i="12820"/>
  <c r="G59" i="12820"/>
  <c r="H59" i="12820"/>
  <c r="I59" i="12820"/>
  <c r="J59" i="12820"/>
  <c r="K59" i="12820"/>
  <c r="E60" i="12820"/>
  <c r="F60" i="12820"/>
  <c r="G60" i="12820"/>
  <c r="H60" i="12820"/>
  <c r="I60" i="12820"/>
  <c r="J60" i="12820"/>
  <c r="K60" i="12820"/>
  <c r="E61" i="12820"/>
  <c r="F61" i="12820"/>
  <c r="G61" i="12820"/>
  <c r="H61" i="12820"/>
  <c r="I61" i="12820"/>
  <c r="J61" i="12820"/>
  <c r="K61" i="12820"/>
  <c r="E62" i="12820"/>
  <c r="F62" i="12820"/>
  <c r="G62" i="12820"/>
  <c r="H62" i="12820"/>
  <c r="I62" i="12820"/>
  <c r="J62" i="12820"/>
  <c r="K62" i="12820"/>
  <c r="E63" i="12820"/>
  <c r="F63" i="12820"/>
  <c r="G63" i="12820"/>
  <c r="H63" i="12820"/>
  <c r="I63" i="12820"/>
  <c r="J63" i="12820"/>
  <c r="K63" i="12820"/>
  <c r="E64" i="12820"/>
  <c r="F64" i="12820"/>
  <c r="G64" i="12820"/>
  <c r="H64" i="12820"/>
  <c r="I64" i="12820"/>
  <c r="J64" i="12820"/>
  <c r="K64" i="12820"/>
  <c r="Q64" i="12820"/>
  <c r="T64" i="12820"/>
  <c r="U64" i="12820"/>
  <c r="E65" i="12820"/>
  <c r="F65" i="12820"/>
  <c r="G65" i="12820"/>
  <c r="H65" i="12820"/>
  <c r="I65" i="12820"/>
  <c r="J65" i="12820"/>
  <c r="K65" i="12820"/>
  <c r="Q65" i="12820"/>
  <c r="T65" i="12820"/>
  <c r="U65" i="12820"/>
  <c r="Y65" i="12820"/>
  <c r="E66" i="12820"/>
  <c r="F66" i="12820"/>
  <c r="G66" i="12820"/>
  <c r="H66" i="12820"/>
  <c r="I66" i="12820"/>
  <c r="J66" i="12820"/>
  <c r="K66" i="12820"/>
  <c r="Q66" i="12820"/>
  <c r="T66" i="12820"/>
  <c r="U66" i="12820"/>
  <c r="E67" i="12820"/>
  <c r="F67" i="12820"/>
  <c r="G67" i="12820"/>
  <c r="H67" i="12820"/>
  <c r="I67" i="12820"/>
  <c r="J67" i="12820"/>
  <c r="K67" i="12820"/>
  <c r="Q67" i="12820"/>
  <c r="T67" i="12820"/>
  <c r="U67" i="12820"/>
  <c r="Y67" i="12820"/>
  <c r="E68" i="12820"/>
  <c r="F68" i="12820"/>
  <c r="G68" i="12820"/>
  <c r="H68" i="12820"/>
  <c r="I68" i="12820"/>
  <c r="J68" i="12820"/>
  <c r="K68" i="12820"/>
  <c r="Q68" i="12820"/>
  <c r="T68" i="12820"/>
  <c r="U68" i="12820"/>
  <c r="E69" i="12820"/>
  <c r="F69" i="12820"/>
  <c r="G69" i="12820"/>
  <c r="H69" i="12820"/>
  <c r="I69" i="12820"/>
  <c r="J69" i="12820"/>
  <c r="K69" i="12820"/>
  <c r="Q69" i="12820"/>
  <c r="T69" i="12820"/>
  <c r="U69" i="12820"/>
  <c r="E70" i="12820"/>
  <c r="F70" i="12820"/>
  <c r="G70" i="12820"/>
  <c r="H70" i="12820"/>
  <c r="I70" i="12820"/>
  <c r="J70" i="12820"/>
  <c r="K70" i="12820"/>
  <c r="Q70" i="12820"/>
  <c r="T70" i="12820"/>
  <c r="U70" i="12820"/>
  <c r="E71" i="12820"/>
  <c r="F71" i="12820"/>
  <c r="G71" i="12820"/>
  <c r="H71" i="12820"/>
  <c r="I71" i="12820"/>
  <c r="J71" i="12820"/>
  <c r="K71" i="12820"/>
  <c r="Q71" i="12820"/>
  <c r="T71" i="12820"/>
  <c r="U71" i="12820"/>
  <c r="E72" i="12820"/>
  <c r="F72" i="12820"/>
  <c r="G72" i="12820"/>
  <c r="H72" i="12820"/>
  <c r="I72" i="12820"/>
  <c r="J72" i="12820"/>
  <c r="K72" i="12820"/>
  <c r="E73" i="12820"/>
  <c r="F73" i="12820"/>
  <c r="G73" i="12820"/>
  <c r="H73" i="12820"/>
  <c r="I73" i="12820"/>
  <c r="J73" i="12820"/>
  <c r="K73" i="12820"/>
  <c r="E74" i="12820"/>
  <c r="F74" i="12820"/>
  <c r="G74" i="12820"/>
  <c r="H74" i="12820"/>
  <c r="I74" i="12820"/>
  <c r="J74" i="12820"/>
  <c r="K74" i="12820"/>
  <c r="E75" i="12820"/>
  <c r="F75" i="12820"/>
  <c r="G75" i="12820"/>
  <c r="H75" i="12820"/>
  <c r="I75" i="12820"/>
  <c r="J75" i="12820"/>
  <c r="K75" i="12820"/>
  <c r="E76" i="12820"/>
  <c r="F76" i="12820"/>
  <c r="G76" i="12820"/>
  <c r="H76" i="12820"/>
  <c r="I76" i="12820"/>
  <c r="J76" i="12820"/>
  <c r="K76" i="12820"/>
  <c r="E77" i="12820"/>
  <c r="F77" i="12820"/>
  <c r="G77" i="12820"/>
  <c r="H77" i="12820"/>
  <c r="I77" i="12820"/>
  <c r="J77" i="12820"/>
  <c r="K77" i="12820"/>
  <c r="Q77" i="12820"/>
  <c r="R77" i="12820"/>
  <c r="E78" i="12820"/>
  <c r="F78" i="12820"/>
  <c r="G78" i="12820"/>
  <c r="H78" i="12820"/>
  <c r="I78" i="12820"/>
  <c r="J78" i="12820"/>
  <c r="K78" i="12820"/>
  <c r="Q78" i="12820"/>
  <c r="R78" i="12820"/>
  <c r="Q79" i="12820"/>
  <c r="R79" i="12820"/>
  <c r="Q80" i="12820"/>
  <c r="R80" i="12820"/>
  <c r="E83" i="12820"/>
  <c r="F83" i="12820"/>
  <c r="G83" i="12820"/>
  <c r="H83" i="12820"/>
  <c r="I83" i="12820"/>
  <c r="J83" i="12820"/>
  <c r="K83" i="12820"/>
  <c r="E84" i="12820"/>
  <c r="F84" i="12820"/>
  <c r="G84" i="12820"/>
  <c r="H84" i="12820"/>
  <c r="I84" i="12820"/>
  <c r="J84" i="12820"/>
  <c r="K84" i="12820"/>
  <c r="R84" i="12820"/>
  <c r="E85" i="12820"/>
  <c r="F85" i="12820"/>
  <c r="G85" i="12820"/>
  <c r="H85" i="12820"/>
  <c r="I85" i="12820"/>
  <c r="J85" i="12820"/>
  <c r="K85" i="12820"/>
  <c r="R85" i="12820"/>
  <c r="E86" i="12820"/>
  <c r="F86" i="12820"/>
  <c r="G86" i="12820"/>
  <c r="H86" i="12820"/>
  <c r="I86" i="12820"/>
  <c r="J86" i="12820"/>
  <c r="K86" i="12820"/>
  <c r="E87" i="12820"/>
  <c r="F87" i="12820"/>
  <c r="G87" i="12820"/>
  <c r="H87" i="12820"/>
  <c r="I87" i="12820"/>
  <c r="J87" i="12820"/>
  <c r="K87" i="12820"/>
  <c r="E88" i="12820"/>
  <c r="F88" i="12820"/>
  <c r="G88" i="12820"/>
  <c r="H88" i="12820"/>
  <c r="I88" i="12820"/>
  <c r="J88" i="12820"/>
  <c r="K88" i="12820"/>
  <c r="E89" i="12820"/>
  <c r="F89" i="12820"/>
  <c r="G89" i="12820"/>
  <c r="H89" i="12820"/>
  <c r="I89" i="12820"/>
  <c r="J89" i="12820"/>
  <c r="K89" i="12820"/>
  <c r="E90" i="12820"/>
  <c r="F90" i="12820"/>
  <c r="G90" i="12820"/>
  <c r="H90" i="12820"/>
  <c r="I90" i="12820"/>
  <c r="J90" i="12820"/>
  <c r="K90" i="12820"/>
  <c r="E91" i="12820"/>
  <c r="F91" i="12820"/>
  <c r="G91" i="12820"/>
  <c r="H91" i="12820"/>
  <c r="I91" i="12820"/>
  <c r="J91" i="12820"/>
  <c r="K91" i="12820"/>
  <c r="E92" i="12820"/>
  <c r="F92" i="12820"/>
  <c r="G92" i="12820"/>
  <c r="H92" i="12820"/>
  <c r="I92" i="12820"/>
  <c r="J92" i="12820"/>
  <c r="K92" i="12820"/>
  <c r="E93" i="12820"/>
  <c r="F93" i="12820"/>
  <c r="G93" i="12820"/>
  <c r="H93" i="12820"/>
  <c r="I93" i="12820"/>
  <c r="J93" i="12820"/>
  <c r="K93" i="12820"/>
  <c r="E94" i="12820"/>
  <c r="F94" i="12820"/>
  <c r="G94" i="12820"/>
  <c r="H94" i="12820"/>
  <c r="I94" i="12820"/>
  <c r="J94" i="12820"/>
  <c r="K94" i="12820"/>
  <c r="E95" i="12820"/>
  <c r="F95" i="12820"/>
  <c r="G95" i="12820"/>
  <c r="H95" i="12820"/>
  <c r="I95" i="12820"/>
  <c r="J95" i="12820"/>
  <c r="K95" i="12820"/>
  <c r="E96" i="12820"/>
  <c r="F96" i="12820"/>
  <c r="G96" i="12820"/>
  <c r="H96" i="12820"/>
  <c r="I96" i="12820"/>
  <c r="J96" i="12820"/>
  <c r="K96" i="12820"/>
  <c r="E97" i="12820"/>
  <c r="F97" i="12820"/>
  <c r="G97" i="12820"/>
  <c r="H97" i="12820"/>
  <c r="I97" i="12820"/>
  <c r="J97" i="12820"/>
  <c r="K97" i="12820"/>
  <c r="E98" i="12820"/>
  <c r="F98" i="12820"/>
  <c r="G98" i="12820"/>
  <c r="H98" i="12820"/>
  <c r="I98" i="12820"/>
  <c r="J98" i="12820"/>
  <c r="K98" i="12820"/>
  <c r="E99" i="12820"/>
  <c r="F99" i="12820"/>
  <c r="G99" i="12820"/>
  <c r="H99" i="12820"/>
  <c r="I99" i="12820"/>
  <c r="J99" i="12820"/>
  <c r="K99" i="12820"/>
  <c r="E100" i="12820"/>
  <c r="F100" i="12820"/>
  <c r="G100" i="12820"/>
  <c r="H100" i="12820"/>
  <c r="I100" i="12820"/>
  <c r="J100" i="12820"/>
  <c r="K100" i="12820"/>
  <c r="E101" i="12820"/>
  <c r="F101" i="12820"/>
  <c r="G101" i="12820"/>
  <c r="H101" i="12820"/>
  <c r="I101" i="12820"/>
  <c r="J101" i="12820"/>
  <c r="K101" i="12820"/>
  <c r="E102" i="12820"/>
  <c r="F102" i="12820"/>
  <c r="G102" i="12820"/>
  <c r="H102" i="12820"/>
  <c r="I102" i="12820"/>
  <c r="J102" i="12820"/>
  <c r="K102" i="12820"/>
  <c r="E103" i="12820"/>
  <c r="F103" i="12820"/>
  <c r="G103" i="12820"/>
  <c r="H103" i="12820"/>
  <c r="I103" i="12820"/>
  <c r="J103" i="12820"/>
  <c r="K103" i="12820"/>
  <c r="E108" i="12820"/>
  <c r="F108" i="12820"/>
  <c r="G108" i="12820"/>
  <c r="H108" i="12820"/>
  <c r="I108" i="12820"/>
  <c r="J108" i="12820"/>
  <c r="K108" i="12820"/>
  <c r="E109" i="12820"/>
  <c r="F109" i="12820"/>
  <c r="G109" i="12820"/>
  <c r="H109" i="12820"/>
  <c r="I109" i="12820"/>
  <c r="J109" i="12820"/>
  <c r="K109" i="12820"/>
  <c r="E110" i="12820"/>
  <c r="F110" i="12820"/>
  <c r="G110" i="12820"/>
  <c r="H110" i="12820"/>
  <c r="I110" i="12820"/>
  <c r="J110" i="12820"/>
  <c r="K110" i="12820"/>
  <c r="E111" i="12820"/>
  <c r="F111" i="12820"/>
  <c r="G111" i="12820"/>
  <c r="H111" i="12820"/>
  <c r="I111" i="12820"/>
  <c r="J111" i="12820"/>
  <c r="K111" i="12820"/>
  <c r="E112" i="12820"/>
  <c r="F112" i="12820"/>
  <c r="G112" i="12820"/>
  <c r="H112" i="12820"/>
  <c r="I112" i="12820"/>
  <c r="J112" i="12820"/>
  <c r="K112" i="12820"/>
  <c r="E113" i="12820"/>
  <c r="F113" i="12820"/>
  <c r="G113" i="12820"/>
  <c r="H113" i="12820"/>
  <c r="I113" i="12820"/>
  <c r="J113" i="12820"/>
  <c r="K113" i="12820"/>
  <c r="E114" i="12820"/>
  <c r="F114" i="12820"/>
  <c r="G114" i="12820"/>
  <c r="H114" i="12820"/>
  <c r="I114" i="12820"/>
  <c r="J114" i="12820"/>
  <c r="K114" i="12820"/>
  <c r="E115" i="12820"/>
  <c r="F115" i="12820"/>
  <c r="G115" i="12820"/>
  <c r="H115" i="12820"/>
  <c r="I115" i="12820"/>
  <c r="J115" i="12820"/>
  <c r="K115" i="12820"/>
  <c r="E116" i="12820"/>
  <c r="F116" i="12820"/>
  <c r="G116" i="12820"/>
  <c r="H116" i="12820"/>
  <c r="I116" i="12820"/>
  <c r="J116" i="12820"/>
  <c r="K116" i="12820"/>
  <c r="E117" i="12820"/>
  <c r="F117" i="12820"/>
  <c r="G117" i="12820"/>
  <c r="H117" i="12820"/>
  <c r="I117" i="12820"/>
  <c r="J117" i="12820"/>
  <c r="K117" i="12820"/>
  <c r="E118" i="12820"/>
  <c r="F118" i="12820"/>
  <c r="G118" i="12820"/>
  <c r="H118" i="12820"/>
  <c r="I118" i="12820"/>
  <c r="J118" i="12820"/>
  <c r="K118" i="12820"/>
  <c r="E119" i="12820"/>
  <c r="F119" i="12820"/>
  <c r="G119" i="12820"/>
  <c r="H119" i="12820"/>
  <c r="I119" i="12820"/>
  <c r="J119" i="12820"/>
  <c r="K119" i="12820"/>
  <c r="E120" i="12820"/>
  <c r="F120" i="12820"/>
  <c r="G120" i="12820"/>
  <c r="H120" i="12820"/>
  <c r="I120" i="12820"/>
  <c r="J120" i="12820"/>
  <c r="K120" i="12820"/>
  <c r="E121" i="12820"/>
  <c r="F121" i="12820"/>
  <c r="G121" i="12820"/>
  <c r="H121" i="12820"/>
  <c r="I121" i="12820"/>
  <c r="J121" i="12820"/>
  <c r="K121" i="12820"/>
  <c r="E122" i="12820"/>
  <c r="F122" i="12820"/>
  <c r="G122" i="12820"/>
  <c r="H122" i="12820"/>
  <c r="I122" i="12820"/>
  <c r="J122" i="12820"/>
  <c r="K122" i="12820"/>
  <c r="E123" i="12820"/>
  <c r="F123" i="12820"/>
  <c r="G123" i="12820"/>
  <c r="H123" i="12820"/>
  <c r="I123" i="12820"/>
  <c r="J123" i="12820"/>
  <c r="K123" i="12820"/>
  <c r="E124" i="12820"/>
  <c r="F124" i="12820"/>
  <c r="G124" i="12820"/>
  <c r="H124" i="12820"/>
  <c r="I124" i="12820"/>
  <c r="J124" i="12820"/>
  <c r="K124" i="12820"/>
  <c r="E125" i="12820"/>
  <c r="F125" i="12820"/>
  <c r="G125" i="12820"/>
  <c r="H125" i="12820"/>
  <c r="I125" i="12820"/>
  <c r="J125" i="12820"/>
  <c r="K125" i="12820"/>
  <c r="E126" i="12820"/>
  <c r="F126" i="12820"/>
  <c r="G126" i="12820"/>
  <c r="H126" i="12820"/>
  <c r="I126" i="12820"/>
  <c r="J126" i="12820"/>
  <c r="K126" i="12820"/>
  <c r="E127" i="12820"/>
  <c r="F127" i="12820"/>
  <c r="G127" i="12820"/>
  <c r="H127" i="12820"/>
  <c r="I127" i="12820"/>
  <c r="J127" i="12820"/>
  <c r="K127" i="12820"/>
  <c r="E128" i="12820"/>
  <c r="F128" i="12820"/>
  <c r="G128" i="12820"/>
  <c r="H128" i="12820"/>
  <c r="I128" i="12820"/>
  <c r="J128" i="12820"/>
  <c r="K128" i="12820"/>
  <c r="E133" i="12820"/>
  <c r="F133" i="12820"/>
  <c r="G133" i="12820"/>
  <c r="H133" i="12820"/>
  <c r="I133" i="12820"/>
  <c r="J133" i="12820"/>
  <c r="K133" i="12820"/>
  <c r="E134" i="12820"/>
  <c r="F134" i="12820"/>
  <c r="G134" i="12820"/>
  <c r="H134" i="12820"/>
  <c r="I134" i="12820"/>
  <c r="J134" i="12820"/>
  <c r="K134" i="12820"/>
  <c r="E135" i="12820"/>
  <c r="F135" i="12820"/>
  <c r="G135" i="12820"/>
  <c r="H135" i="12820"/>
  <c r="I135" i="12820"/>
  <c r="J135" i="12820"/>
  <c r="K135" i="12820"/>
  <c r="E136" i="12820"/>
  <c r="F136" i="12820"/>
  <c r="G136" i="12820"/>
  <c r="H136" i="12820"/>
  <c r="I136" i="12820"/>
  <c r="J136" i="12820"/>
  <c r="K136" i="12820"/>
  <c r="E137" i="12820"/>
  <c r="F137" i="12820"/>
  <c r="G137" i="12820"/>
  <c r="H137" i="12820"/>
  <c r="I137" i="12820"/>
  <c r="J137" i="12820"/>
  <c r="K137" i="12820"/>
  <c r="E138" i="12820"/>
  <c r="F138" i="12820"/>
  <c r="G138" i="12820"/>
  <c r="H138" i="12820"/>
  <c r="I138" i="12820"/>
  <c r="J138" i="12820"/>
  <c r="K138" i="12820"/>
  <c r="E139" i="12820"/>
  <c r="F139" i="12820"/>
  <c r="G139" i="12820"/>
  <c r="H139" i="12820"/>
  <c r="I139" i="12820"/>
  <c r="J139" i="12820"/>
  <c r="K139" i="12820"/>
  <c r="E140" i="12820"/>
  <c r="F140" i="12820"/>
  <c r="G140" i="12820"/>
  <c r="H140" i="12820"/>
  <c r="I140" i="12820"/>
  <c r="J140" i="12820"/>
  <c r="K140" i="12820"/>
  <c r="E141" i="12820"/>
  <c r="F141" i="12820"/>
  <c r="G141" i="12820"/>
  <c r="H141" i="12820"/>
  <c r="I141" i="12820"/>
  <c r="J141" i="12820"/>
  <c r="K141" i="12820"/>
  <c r="E142" i="12820"/>
  <c r="F142" i="12820"/>
  <c r="G142" i="12820"/>
  <c r="H142" i="12820"/>
  <c r="I142" i="12820"/>
  <c r="J142" i="12820"/>
  <c r="K142" i="12820"/>
  <c r="E143" i="12820"/>
  <c r="F143" i="12820"/>
  <c r="G143" i="12820"/>
  <c r="H143" i="12820"/>
  <c r="I143" i="12820"/>
  <c r="J143" i="12820"/>
  <c r="K143" i="12820"/>
  <c r="E144" i="12820"/>
  <c r="F144" i="12820"/>
  <c r="G144" i="12820"/>
  <c r="H144" i="12820"/>
  <c r="I144" i="12820"/>
  <c r="J144" i="12820"/>
  <c r="K144" i="12820"/>
  <c r="E145" i="12820"/>
  <c r="F145" i="12820"/>
  <c r="G145" i="12820"/>
  <c r="H145" i="12820"/>
  <c r="I145" i="12820"/>
  <c r="J145" i="12820"/>
  <c r="K145" i="12820"/>
  <c r="E146" i="12820"/>
  <c r="F146" i="12820"/>
  <c r="G146" i="12820"/>
  <c r="H146" i="12820"/>
  <c r="I146" i="12820"/>
  <c r="J146" i="12820"/>
  <c r="K146" i="12820"/>
  <c r="E147" i="12820"/>
  <c r="F147" i="12820"/>
  <c r="G147" i="12820"/>
  <c r="H147" i="12820"/>
  <c r="I147" i="12820"/>
  <c r="J147" i="12820"/>
  <c r="K147" i="12820"/>
  <c r="E148" i="12820"/>
  <c r="F148" i="12820"/>
  <c r="G148" i="12820"/>
  <c r="H148" i="12820"/>
  <c r="I148" i="12820"/>
  <c r="J148" i="12820"/>
  <c r="K148" i="12820"/>
  <c r="E149" i="12820"/>
  <c r="F149" i="12820"/>
  <c r="G149" i="12820"/>
  <c r="H149" i="12820"/>
  <c r="I149" i="12820"/>
  <c r="J149" i="12820"/>
  <c r="K149" i="12820"/>
  <c r="E150" i="12820"/>
  <c r="F150" i="12820"/>
  <c r="G150" i="12820"/>
  <c r="H150" i="12820"/>
  <c r="I150" i="12820"/>
  <c r="J150" i="12820"/>
  <c r="K150" i="12820"/>
  <c r="E151" i="12820"/>
  <c r="F151" i="12820"/>
  <c r="G151" i="12820"/>
  <c r="H151" i="12820"/>
  <c r="I151" i="12820"/>
  <c r="J151" i="12820"/>
  <c r="K151" i="12820"/>
  <c r="E152" i="12820"/>
  <c r="F152" i="12820"/>
  <c r="G152" i="12820"/>
  <c r="H152" i="12820"/>
  <c r="I152" i="12820"/>
  <c r="J152" i="12820"/>
  <c r="K152" i="12820"/>
  <c r="E153" i="12820"/>
  <c r="F153" i="12820"/>
  <c r="G153" i="12820"/>
  <c r="H153" i="12820"/>
  <c r="I153" i="12820"/>
  <c r="J153" i="12820"/>
  <c r="K153" i="12820"/>
  <c r="G8" i="12821"/>
  <c r="H8" i="12821"/>
  <c r="I8" i="12821"/>
  <c r="J8" i="12821"/>
  <c r="K8" i="12821"/>
  <c r="L8" i="12821"/>
  <c r="M8" i="12821"/>
  <c r="G9" i="12821"/>
  <c r="H9" i="12821"/>
  <c r="I9" i="12821"/>
  <c r="J9" i="12821"/>
  <c r="K9" i="12821"/>
  <c r="L9" i="12821"/>
  <c r="M9" i="12821"/>
  <c r="G10" i="12821"/>
  <c r="H10" i="12821"/>
  <c r="I10" i="12821"/>
  <c r="J10" i="12821"/>
  <c r="K10" i="12821"/>
  <c r="L10" i="12821"/>
  <c r="M10" i="12821"/>
  <c r="G11" i="12821"/>
  <c r="H11" i="12821"/>
  <c r="I11" i="12821"/>
  <c r="J11" i="12821"/>
  <c r="K11" i="12821"/>
  <c r="L11" i="12821"/>
  <c r="M11" i="12821"/>
  <c r="G12" i="12821"/>
  <c r="H12" i="12821"/>
  <c r="I12" i="12821"/>
  <c r="J12" i="12821"/>
  <c r="K12" i="12821"/>
  <c r="L12" i="12821"/>
  <c r="M12" i="12821"/>
  <c r="G13" i="12821"/>
  <c r="H13" i="12821"/>
  <c r="I13" i="12821"/>
  <c r="J13" i="12821"/>
  <c r="K13" i="12821"/>
  <c r="L13" i="12821"/>
  <c r="M13" i="12821"/>
  <c r="G14" i="12821"/>
  <c r="H14" i="12821"/>
  <c r="I14" i="12821"/>
  <c r="J14" i="12821"/>
  <c r="K14" i="12821"/>
  <c r="L14" i="12821"/>
  <c r="M14" i="12821"/>
  <c r="G15" i="12821"/>
  <c r="H15" i="12821"/>
  <c r="I15" i="12821"/>
  <c r="J15" i="12821"/>
  <c r="K15" i="12821"/>
  <c r="L15" i="12821"/>
  <c r="M15" i="12821"/>
  <c r="G16" i="12821"/>
  <c r="H16" i="12821"/>
  <c r="I16" i="12821"/>
  <c r="J16" i="12821"/>
  <c r="K16" i="12821"/>
  <c r="L16" i="12821"/>
  <c r="M16" i="12821"/>
  <c r="G17" i="12821"/>
  <c r="H17" i="12821"/>
  <c r="I17" i="12821"/>
  <c r="J17" i="12821"/>
  <c r="K17" i="12821"/>
  <c r="L17" i="12821"/>
  <c r="M17" i="12821"/>
  <c r="G18" i="12821"/>
  <c r="H18" i="12821"/>
  <c r="I18" i="12821"/>
  <c r="J18" i="12821"/>
  <c r="K18" i="12821"/>
  <c r="L18" i="12821"/>
  <c r="M18" i="12821"/>
  <c r="G19" i="12821"/>
  <c r="H19" i="12821"/>
  <c r="I19" i="12821"/>
  <c r="J19" i="12821"/>
  <c r="K19" i="12821"/>
  <c r="L19" i="12821"/>
  <c r="M19" i="12821"/>
  <c r="G20" i="12821"/>
  <c r="H20" i="12821"/>
  <c r="I20" i="12821"/>
  <c r="J20" i="12821"/>
  <c r="K20" i="12821"/>
  <c r="L20" i="12821"/>
  <c r="M20" i="12821"/>
  <c r="G21" i="12821"/>
  <c r="H21" i="12821"/>
  <c r="I21" i="12821"/>
  <c r="J21" i="12821"/>
  <c r="K21" i="12821"/>
  <c r="L21" i="12821"/>
  <c r="M21" i="12821"/>
  <c r="G22" i="12821"/>
  <c r="H22" i="12821"/>
  <c r="I22" i="12821"/>
  <c r="J22" i="12821"/>
  <c r="K22" i="12821"/>
  <c r="L22" i="12821"/>
  <c r="M22" i="12821"/>
  <c r="G26" i="12821"/>
  <c r="H26" i="12821"/>
  <c r="I26" i="12821"/>
  <c r="J26" i="12821"/>
  <c r="K26" i="12821"/>
  <c r="L26" i="12821"/>
  <c r="M26" i="12821"/>
  <c r="G27" i="12821"/>
  <c r="H27" i="12821"/>
  <c r="I27" i="12821"/>
  <c r="J27" i="12821"/>
  <c r="K27" i="12821"/>
  <c r="L27" i="12821"/>
  <c r="M27" i="12821"/>
  <c r="G28" i="12821"/>
  <c r="H28" i="12821"/>
  <c r="I28" i="12821"/>
  <c r="J28" i="12821"/>
  <c r="K28" i="12821"/>
  <c r="L28" i="12821"/>
  <c r="M28" i="12821"/>
  <c r="G29" i="12821"/>
  <c r="H29" i="12821"/>
  <c r="I29" i="12821"/>
  <c r="J29" i="12821"/>
  <c r="K29" i="12821"/>
  <c r="L29" i="12821"/>
  <c r="M29" i="12821"/>
  <c r="G30" i="12821"/>
  <c r="H30" i="12821"/>
  <c r="I30" i="12821"/>
  <c r="J30" i="12821"/>
  <c r="K30" i="12821"/>
  <c r="L30" i="12821"/>
  <c r="M30" i="12821"/>
  <c r="G31" i="12821"/>
  <c r="H31" i="12821"/>
  <c r="I31" i="12821"/>
  <c r="J31" i="12821"/>
  <c r="K31" i="12821"/>
  <c r="L31" i="12821"/>
  <c r="M31" i="12821"/>
  <c r="G32" i="12821"/>
  <c r="H32" i="12821"/>
  <c r="I32" i="12821"/>
  <c r="J32" i="12821"/>
  <c r="K32" i="12821"/>
  <c r="L32" i="12821"/>
  <c r="M32" i="12821"/>
  <c r="G33" i="12821"/>
  <c r="H33" i="12821"/>
  <c r="I33" i="12821"/>
  <c r="J33" i="12821"/>
  <c r="K33" i="12821"/>
  <c r="L33" i="12821"/>
  <c r="M33" i="12821"/>
  <c r="G34" i="12821"/>
  <c r="H34" i="12821"/>
  <c r="I34" i="12821"/>
  <c r="J34" i="12821"/>
  <c r="K34" i="12821"/>
  <c r="L34" i="12821"/>
  <c r="M34" i="12821"/>
  <c r="G35" i="12821"/>
  <c r="H35" i="12821"/>
  <c r="I35" i="12821"/>
  <c r="J35" i="12821"/>
  <c r="K35" i="12821"/>
  <c r="L35" i="12821"/>
  <c r="M35" i="12821"/>
  <c r="G36" i="12821"/>
  <c r="H36" i="12821"/>
  <c r="I36" i="12821"/>
  <c r="J36" i="12821"/>
  <c r="K36" i="12821"/>
  <c r="L36" i="12821"/>
  <c r="M36" i="12821"/>
  <c r="G37" i="12821"/>
  <c r="H37" i="12821"/>
  <c r="I37" i="12821"/>
  <c r="J37" i="12821"/>
  <c r="K37" i="12821"/>
  <c r="L37" i="12821"/>
  <c r="M37" i="12821"/>
  <c r="G38" i="12821"/>
  <c r="H38" i="12821"/>
  <c r="I38" i="12821"/>
  <c r="J38" i="12821"/>
  <c r="K38" i="12821"/>
  <c r="L38" i="12821"/>
  <c r="M38" i="12821"/>
  <c r="G39" i="12821"/>
  <c r="H39" i="12821"/>
  <c r="I39" i="12821"/>
  <c r="J39" i="12821"/>
  <c r="K39" i="12821"/>
  <c r="L39" i="12821"/>
  <c r="M39" i="12821"/>
  <c r="G40" i="12821"/>
  <c r="H40" i="12821"/>
  <c r="I40" i="12821"/>
  <c r="J40" i="12821"/>
  <c r="K40" i="12821"/>
  <c r="L40" i="12821"/>
  <c r="M40" i="12821"/>
  <c r="G44" i="12821"/>
  <c r="H44" i="12821"/>
  <c r="I44" i="12821"/>
  <c r="J44" i="12821"/>
  <c r="K44" i="12821"/>
  <c r="L44" i="12821"/>
  <c r="M44" i="12821"/>
  <c r="G45" i="12821"/>
  <c r="H45" i="12821"/>
  <c r="I45" i="12821"/>
  <c r="J45" i="12821"/>
  <c r="K45" i="12821"/>
  <c r="L45" i="12821"/>
  <c r="M45" i="12821"/>
  <c r="G46" i="12821"/>
  <c r="H46" i="12821"/>
  <c r="I46" i="12821"/>
  <c r="J46" i="12821"/>
  <c r="K46" i="12821"/>
  <c r="L46" i="12821"/>
  <c r="M46" i="12821"/>
  <c r="G47" i="12821"/>
  <c r="H47" i="12821"/>
  <c r="I47" i="12821"/>
  <c r="J47" i="12821"/>
  <c r="K47" i="12821"/>
  <c r="L47" i="12821"/>
  <c r="M47" i="12821"/>
  <c r="G48" i="12821"/>
  <c r="H48" i="12821"/>
  <c r="I48" i="12821"/>
  <c r="J48" i="12821"/>
  <c r="K48" i="12821"/>
  <c r="L48" i="12821"/>
  <c r="M48" i="12821"/>
  <c r="G49" i="12821"/>
  <c r="H49" i="12821"/>
  <c r="I49" i="12821"/>
  <c r="J49" i="12821"/>
  <c r="K49" i="12821"/>
  <c r="L49" i="12821"/>
  <c r="M49" i="12821"/>
  <c r="G50" i="12821"/>
  <c r="H50" i="12821"/>
  <c r="I50" i="12821"/>
  <c r="J50" i="12821"/>
  <c r="K50" i="12821"/>
  <c r="L50" i="12821"/>
  <c r="M50" i="12821"/>
  <c r="G51" i="12821"/>
  <c r="H51" i="12821"/>
  <c r="I51" i="12821"/>
  <c r="J51" i="12821"/>
  <c r="K51" i="12821"/>
  <c r="L51" i="12821"/>
  <c r="M51" i="12821"/>
  <c r="G52" i="12821"/>
  <c r="H52" i="12821"/>
  <c r="I52" i="12821"/>
  <c r="J52" i="12821"/>
  <c r="K52" i="12821"/>
  <c r="L52" i="12821"/>
  <c r="M52" i="12821"/>
  <c r="G53" i="12821"/>
  <c r="H53" i="12821"/>
  <c r="I53" i="12821"/>
  <c r="J53" i="12821"/>
  <c r="K53" i="12821"/>
  <c r="L53" i="12821"/>
  <c r="M53" i="12821"/>
  <c r="G54" i="12821"/>
  <c r="H54" i="12821"/>
  <c r="I54" i="12821"/>
  <c r="J54" i="12821"/>
  <c r="K54" i="12821"/>
  <c r="L54" i="12821"/>
  <c r="M54" i="12821"/>
  <c r="G55" i="12821"/>
  <c r="H55" i="12821"/>
  <c r="I55" i="12821"/>
  <c r="J55" i="12821"/>
  <c r="K55" i="12821"/>
  <c r="L55" i="12821"/>
  <c r="M55" i="12821"/>
  <c r="G56" i="12821"/>
  <c r="H56" i="12821"/>
  <c r="I56" i="12821"/>
  <c r="J56" i="12821"/>
  <c r="K56" i="12821"/>
  <c r="L56" i="12821"/>
  <c r="M56" i="12821"/>
  <c r="G57" i="12821"/>
  <c r="H57" i="12821"/>
  <c r="I57" i="12821"/>
  <c r="J57" i="12821"/>
  <c r="K57" i="12821"/>
  <c r="L57" i="12821"/>
  <c r="M57" i="12821"/>
  <c r="G58" i="12821"/>
  <c r="H58" i="12821"/>
  <c r="I58" i="12821"/>
  <c r="J58" i="12821"/>
  <c r="K58" i="12821"/>
  <c r="L58" i="12821"/>
  <c r="M58" i="12821"/>
  <c r="G62" i="12821"/>
  <c r="H62" i="12821"/>
  <c r="I62" i="12821"/>
  <c r="J62" i="12821"/>
  <c r="K62" i="12821"/>
  <c r="L62" i="12821"/>
  <c r="M62" i="12821"/>
  <c r="G63" i="12821"/>
  <c r="H63" i="12821"/>
  <c r="I63" i="12821"/>
  <c r="J63" i="12821"/>
  <c r="K63" i="12821"/>
  <c r="L63" i="12821"/>
  <c r="M63" i="12821"/>
  <c r="G64" i="12821"/>
  <c r="H64" i="12821"/>
  <c r="I64" i="12821"/>
  <c r="J64" i="12821"/>
  <c r="K64" i="12821"/>
  <c r="L64" i="12821"/>
  <c r="M64" i="12821"/>
  <c r="G65" i="12821"/>
  <c r="H65" i="12821"/>
  <c r="I65" i="12821"/>
  <c r="J65" i="12821"/>
  <c r="K65" i="12821"/>
  <c r="L65" i="12821"/>
  <c r="M65" i="12821"/>
  <c r="G66" i="12821"/>
  <c r="H66" i="12821"/>
  <c r="I66" i="12821"/>
  <c r="J66" i="12821"/>
  <c r="K66" i="12821"/>
  <c r="L66" i="12821"/>
  <c r="M66" i="12821"/>
  <c r="G67" i="12821"/>
  <c r="H67" i="12821"/>
  <c r="I67" i="12821"/>
  <c r="J67" i="12821"/>
  <c r="K67" i="12821"/>
  <c r="L67" i="12821"/>
  <c r="M67" i="12821"/>
  <c r="G68" i="12821"/>
  <c r="H68" i="12821"/>
  <c r="I68" i="12821"/>
  <c r="J68" i="12821"/>
  <c r="K68" i="12821"/>
  <c r="L68" i="12821"/>
  <c r="M68" i="12821"/>
  <c r="G69" i="12821"/>
  <c r="H69" i="12821"/>
  <c r="I69" i="12821"/>
  <c r="J69" i="12821"/>
  <c r="K69" i="12821"/>
  <c r="L69" i="12821"/>
  <c r="M69" i="12821"/>
  <c r="G70" i="12821"/>
  <c r="H70" i="12821"/>
  <c r="I70" i="12821"/>
  <c r="J70" i="12821"/>
  <c r="K70" i="12821"/>
  <c r="L70" i="12821"/>
  <c r="M70" i="12821"/>
  <c r="G71" i="12821"/>
  <c r="H71" i="12821"/>
  <c r="I71" i="12821"/>
  <c r="J71" i="12821"/>
  <c r="K71" i="12821"/>
  <c r="L71" i="12821"/>
  <c r="M71" i="12821"/>
  <c r="G72" i="12821"/>
  <c r="H72" i="12821"/>
  <c r="I72" i="12821"/>
  <c r="J72" i="12821"/>
  <c r="K72" i="12821"/>
  <c r="L72" i="12821"/>
  <c r="M72" i="12821"/>
  <c r="G73" i="12821"/>
  <c r="H73" i="12821"/>
  <c r="I73" i="12821"/>
  <c r="J73" i="12821"/>
  <c r="K73" i="12821"/>
  <c r="L73" i="12821"/>
  <c r="M73" i="12821"/>
  <c r="G74" i="12821"/>
  <c r="H74" i="12821"/>
  <c r="I74" i="12821"/>
  <c r="J74" i="12821"/>
  <c r="K74" i="12821"/>
  <c r="L74" i="12821"/>
  <c r="M74" i="12821"/>
  <c r="G75" i="12821"/>
  <c r="H75" i="12821"/>
  <c r="I75" i="12821"/>
  <c r="J75" i="12821"/>
  <c r="K75" i="12821"/>
  <c r="L75" i="12821"/>
  <c r="M75" i="12821"/>
  <c r="G76" i="12821"/>
  <c r="H76" i="12821"/>
  <c r="I76" i="12821"/>
  <c r="J76" i="12821"/>
  <c r="K76" i="12821"/>
  <c r="L76" i="12821"/>
  <c r="M76" i="12821"/>
  <c r="G80" i="12821"/>
  <c r="H80" i="12821"/>
  <c r="I80" i="12821"/>
  <c r="J80" i="12821"/>
  <c r="K80" i="12821"/>
  <c r="L80" i="12821"/>
  <c r="M80" i="12821"/>
  <c r="G81" i="12821"/>
  <c r="H81" i="12821"/>
  <c r="I81" i="12821"/>
  <c r="J81" i="12821"/>
  <c r="K81" i="12821"/>
  <c r="L81" i="12821"/>
  <c r="M81" i="12821"/>
  <c r="G82" i="12821"/>
  <c r="H82" i="12821"/>
  <c r="I82" i="12821"/>
  <c r="J82" i="12821"/>
  <c r="K82" i="12821"/>
  <c r="L82" i="12821"/>
  <c r="M82" i="12821"/>
  <c r="G83" i="12821"/>
  <c r="H83" i="12821"/>
  <c r="I83" i="12821"/>
  <c r="J83" i="12821"/>
  <c r="K83" i="12821"/>
  <c r="L83" i="12821"/>
  <c r="M83" i="12821"/>
  <c r="G84" i="12821"/>
  <c r="H84" i="12821"/>
  <c r="I84" i="12821"/>
  <c r="J84" i="12821"/>
  <c r="K84" i="12821"/>
  <c r="L84" i="12821"/>
  <c r="M84" i="12821"/>
  <c r="G85" i="12821"/>
  <c r="H85" i="12821"/>
  <c r="I85" i="12821"/>
  <c r="J85" i="12821"/>
  <c r="K85" i="12821"/>
  <c r="L85" i="12821"/>
  <c r="M85" i="12821"/>
  <c r="G86" i="12821"/>
  <c r="H86" i="12821"/>
  <c r="I86" i="12821"/>
  <c r="J86" i="12821"/>
  <c r="K86" i="12821"/>
  <c r="L86" i="12821"/>
  <c r="M86" i="12821"/>
  <c r="G87" i="12821"/>
  <c r="H87" i="12821"/>
  <c r="I87" i="12821"/>
  <c r="J87" i="12821"/>
  <c r="K87" i="12821"/>
  <c r="L87" i="12821"/>
  <c r="M87" i="12821"/>
  <c r="G88" i="12821"/>
  <c r="H88" i="12821"/>
  <c r="I88" i="12821"/>
  <c r="J88" i="12821"/>
  <c r="K88" i="12821"/>
  <c r="L88" i="12821"/>
  <c r="M88" i="12821"/>
  <c r="G89" i="12821"/>
  <c r="H89" i="12821"/>
  <c r="I89" i="12821"/>
  <c r="J89" i="12821"/>
  <c r="K89" i="12821"/>
  <c r="L89" i="12821"/>
  <c r="M89" i="12821"/>
  <c r="G90" i="12821"/>
  <c r="H90" i="12821"/>
  <c r="I90" i="12821"/>
  <c r="J90" i="12821"/>
  <c r="K90" i="12821"/>
  <c r="L90" i="12821"/>
  <c r="M90" i="12821"/>
  <c r="G91" i="12821"/>
  <c r="H91" i="12821"/>
  <c r="I91" i="12821"/>
  <c r="J91" i="12821"/>
  <c r="K91" i="12821"/>
  <c r="L91" i="12821"/>
  <c r="M91" i="12821"/>
  <c r="G92" i="12821"/>
  <c r="H92" i="12821"/>
  <c r="I92" i="12821"/>
  <c r="J92" i="12821"/>
  <c r="K92" i="12821"/>
  <c r="L92" i="12821"/>
  <c r="M92" i="12821"/>
  <c r="G93" i="12821"/>
  <c r="H93" i="12821"/>
  <c r="I93" i="12821"/>
  <c r="J93" i="12821"/>
  <c r="K93" i="12821"/>
  <c r="L93" i="12821"/>
  <c r="M93" i="12821"/>
  <c r="G94" i="12821"/>
  <c r="H94" i="12821"/>
  <c r="I94" i="12821"/>
  <c r="J94" i="12821"/>
  <c r="K94" i="12821"/>
  <c r="L94" i="12821"/>
  <c r="M94" i="12821"/>
  <c r="G98" i="12821"/>
  <c r="H98" i="12821"/>
  <c r="I98" i="12821"/>
  <c r="J98" i="12821"/>
  <c r="K98" i="12821"/>
  <c r="L98" i="12821"/>
  <c r="M98" i="12821"/>
  <c r="G99" i="12821"/>
  <c r="H99" i="12821"/>
  <c r="I99" i="12821"/>
  <c r="J99" i="12821"/>
  <c r="K99" i="12821"/>
  <c r="L99" i="12821"/>
  <c r="M99" i="12821"/>
  <c r="G100" i="12821"/>
  <c r="H100" i="12821"/>
  <c r="I100" i="12821"/>
  <c r="J100" i="12821"/>
  <c r="K100" i="12821"/>
  <c r="L100" i="12821"/>
  <c r="M100" i="12821"/>
  <c r="G101" i="12821"/>
  <c r="H101" i="12821"/>
  <c r="I101" i="12821"/>
  <c r="J101" i="12821"/>
  <c r="K101" i="12821"/>
  <c r="L101" i="12821"/>
  <c r="M101" i="12821"/>
  <c r="G102" i="12821"/>
  <c r="H102" i="12821"/>
  <c r="I102" i="12821"/>
  <c r="J102" i="12821"/>
  <c r="K102" i="12821"/>
  <c r="L102" i="12821"/>
  <c r="M102" i="12821"/>
  <c r="G103" i="12821"/>
  <c r="H103" i="12821"/>
  <c r="I103" i="12821"/>
  <c r="J103" i="12821"/>
  <c r="K103" i="12821"/>
  <c r="L103" i="12821"/>
  <c r="M103" i="12821"/>
  <c r="G104" i="12821"/>
  <c r="H104" i="12821"/>
  <c r="I104" i="12821"/>
  <c r="J104" i="12821"/>
  <c r="K104" i="12821"/>
  <c r="L104" i="12821"/>
  <c r="M104" i="12821"/>
  <c r="S104" i="12821"/>
  <c r="G105" i="12821"/>
  <c r="H105" i="12821"/>
  <c r="I105" i="12821"/>
  <c r="J105" i="12821"/>
  <c r="K105" i="12821"/>
  <c r="L105" i="12821"/>
  <c r="M105" i="12821"/>
  <c r="S105" i="12821"/>
  <c r="G106" i="12821"/>
  <c r="H106" i="12821"/>
  <c r="I106" i="12821"/>
  <c r="J106" i="12821"/>
  <c r="K106" i="12821"/>
  <c r="L106" i="12821"/>
  <c r="M106" i="12821"/>
  <c r="S106" i="12821"/>
  <c r="U106" i="12821"/>
  <c r="V106" i="12821" a="1"/>
  <c r="V106" i="12821"/>
  <c r="G107" i="12821"/>
  <c r="H107" i="12821"/>
  <c r="I107" i="12821"/>
  <c r="J107" i="12821"/>
  <c r="K107" i="12821"/>
  <c r="L107" i="12821"/>
  <c r="M107" i="12821"/>
  <c r="S107" i="12821"/>
  <c r="U107" i="12821" a="1"/>
  <c r="U107" i="12821"/>
  <c r="V107" i="12821" a="1"/>
  <c r="V107" i="12821"/>
  <c r="G108" i="12821"/>
  <c r="H108" i="12821"/>
  <c r="I108" i="12821"/>
  <c r="J108" i="12821"/>
  <c r="K108" i="12821"/>
  <c r="L108" i="12821"/>
  <c r="M108" i="12821"/>
  <c r="S108" i="12821"/>
  <c r="U108" i="12821" a="1"/>
  <c r="U108" i="12821"/>
  <c r="V108" i="12821" a="1"/>
  <c r="V108" i="12821"/>
  <c r="G109" i="12821"/>
  <c r="H109" i="12821"/>
  <c r="I109" i="12821"/>
  <c r="J109" i="12821"/>
  <c r="K109" i="12821"/>
  <c r="L109" i="12821"/>
  <c r="M109" i="12821"/>
  <c r="S109" i="12821"/>
  <c r="U109" i="12821" a="1"/>
  <c r="U109" i="12821"/>
  <c r="V109" i="12821" a="1"/>
  <c r="V109" i="12821"/>
  <c r="G110" i="12821"/>
  <c r="H110" i="12821"/>
  <c r="I110" i="12821"/>
  <c r="J110" i="12821"/>
  <c r="K110" i="12821"/>
  <c r="L110" i="12821"/>
  <c r="M110" i="12821"/>
  <c r="G111" i="12821"/>
  <c r="H111" i="12821"/>
  <c r="I111" i="12821"/>
  <c r="J111" i="12821"/>
  <c r="K111" i="12821"/>
  <c r="L111" i="12821"/>
  <c r="M111" i="12821"/>
  <c r="G112" i="12821"/>
  <c r="H112" i="12821"/>
  <c r="I112" i="12821"/>
  <c r="J112" i="12821"/>
  <c r="K112" i="12821"/>
  <c r="L112" i="12821"/>
  <c r="M112" i="12821"/>
  <c r="S115" i="12821"/>
  <c r="V115" i="12821"/>
  <c r="W115" i="12821"/>
  <c r="S116" i="12821"/>
  <c r="V116" i="12821"/>
  <c r="W116" i="12821"/>
  <c r="S117" i="12821"/>
  <c r="V117" i="12821"/>
  <c r="W117" i="12821"/>
  <c r="S118" i="12821"/>
  <c r="V118" i="12821"/>
  <c r="W118" i="12821"/>
  <c r="S119" i="12821"/>
  <c r="V119" i="12821"/>
  <c r="W119" i="12821"/>
  <c r="S120" i="12821"/>
  <c r="V120" i="12821"/>
  <c r="W120" i="12821"/>
  <c r="S121" i="12821"/>
  <c r="V121" i="12821"/>
  <c r="W121" i="12821"/>
  <c r="S122" i="12821"/>
  <c r="V122" i="12821"/>
  <c r="W122" i="12821"/>
  <c r="S123" i="12821"/>
  <c r="V123" i="12821"/>
  <c r="W123" i="12821"/>
  <c r="AF123" i="12821"/>
  <c r="S124" i="12821"/>
  <c r="V124" i="12821"/>
  <c r="W124" i="12821"/>
  <c r="S125" i="12821"/>
  <c r="V125" i="12821"/>
  <c r="W125" i="12821"/>
  <c r="AF125" i="12821"/>
  <c r="S133" i="12821"/>
  <c r="T133" i="12821"/>
  <c r="S134" i="12821"/>
  <c r="T134" i="12821"/>
  <c r="S135" i="12821"/>
  <c r="T135" i="12821"/>
  <c r="S136" i="12821"/>
  <c r="T136" i="12821"/>
  <c r="S137" i="12821"/>
  <c r="T137" i="12821"/>
  <c r="S138" i="12821"/>
  <c r="T138" i="12821"/>
  <c r="S139" i="12821"/>
  <c r="T139" i="12821"/>
  <c r="S140" i="12821"/>
  <c r="T140" i="12821"/>
  <c r="S141" i="12821"/>
  <c r="T141" i="12821"/>
  <c r="S142" i="12821"/>
  <c r="T142" i="12821"/>
  <c r="S143" i="12821"/>
  <c r="T143" i="12821"/>
  <c r="S149" i="12821"/>
  <c r="T149" i="12821"/>
  <c r="S150" i="12821"/>
  <c r="T150" i="12821"/>
  <c r="S151" i="12821"/>
  <c r="T151" i="12821"/>
  <c r="S152" i="12821"/>
  <c r="T152" i="12821"/>
  <c r="S153" i="12821"/>
  <c r="T153" i="12821"/>
  <c r="S154" i="12821"/>
  <c r="T154" i="12821"/>
  <c r="S155" i="12821"/>
  <c r="T155" i="12821"/>
  <c r="S156" i="12821"/>
  <c r="T156" i="12821"/>
  <c r="S157" i="12821"/>
  <c r="T157" i="12821"/>
  <c r="S158" i="12821"/>
  <c r="T158" i="12821"/>
  <c r="S159" i="12821"/>
  <c r="T159" i="12821"/>
  <c r="S165" i="12821"/>
  <c r="T165" i="12821"/>
  <c r="S166" i="12821"/>
  <c r="T166" i="12821"/>
  <c r="S167" i="12821"/>
  <c r="T167" i="12821"/>
  <c r="S168" i="12821"/>
  <c r="T168" i="12821"/>
  <c r="S169" i="12821"/>
  <c r="T169" i="12821"/>
  <c r="S170" i="12821"/>
  <c r="T170" i="12821"/>
  <c r="S171" i="12821"/>
  <c r="T171" i="12821"/>
  <c r="S172" i="12821"/>
  <c r="T172" i="12821"/>
  <c r="S173" i="12821"/>
  <c r="T173" i="12821"/>
  <c r="S174" i="12821"/>
  <c r="T174" i="12821"/>
  <c r="S175" i="12821"/>
  <c r="T175" i="12821"/>
  <c r="S181" i="12821"/>
  <c r="S182" i="12821"/>
  <c r="S183" i="12821"/>
  <c r="U183" i="12821"/>
  <c r="V183" i="12821" a="1"/>
  <c r="V183" i="12821"/>
  <c r="S184" i="12821"/>
  <c r="U184" i="12821" a="1"/>
  <c r="U184" i="12821"/>
  <c r="V184" i="12821" a="1"/>
  <c r="V184" i="12821"/>
  <c r="S185" i="12821"/>
  <c r="U185" i="12821" a="1"/>
  <c r="U185" i="12821"/>
  <c r="V185" i="12821" a="1"/>
  <c r="V185" i="12821"/>
  <c r="S186" i="12821"/>
  <c r="U186" i="12821" a="1"/>
  <c r="U186" i="12821"/>
  <c r="V186" i="12821" a="1"/>
  <c r="V186" i="12821"/>
  <c r="S192" i="12821"/>
  <c r="V192" i="12821"/>
  <c r="W192" i="12821"/>
  <c r="X192" i="12821"/>
  <c r="Y192" i="12821" a="1"/>
  <c r="Y192" i="12821"/>
  <c r="S193" i="12821"/>
  <c r="V193" i="12821"/>
  <c r="W193" i="12821"/>
  <c r="X193" i="12821"/>
  <c r="Y193" i="12821" a="1"/>
  <c r="Y193" i="12821"/>
  <c r="S194" i="12821"/>
  <c r="V194" i="12821"/>
  <c r="W194" i="12821"/>
  <c r="X194" i="12821"/>
  <c r="Y194" i="12821" a="1"/>
  <c r="Y194" i="12821"/>
  <c r="S195" i="12821"/>
  <c r="V195" i="12821"/>
  <c r="W195" i="12821"/>
  <c r="X195" i="12821"/>
  <c r="Y195" i="12821" a="1"/>
  <c r="Y195" i="12821"/>
  <c r="S196" i="12821"/>
  <c r="V196" i="12821"/>
  <c r="W196" i="12821"/>
  <c r="S197" i="12821"/>
  <c r="V197" i="12821"/>
  <c r="W197" i="12821"/>
  <c r="S198" i="12821"/>
  <c r="V198" i="12821"/>
  <c r="W198" i="12821"/>
  <c r="S199" i="12821"/>
  <c r="V199" i="12821"/>
  <c r="W199" i="12821"/>
  <c r="X199" i="12821"/>
  <c r="Y199" i="12821"/>
  <c r="S200" i="12821"/>
  <c r="V200" i="12821"/>
  <c r="W200" i="12821"/>
  <c r="X200" i="12821"/>
  <c r="Y200" i="12821"/>
  <c r="AF200" i="12821"/>
  <c r="S201" i="12821"/>
  <c r="V201" i="12821"/>
  <c r="W201" i="12821"/>
  <c r="X201" i="12821" a="1"/>
  <c r="X201" i="12821"/>
  <c r="Y201" i="12821"/>
  <c r="S202" i="12821"/>
  <c r="V202" i="12821"/>
  <c r="W202" i="12821"/>
  <c r="X202" i="12821" a="1"/>
  <c r="X202" i="12821"/>
  <c r="Y202" i="12821"/>
  <c r="AF202" i="12821"/>
  <c r="S210" i="12821"/>
  <c r="T210" i="12821"/>
  <c r="S211" i="12821"/>
  <c r="T211" i="12821"/>
  <c r="S212" i="12821"/>
  <c r="T212" i="12821"/>
  <c r="S213" i="12821"/>
  <c r="T213" i="12821"/>
  <c r="S214" i="12821"/>
  <c r="T214" i="12821"/>
  <c r="S215" i="12821"/>
  <c r="T215" i="12821"/>
  <c r="S216" i="12821"/>
  <c r="T216" i="12821"/>
  <c r="S217" i="12821"/>
  <c r="T217" i="12821"/>
  <c r="S218" i="12821"/>
  <c r="T218" i="12821"/>
  <c r="S219" i="12821"/>
  <c r="T219" i="12821"/>
  <c r="S220" i="12821"/>
  <c r="T220" i="12821"/>
  <c r="S226" i="12821"/>
  <c r="T226" i="12821"/>
  <c r="S227" i="12821"/>
  <c r="T227" i="12821"/>
  <c r="S228" i="12821"/>
  <c r="T228" i="12821"/>
  <c r="S229" i="12821"/>
  <c r="T229" i="12821"/>
  <c r="S230" i="12821"/>
  <c r="T230" i="12821"/>
  <c r="S231" i="12821"/>
  <c r="T231" i="12821"/>
  <c r="S232" i="12821"/>
  <c r="T232" i="12821"/>
  <c r="S233" i="12821"/>
  <c r="T233" i="12821"/>
  <c r="S234" i="12821"/>
  <c r="T234" i="12821"/>
  <c r="S235" i="12821"/>
  <c r="T235" i="12821"/>
  <c r="S236" i="12821"/>
  <c r="T236" i="12821"/>
  <c r="S242" i="12821"/>
  <c r="T242" i="12821"/>
  <c r="S243" i="12821"/>
  <c r="T243" i="12821"/>
  <c r="S244" i="12821"/>
  <c r="T244" i="12821"/>
  <c r="S245" i="12821"/>
  <c r="T245" i="12821"/>
  <c r="S246" i="12821"/>
  <c r="T246" i="12821"/>
  <c r="S247" i="12821"/>
  <c r="T247" i="12821"/>
  <c r="S248" i="12821"/>
  <c r="T248" i="12821"/>
  <c r="S249" i="12821"/>
  <c r="T249" i="12821"/>
  <c r="S250" i="12821"/>
  <c r="T250" i="12821"/>
  <c r="S251" i="12821"/>
  <c r="T251" i="12821"/>
  <c r="S252" i="12821"/>
  <c r="T252" i="12821"/>
  <c r="T260" i="12821"/>
  <c r="T261" i="12821"/>
  <c r="F8" i="12822"/>
  <c r="G8" i="12822"/>
  <c r="H8" i="12822"/>
  <c r="I8" i="12822"/>
  <c r="J8" i="12822"/>
  <c r="K8" i="12822"/>
  <c r="L8" i="12822"/>
  <c r="F9" i="12822"/>
  <c r="G9" i="12822"/>
  <c r="H9" i="12822"/>
  <c r="I9" i="12822"/>
  <c r="J9" i="12822"/>
  <c r="K9" i="12822"/>
  <c r="L9" i="12822"/>
  <c r="F10" i="12822"/>
  <c r="G10" i="12822"/>
  <c r="H10" i="12822"/>
  <c r="I10" i="12822"/>
  <c r="J10" i="12822"/>
  <c r="K10" i="12822"/>
  <c r="L10" i="12822"/>
  <c r="F11" i="12822"/>
  <c r="G11" i="12822"/>
  <c r="H11" i="12822"/>
  <c r="I11" i="12822"/>
  <c r="J11" i="12822"/>
  <c r="K11" i="12822"/>
  <c r="L11" i="12822"/>
  <c r="F12" i="12822"/>
  <c r="G12" i="12822"/>
  <c r="H12" i="12822"/>
  <c r="I12" i="12822"/>
  <c r="J12" i="12822"/>
  <c r="K12" i="12822"/>
  <c r="L12" i="12822"/>
  <c r="F13" i="12822"/>
  <c r="G13" i="12822"/>
  <c r="H13" i="12822"/>
  <c r="I13" i="12822"/>
  <c r="J13" i="12822"/>
  <c r="K13" i="12822"/>
  <c r="L13" i="12822"/>
  <c r="F14" i="12822"/>
  <c r="G14" i="12822"/>
  <c r="H14" i="12822"/>
  <c r="I14" i="12822"/>
  <c r="J14" i="12822"/>
  <c r="K14" i="12822"/>
  <c r="L14" i="12822"/>
  <c r="F15" i="12822"/>
  <c r="G15" i="12822"/>
  <c r="H15" i="12822"/>
  <c r="I15" i="12822"/>
  <c r="J15" i="12822"/>
  <c r="K15" i="12822"/>
  <c r="L15" i="12822"/>
  <c r="F16" i="12822"/>
  <c r="G16" i="12822"/>
  <c r="H16" i="12822"/>
  <c r="I16" i="12822"/>
  <c r="J16" i="12822"/>
  <c r="K16" i="12822"/>
  <c r="L16" i="12822"/>
  <c r="F17" i="12822"/>
  <c r="G17" i="12822"/>
  <c r="H17" i="12822"/>
  <c r="I17" i="12822"/>
  <c r="J17" i="12822"/>
  <c r="K17" i="12822"/>
  <c r="L17" i="12822"/>
  <c r="F18" i="12822"/>
  <c r="G18" i="12822"/>
  <c r="H18" i="12822"/>
  <c r="I18" i="12822"/>
  <c r="J18" i="12822"/>
  <c r="K18" i="12822"/>
  <c r="L18" i="12822"/>
  <c r="F19" i="12822"/>
  <c r="G19" i="12822"/>
  <c r="H19" i="12822"/>
  <c r="I19" i="12822"/>
  <c r="J19" i="12822"/>
  <c r="K19" i="12822"/>
  <c r="L19" i="12822"/>
  <c r="F20" i="12822"/>
  <c r="G20" i="12822"/>
  <c r="H20" i="12822"/>
  <c r="I20" i="12822"/>
  <c r="J20" i="12822"/>
  <c r="K20" i="12822"/>
  <c r="L20" i="12822"/>
  <c r="F21" i="12822"/>
  <c r="G21" i="12822"/>
  <c r="H21" i="12822"/>
  <c r="I21" i="12822"/>
  <c r="J21" i="12822"/>
  <c r="K21" i="12822"/>
  <c r="L21" i="12822"/>
  <c r="F22" i="12822"/>
  <c r="G22" i="12822"/>
  <c r="H22" i="12822"/>
  <c r="I22" i="12822"/>
  <c r="J22" i="12822"/>
  <c r="K22" i="12822"/>
  <c r="L22" i="12822"/>
  <c r="F23" i="12822"/>
  <c r="G23" i="12822"/>
  <c r="H23" i="12822"/>
  <c r="I23" i="12822"/>
  <c r="J23" i="12822"/>
  <c r="K23" i="12822"/>
  <c r="L23" i="12822"/>
  <c r="F24" i="12822"/>
  <c r="G24" i="12822"/>
  <c r="H24" i="12822"/>
  <c r="I24" i="12822"/>
  <c r="J24" i="12822"/>
  <c r="K24" i="12822"/>
  <c r="L24" i="12822"/>
  <c r="F25" i="12822"/>
  <c r="G25" i="12822"/>
  <c r="H25" i="12822"/>
  <c r="I25" i="12822"/>
  <c r="J25" i="12822"/>
  <c r="K25" i="12822"/>
  <c r="L25" i="12822"/>
  <c r="F26" i="12822"/>
  <c r="G26" i="12822"/>
  <c r="H26" i="12822"/>
  <c r="I26" i="12822"/>
  <c r="J26" i="12822"/>
  <c r="K26" i="12822"/>
  <c r="L26" i="12822"/>
  <c r="F27" i="12822"/>
  <c r="G27" i="12822"/>
  <c r="H27" i="12822"/>
  <c r="I27" i="12822"/>
  <c r="J27" i="12822"/>
  <c r="K27" i="12822"/>
  <c r="L27" i="12822"/>
  <c r="F28" i="12822"/>
  <c r="G28" i="12822"/>
  <c r="H28" i="12822"/>
  <c r="I28" i="12822"/>
  <c r="J28" i="12822"/>
  <c r="K28" i="12822"/>
  <c r="L28" i="12822"/>
  <c r="S90" i="12822"/>
  <c r="S91" i="12822"/>
  <c r="S92" i="12822"/>
  <c r="S93" i="12822"/>
  <c r="S94" i="12822"/>
  <c r="U94" i="12822"/>
  <c r="V94" i="12822"/>
  <c r="S95" i="12822"/>
  <c r="U95" i="12822"/>
  <c r="V95" i="12822"/>
  <c r="S96" i="12822"/>
  <c r="U96" i="12822"/>
  <c r="V96" i="12822"/>
  <c r="S97" i="12822"/>
  <c r="U97" i="12822"/>
  <c r="V97" i="12822"/>
  <c r="S103" i="12822"/>
  <c r="V103" i="12822"/>
  <c r="W103" i="12822"/>
  <c r="S104" i="12822"/>
  <c r="V104" i="12822"/>
  <c r="W104" i="12822"/>
  <c r="S105" i="12822"/>
  <c r="V105" i="12822"/>
  <c r="W105" i="12822"/>
  <c r="S106" i="12822"/>
  <c r="V106" i="12822"/>
  <c r="W106" i="12822"/>
  <c r="S107" i="12822"/>
  <c r="V107" i="12822"/>
  <c r="W107" i="12822"/>
  <c r="S108" i="12822"/>
  <c r="V108" i="12822"/>
  <c r="W108" i="12822"/>
  <c r="S109" i="12822"/>
  <c r="V109" i="12822"/>
  <c r="W109" i="12822"/>
  <c r="S114" i="12822"/>
  <c r="V114" i="12822"/>
  <c r="W114" i="12822"/>
  <c r="S115" i="12822"/>
  <c r="V115" i="12822"/>
  <c r="W115" i="12822"/>
  <c r="S116" i="12822"/>
  <c r="V116" i="12822"/>
  <c r="W116" i="12822"/>
  <c r="S117" i="12822"/>
  <c r="T117" i="12822"/>
  <c r="S118" i="12822"/>
  <c r="T118" i="12822"/>
  <c r="S119" i="12822"/>
  <c r="T119" i="12822"/>
  <c r="S120" i="12822"/>
  <c r="T120" i="12822"/>
  <c r="S121" i="12822"/>
  <c r="T121" i="12822"/>
  <c r="S122" i="12822"/>
  <c r="T122" i="12822"/>
  <c r="S123" i="12822"/>
  <c r="T123" i="12822"/>
  <c r="S129" i="12822"/>
  <c r="T129" i="12822"/>
  <c r="S130" i="12822"/>
  <c r="T130" i="12822"/>
  <c r="S131" i="12822"/>
  <c r="T131" i="12822"/>
  <c r="S132" i="12822"/>
  <c r="T132" i="12822"/>
  <c r="S133" i="12822"/>
  <c r="T133" i="12822"/>
  <c r="S134" i="12822"/>
  <c r="T134" i="12822"/>
  <c r="S135" i="12822"/>
  <c r="T135" i="12822"/>
  <c r="S141" i="12822"/>
  <c r="T141" i="12822"/>
  <c r="S142" i="12822"/>
  <c r="T142" i="12822"/>
  <c r="S143" i="12822"/>
  <c r="T143" i="12822"/>
  <c r="S144" i="12822"/>
  <c r="T144" i="12822"/>
  <c r="S145" i="12822"/>
  <c r="T145" i="12822"/>
  <c r="S146" i="12822"/>
  <c r="T146" i="12822"/>
  <c r="S147" i="12822"/>
  <c r="T147" i="12822"/>
  <c r="S153" i="12822"/>
  <c r="S154" i="12822"/>
  <c r="S155" i="12822"/>
  <c r="S156" i="12822"/>
  <c r="S157" i="12822"/>
  <c r="U157" i="12822"/>
  <c r="V157" i="12822"/>
  <c r="S158" i="12822"/>
  <c r="U158" i="12822"/>
  <c r="V158" i="12822"/>
  <c r="S159" i="12822"/>
  <c r="U159" i="12822"/>
  <c r="V159" i="12822"/>
  <c r="S160" i="12822"/>
  <c r="U160" i="12822"/>
  <c r="V160" i="12822"/>
  <c r="S166" i="12822"/>
  <c r="V166" i="12822"/>
  <c r="W166" i="12822"/>
  <c r="X166" i="12822"/>
  <c r="Y166" i="12822"/>
  <c r="S167" i="12822"/>
  <c r="V167" i="12822"/>
  <c r="W167" i="12822"/>
  <c r="X167" i="12822"/>
  <c r="Y167" i="12822"/>
  <c r="S168" i="12822"/>
  <c r="V168" i="12822"/>
  <c r="W168" i="12822"/>
  <c r="X168" i="12822"/>
  <c r="Y168" i="12822"/>
  <c r="S169" i="12822"/>
  <c r="V169" i="12822"/>
  <c r="W169" i="12822"/>
  <c r="X169" i="12822"/>
  <c r="Y169" i="12822"/>
  <c r="S170" i="12822"/>
  <c r="V170" i="12822"/>
  <c r="W170" i="12822"/>
  <c r="X170" i="12822"/>
  <c r="Y170" i="12822"/>
  <c r="S171" i="12822"/>
  <c r="V171" i="12822"/>
  <c r="W171" i="12822"/>
  <c r="X171" i="12822"/>
  <c r="Y171" i="12822"/>
  <c r="S172" i="12822"/>
  <c r="V172" i="12822"/>
  <c r="W172" i="12822"/>
  <c r="X172" i="12822"/>
  <c r="Y172" i="12822"/>
  <c r="S177" i="12822"/>
  <c r="V177" i="12822"/>
  <c r="W177" i="12822"/>
  <c r="S178" i="12822"/>
  <c r="V178" i="12822"/>
  <c r="W178" i="12822"/>
  <c r="AA178" i="12822"/>
  <c r="S179" i="12822"/>
  <c r="V179" i="12822"/>
  <c r="W179" i="12822"/>
  <c r="AA179" i="12822"/>
  <c r="S180" i="12822"/>
  <c r="T180" i="12822"/>
  <c r="S181" i="12822"/>
  <c r="T181" i="12822"/>
  <c r="S182" i="12822"/>
  <c r="T182" i="12822"/>
  <c r="S183" i="12822"/>
  <c r="T183" i="12822"/>
  <c r="S184" i="12822"/>
  <c r="T184" i="12822"/>
  <c r="S185" i="12822"/>
  <c r="T185" i="12822"/>
  <c r="S186" i="12822"/>
  <c r="T186" i="12822"/>
  <c r="S192" i="12822"/>
  <c r="T192" i="12822"/>
  <c r="S193" i="12822"/>
  <c r="T193" i="12822"/>
  <c r="S194" i="12822"/>
  <c r="T194" i="12822"/>
  <c r="S195" i="12822"/>
  <c r="T195" i="12822"/>
  <c r="S196" i="12822"/>
  <c r="T196" i="12822"/>
  <c r="S197" i="12822"/>
  <c r="T197" i="12822"/>
  <c r="S198" i="12822"/>
  <c r="T198" i="12822"/>
  <c r="S204" i="12822"/>
  <c r="T204" i="12822"/>
  <c r="S205" i="12822"/>
  <c r="T205" i="12822"/>
  <c r="S206" i="12822"/>
  <c r="T206" i="12822"/>
  <c r="S207" i="12822"/>
  <c r="T207" i="12822"/>
  <c r="S208" i="12822"/>
  <c r="T208" i="12822"/>
  <c r="S209" i="12822"/>
  <c r="T209" i="12822"/>
  <c r="S210" i="12822"/>
  <c r="T210" i="12822"/>
  <c r="T218" i="12822"/>
  <c r="T219" i="12822"/>
  <c r="S48" i="12823"/>
  <c r="S49" i="12823"/>
  <c r="G50" i="12823"/>
  <c r="H50" i="12823"/>
  <c r="I50" i="12823"/>
  <c r="J50" i="12823"/>
  <c r="K50" i="12823"/>
  <c r="L50" i="12823"/>
  <c r="M50" i="12823"/>
  <c r="S50" i="12823"/>
  <c r="G51" i="12823"/>
  <c r="H51" i="12823"/>
  <c r="I51" i="12823"/>
  <c r="J51" i="12823"/>
  <c r="K51" i="12823"/>
  <c r="L51" i="12823"/>
  <c r="M51" i="12823"/>
  <c r="S51" i="12823"/>
  <c r="G52" i="12823"/>
  <c r="H52" i="12823"/>
  <c r="I52" i="12823"/>
  <c r="J52" i="12823"/>
  <c r="K52" i="12823"/>
  <c r="L52" i="12823"/>
  <c r="M52" i="12823"/>
  <c r="S52" i="12823"/>
  <c r="U52" i="12823"/>
  <c r="V52" i="12823"/>
  <c r="G53" i="12823"/>
  <c r="H53" i="12823"/>
  <c r="I53" i="12823"/>
  <c r="J53" i="12823"/>
  <c r="K53" i="12823"/>
  <c r="L53" i="12823"/>
  <c r="M53" i="12823"/>
  <c r="S53" i="12823"/>
  <c r="U53" i="12823"/>
  <c r="V53" i="12823"/>
  <c r="G54" i="12823"/>
  <c r="H54" i="12823"/>
  <c r="I54" i="12823"/>
  <c r="J54" i="12823"/>
  <c r="K54" i="12823"/>
  <c r="L54" i="12823"/>
  <c r="M54" i="12823"/>
  <c r="S54" i="12823"/>
  <c r="U54" i="12823"/>
  <c r="V54" i="12823"/>
  <c r="G55" i="12823"/>
  <c r="H55" i="12823"/>
  <c r="I55" i="12823"/>
  <c r="J55" i="12823"/>
  <c r="K55" i="12823"/>
  <c r="L55" i="12823"/>
  <c r="M55" i="12823"/>
  <c r="G56" i="12823"/>
  <c r="H56" i="12823"/>
  <c r="I56" i="12823"/>
  <c r="J56" i="12823"/>
  <c r="K56" i="12823"/>
  <c r="L56" i="12823"/>
  <c r="M56" i="12823"/>
  <c r="G57" i="12823"/>
  <c r="H57" i="12823"/>
  <c r="I57" i="12823"/>
  <c r="J57" i="12823"/>
  <c r="K57" i="12823"/>
  <c r="L57" i="12823"/>
  <c r="M57" i="12823"/>
  <c r="G58" i="12823"/>
  <c r="H58" i="12823"/>
  <c r="I58" i="12823"/>
  <c r="J58" i="12823"/>
  <c r="K58" i="12823"/>
  <c r="L58" i="12823"/>
  <c r="M58" i="12823"/>
  <c r="G59" i="12823"/>
  <c r="H59" i="12823"/>
  <c r="I59" i="12823"/>
  <c r="J59" i="12823"/>
  <c r="K59" i="12823"/>
  <c r="L59" i="12823"/>
  <c r="M59" i="12823"/>
  <c r="G60" i="12823"/>
  <c r="H60" i="12823"/>
  <c r="I60" i="12823"/>
  <c r="J60" i="12823"/>
  <c r="K60" i="12823"/>
  <c r="L60" i="12823"/>
  <c r="M60" i="12823"/>
  <c r="S60" i="12823"/>
  <c r="V60" i="12823"/>
  <c r="W60" i="12823"/>
  <c r="G61" i="12823"/>
  <c r="H61" i="12823"/>
  <c r="I61" i="12823"/>
  <c r="J61" i="12823"/>
  <c r="K61" i="12823"/>
  <c r="L61" i="12823"/>
  <c r="M61" i="12823"/>
  <c r="S61" i="12823"/>
  <c r="V61" i="12823"/>
  <c r="W61" i="12823"/>
  <c r="G62" i="12823"/>
  <c r="H62" i="12823"/>
  <c r="I62" i="12823"/>
  <c r="J62" i="12823"/>
  <c r="K62" i="12823"/>
  <c r="L62" i="12823"/>
  <c r="M62" i="12823"/>
  <c r="S62" i="12823"/>
  <c r="V62" i="12823"/>
  <c r="W62" i="12823"/>
  <c r="G63" i="12823"/>
  <c r="H63" i="12823"/>
  <c r="I63" i="12823"/>
  <c r="J63" i="12823"/>
  <c r="K63" i="12823"/>
  <c r="L63" i="12823"/>
  <c r="M63" i="12823"/>
  <c r="S63" i="12823"/>
  <c r="V63" i="12823"/>
  <c r="W63" i="12823"/>
  <c r="G64" i="12823"/>
  <c r="H64" i="12823"/>
  <c r="I64" i="12823"/>
  <c r="J64" i="12823"/>
  <c r="K64" i="12823"/>
  <c r="L64" i="12823"/>
  <c r="M64" i="12823"/>
  <c r="S64" i="12823"/>
  <c r="V64" i="12823"/>
  <c r="W64" i="12823"/>
  <c r="G65" i="12823"/>
  <c r="H65" i="12823"/>
  <c r="I65" i="12823"/>
  <c r="J65" i="12823"/>
  <c r="K65" i="12823"/>
  <c r="L65" i="12823"/>
  <c r="M65" i="12823"/>
  <c r="S65" i="12823"/>
  <c r="V65" i="12823"/>
  <c r="W65" i="12823"/>
  <c r="G66" i="12823"/>
  <c r="H66" i="12823"/>
  <c r="I66" i="12823"/>
  <c r="J66" i="12823"/>
  <c r="K66" i="12823"/>
  <c r="L66" i="12823"/>
  <c r="M66" i="12823"/>
  <c r="S66" i="12823"/>
  <c r="V66" i="12823"/>
  <c r="W66" i="12823"/>
  <c r="G67" i="12823"/>
  <c r="H67" i="12823"/>
  <c r="I67" i="12823"/>
  <c r="J67" i="12823"/>
  <c r="K67" i="12823"/>
  <c r="L67" i="12823"/>
  <c r="M67" i="12823"/>
  <c r="S67" i="12823"/>
  <c r="V67" i="12823"/>
  <c r="W67" i="12823"/>
  <c r="S68" i="12823"/>
  <c r="V68" i="12823"/>
  <c r="W68" i="12823"/>
  <c r="S69" i="12823"/>
  <c r="V69" i="12823"/>
  <c r="W69" i="12823"/>
  <c r="S74" i="12823"/>
  <c r="T74" i="12823"/>
  <c r="S75" i="12823"/>
  <c r="T75" i="12823"/>
  <c r="S76" i="12823"/>
  <c r="T76" i="12823"/>
  <c r="S77" i="12823"/>
  <c r="T77" i="12823"/>
  <c r="S78" i="12823"/>
  <c r="T78" i="12823"/>
  <c r="S79" i="12823"/>
  <c r="T79" i="12823"/>
  <c r="S80" i="12823"/>
  <c r="T80" i="12823"/>
  <c r="S81" i="12823"/>
  <c r="T81" i="12823"/>
  <c r="S82" i="12823"/>
  <c r="T82" i="12823"/>
  <c r="S83" i="12823"/>
  <c r="T83" i="12823"/>
  <c r="S89" i="12823"/>
  <c r="S90" i="12823"/>
  <c r="S91" i="12823"/>
  <c r="S92" i="12823"/>
  <c r="S93" i="12823"/>
  <c r="U93" i="12823"/>
  <c r="V93" i="12823"/>
  <c r="S94" i="12823"/>
  <c r="U94" i="12823"/>
  <c r="V94" i="12823"/>
  <c r="S95" i="12823"/>
  <c r="U95" i="12823"/>
  <c r="V95" i="12823"/>
  <c r="S101" i="12823"/>
  <c r="V101" i="12823"/>
  <c r="W101" i="12823"/>
  <c r="X101" i="12823"/>
  <c r="Y101" i="12823"/>
  <c r="S102" i="12823"/>
  <c r="V102" i="12823"/>
  <c r="W102" i="12823"/>
  <c r="X102" i="12823"/>
  <c r="Y102" i="12823"/>
  <c r="S103" i="12823"/>
  <c r="V103" i="12823"/>
  <c r="W103" i="12823"/>
  <c r="X103" i="12823"/>
  <c r="Y103" i="12823"/>
  <c r="S104" i="12823"/>
  <c r="V104" i="12823"/>
  <c r="W104" i="12823"/>
  <c r="X104" i="12823"/>
  <c r="Y104" i="12823"/>
  <c r="S105" i="12823"/>
  <c r="V105" i="12823"/>
  <c r="W105" i="12823"/>
  <c r="X105" i="12823"/>
  <c r="Y105" i="12823"/>
  <c r="S106" i="12823"/>
  <c r="V106" i="12823"/>
  <c r="W106" i="12823"/>
  <c r="X106" i="12823"/>
  <c r="Y106" i="12823"/>
  <c r="S107" i="12823"/>
  <c r="V107" i="12823"/>
  <c r="W107" i="12823"/>
  <c r="X107" i="12823"/>
  <c r="Y107" i="12823"/>
  <c r="S108" i="12823"/>
  <c r="V108" i="12823"/>
  <c r="W108" i="12823"/>
  <c r="X108" i="12823"/>
  <c r="Y108" i="12823"/>
  <c r="S109" i="12823"/>
  <c r="V109" i="12823"/>
  <c r="W109" i="12823"/>
  <c r="X109" i="12823"/>
  <c r="Y109" i="12823"/>
  <c r="S110" i="12823"/>
  <c r="V110" i="12823"/>
  <c r="W110" i="12823"/>
  <c r="S115" i="12823"/>
  <c r="T115" i="12823"/>
  <c r="S116" i="12823"/>
  <c r="T116" i="12823"/>
  <c r="S117" i="12823"/>
  <c r="T117" i="12823"/>
  <c r="S118" i="12823"/>
  <c r="T118" i="12823"/>
  <c r="S119" i="12823"/>
  <c r="T119" i="12823"/>
  <c r="S120" i="12823"/>
  <c r="T120" i="12823"/>
  <c r="S121" i="12823"/>
  <c r="T121" i="12823"/>
  <c r="S122" i="12823"/>
  <c r="T122" i="12823"/>
  <c r="S123" i="12823"/>
  <c r="T123" i="12823"/>
  <c r="S124" i="12823"/>
  <c r="T124" i="12823"/>
  <c r="T132" i="12823"/>
  <c r="T133" i="12823"/>
  <c r="F24" i="12824"/>
  <c r="F25" i="12824"/>
  <c r="G25" i="12824"/>
  <c r="F26" i="12824"/>
  <c r="G26" i="12824"/>
  <c r="F27" i="12824"/>
  <c r="G27" i="12824"/>
  <c r="F28" i="12824"/>
  <c r="G28" i="12824"/>
  <c r="F29" i="12824"/>
  <c r="G29" i="12824"/>
  <c r="F30" i="12824"/>
  <c r="G30" i="12824"/>
  <c r="F31" i="12824"/>
  <c r="G31" i="12824"/>
  <c r="F32" i="12824"/>
  <c r="G32" i="12824"/>
  <c r="F33" i="12824"/>
  <c r="G33" i="12824"/>
  <c r="F34" i="12824"/>
  <c r="G34" i="12824"/>
  <c r="F35" i="12824"/>
  <c r="G35" i="12824"/>
  <c r="F36" i="12824"/>
  <c r="G36" i="12824"/>
  <c r="F38" i="12824"/>
  <c r="F39" i="12824"/>
  <c r="G39" i="12824"/>
  <c r="F40" i="12824"/>
  <c r="G40" i="12824"/>
  <c r="F41" i="12824"/>
  <c r="G41" i="12824"/>
  <c r="F42" i="12824"/>
  <c r="G42" i="12824"/>
  <c r="F43" i="12824"/>
  <c r="G43" i="12824"/>
  <c r="F44" i="12824"/>
  <c r="G44" i="12824"/>
  <c r="F45" i="12824"/>
  <c r="G45" i="12824"/>
  <c r="F46" i="12824"/>
  <c r="G46" i="12824"/>
  <c r="F47" i="12824"/>
  <c r="G47" i="12824"/>
  <c r="F48" i="12824"/>
  <c r="G48" i="12824"/>
  <c r="F49" i="12824"/>
  <c r="G49" i="12824"/>
  <c r="F50" i="12824"/>
  <c r="G50" i="12824"/>
  <c r="G54" i="12824"/>
  <c r="G55" i="12824"/>
  <c r="G8" i="12825"/>
  <c r="H8" i="12825"/>
  <c r="I8" i="12825"/>
  <c r="J8" i="12825"/>
  <c r="K8" i="12825"/>
  <c r="L8" i="12825"/>
  <c r="M8" i="12825"/>
  <c r="G9" i="12825"/>
  <c r="H9" i="12825"/>
  <c r="I9" i="12825"/>
  <c r="J9" i="12825"/>
  <c r="K9" i="12825"/>
  <c r="L9" i="12825"/>
  <c r="M9" i="12825"/>
  <c r="G10" i="12825"/>
  <c r="H10" i="12825"/>
  <c r="I10" i="12825"/>
  <c r="J10" i="12825"/>
  <c r="K10" i="12825"/>
  <c r="L10" i="12825"/>
  <c r="M10" i="12825"/>
  <c r="G11" i="12825"/>
  <c r="H11" i="12825"/>
  <c r="I11" i="12825"/>
  <c r="J11" i="12825"/>
  <c r="K11" i="12825"/>
  <c r="L11" i="12825"/>
  <c r="M11" i="12825"/>
  <c r="G12" i="12825"/>
  <c r="H12" i="12825"/>
  <c r="I12" i="12825"/>
  <c r="J12" i="12825"/>
  <c r="K12" i="12825"/>
  <c r="L12" i="12825"/>
  <c r="M12" i="12825"/>
  <c r="G13" i="12825"/>
  <c r="H13" i="12825"/>
  <c r="I13" i="12825"/>
  <c r="J13" i="12825"/>
  <c r="K13" i="12825"/>
  <c r="L13" i="12825"/>
  <c r="M13" i="12825"/>
  <c r="G14" i="12825"/>
  <c r="H14" i="12825"/>
  <c r="I14" i="12825"/>
  <c r="J14" i="12825"/>
  <c r="K14" i="12825"/>
  <c r="L14" i="12825"/>
  <c r="M14" i="12825"/>
  <c r="G15" i="12825"/>
  <c r="H15" i="12825"/>
  <c r="I15" i="12825"/>
  <c r="J15" i="12825"/>
  <c r="K15" i="12825"/>
  <c r="L15" i="12825"/>
  <c r="M15" i="12825"/>
  <c r="G16" i="12825"/>
  <c r="H16" i="12825"/>
  <c r="I16" i="12825"/>
  <c r="J16" i="12825"/>
  <c r="K16" i="12825"/>
  <c r="L16" i="12825"/>
  <c r="M16" i="12825"/>
  <c r="G17" i="12825"/>
  <c r="H17" i="12825"/>
  <c r="I17" i="12825"/>
  <c r="J17" i="12825"/>
  <c r="K17" i="12825"/>
  <c r="L17" i="12825"/>
  <c r="M17" i="12825"/>
  <c r="G18" i="12825"/>
  <c r="H18" i="12825"/>
  <c r="I18" i="12825"/>
  <c r="J18" i="12825"/>
  <c r="K18" i="12825"/>
  <c r="L18" i="12825"/>
  <c r="M18" i="12825"/>
  <c r="G19" i="12825"/>
  <c r="H19" i="12825"/>
  <c r="I19" i="12825"/>
  <c r="J19" i="12825"/>
  <c r="K19" i="12825"/>
  <c r="L19" i="12825"/>
  <c r="M19" i="12825"/>
  <c r="G21" i="12825"/>
  <c r="H21" i="12825"/>
  <c r="I21" i="12825"/>
  <c r="J21" i="12825"/>
  <c r="K21" i="12825"/>
  <c r="L21" i="12825"/>
  <c r="M21" i="12825"/>
  <c r="G22" i="12825"/>
  <c r="H22" i="12825"/>
  <c r="I22" i="12825"/>
  <c r="J22" i="12825"/>
  <c r="K22" i="12825"/>
  <c r="L22" i="12825"/>
  <c r="M22" i="12825"/>
  <c r="G23" i="12825"/>
  <c r="H23" i="12825"/>
  <c r="I23" i="12825"/>
  <c r="J23" i="12825"/>
  <c r="K23" i="12825"/>
  <c r="L23" i="12825"/>
  <c r="M23" i="12825"/>
  <c r="G24" i="12825"/>
  <c r="H24" i="12825"/>
  <c r="I24" i="12825"/>
  <c r="J24" i="12825"/>
  <c r="K24" i="12825"/>
  <c r="L24" i="12825"/>
  <c r="M24" i="12825"/>
  <c r="G25" i="12825"/>
  <c r="H25" i="12825"/>
  <c r="I25" i="12825"/>
  <c r="J25" i="12825"/>
  <c r="K25" i="12825"/>
  <c r="L25" i="12825"/>
  <c r="M25" i="12825"/>
  <c r="G26" i="12825"/>
  <c r="H26" i="12825"/>
  <c r="I26" i="12825"/>
  <c r="J26" i="12825"/>
  <c r="K26" i="12825"/>
  <c r="L26" i="12825"/>
  <c r="M26" i="12825"/>
  <c r="G27" i="12825"/>
  <c r="H27" i="12825"/>
  <c r="I27" i="12825"/>
  <c r="J27" i="12825"/>
  <c r="K27" i="12825"/>
  <c r="L27" i="12825"/>
  <c r="M27" i="12825"/>
  <c r="G28" i="12825"/>
  <c r="H28" i="12825"/>
  <c r="I28" i="12825"/>
  <c r="J28" i="12825"/>
  <c r="K28" i="12825"/>
  <c r="L28" i="12825"/>
  <c r="M28" i="12825"/>
  <c r="G29" i="12825"/>
  <c r="H29" i="12825"/>
  <c r="I29" i="12825"/>
  <c r="J29" i="12825"/>
  <c r="K29" i="12825"/>
  <c r="L29" i="12825"/>
  <c r="M29" i="12825"/>
  <c r="G30" i="12825"/>
  <c r="H30" i="12825"/>
  <c r="I30" i="12825"/>
  <c r="J30" i="12825"/>
  <c r="K30" i="12825"/>
  <c r="L30" i="12825"/>
  <c r="M30" i="12825"/>
  <c r="G31" i="12825"/>
  <c r="H31" i="12825"/>
  <c r="I31" i="12825"/>
  <c r="J31" i="12825"/>
  <c r="K31" i="12825"/>
  <c r="L31" i="12825"/>
  <c r="M31" i="12825"/>
  <c r="G32" i="12825"/>
  <c r="H32" i="12825"/>
  <c r="I32" i="12825"/>
  <c r="J32" i="12825"/>
  <c r="K32" i="12825"/>
  <c r="L32" i="12825"/>
  <c r="M32" i="12825"/>
  <c r="G34" i="12825"/>
  <c r="H34" i="12825"/>
  <c r="I34" i="12825"/>
  <c r="J34" i="12825"/>
  <c r="K34" i="12825"/>
  <c r="L34" i="12825"/>
  <c r="M34" i="12825"/>
  <c r="G35" i="12825"/>
  <c r="H35" i="12825"/>
  <c r="I35" i="12825"/>
  <c r="J35" i="12825"/>
  <c r="K35" i="12825"/>
  <c r="L35" i="12825"/>
  <c r="M35" i="12825"/>
  <c r="G36" i="12825"/>
  <c r="H36" i="12825"/>
  <c r="I36" i="12825"/>
  <c r="J36" i="12825"/>
  <c r="K36" i="12825"/>
  <c r="L36" i="12825"/>
  <c r="M36" i="12825"/>
  <c r="G37" i="12825"/>
  <c r="H37" i="12825"/>
  <c r="I37" i="12825"/>
  <c r="J37" i="12825"/>
  <c r="K37" i="12825"/>
  <c r="L37" i="12825"/>
  <c r="M37" i="12825"/>
  <c r="G38" i="12825"/>
  <c r="H38" i="12825"/>
  <c r="I38" i="12825"/>
  <c r="J38" i="12825"/>
  <c r="K38" i="12825"/>
  <c r="L38" i="12825"/>
  <c r="M38" i="12825"/>
  <c r="G39" i="12825"/>
  <c r="H39" i="12825"/>
  <c r="I39" i="12825"/>
  <c r="J39" i="12825"/>
  <c r="K39" i="12825"/>
  <c r="L39" i="12825"/>
  <c r="M39" i="12825"/>
  <c r="G40" i="12825"/>
  <c r="H40" i="12825"/>
  <c r="I40" i="12825"/>
  <c r="J40" i="12825"/>
  <c r="K40" i="12825"/>
  <c r="L40" i="12825"/>
  <c r="M40" i="12825"/>
  <c r="G41" i="12825"/>
  <c r="H41" i="12825"/>
  <c r="I41" i="12825"/>
  <c r="J41" i="12825"/>
  <c r="K41" i="12825"/>
  <c r="L41" i="12825"/>
  <c r="M41" i="12825"/>
  <c r="G42" i="12825"/>
  <c r="H42" i="12825"/>
  <c r="I42" i="12825"/>
  <c r="J42" i="12825"/>
  <c r="K42" i="12825"/>
  <c r="L42" i="12825"/>
  <c r="M42" i="12825"/>
  <c r="G43" i="12825"/>
  <c r="H43" i="12825"/>
  <c r="I43" i="12825"/>
  <c r="J43" i="12825"/>
  <c r="K43" i="12825"/>
  <c r="L43" i="12825"/>
  <c r="M43" i="12825"/>
  <c r="G44" i="12825"/>
  <c r="H44" i="12825"/>
  <c r="I44" i="12825"/>
  <c r="J44" i="12825"/>
  <c r="K44" i="12825"/>
  <c r="L44" i="12825"/>
  <c r="M44" i="12825"/>
  <c r="G45" i="12825"/>
  <c r="H45" i="12825"/>
  <c r="I45" i="12825"/>
  <c r="J45" i="12825"/>
  <c r="K45" i="12825"/>
  <c r="L45" i="12825"/>
  <c r="M45" i="12825"/>
  <c r="T82" i="12825"/>
  <c r="X82" i="12825"/>
  <c r="T83" i="12825"/>
  <c r="X83" i="12825"/>
  <c r="AA83" i="12825"/>
  <c r="AB83" i="12825"/>
  <c r="AC83" i="12825"/>
  <c r="T84" i="12825"/>
  <c r="X84" i="12825"/>
  <c r="AA84" i="12825"/>
  <c r="AB84" i="12825"/>
  <c r="AC84" i="12825"/>
  <c r="T85" i="12825"/>
  <c r="X85" i="12825"/>
  <c r="T86" i="12825"/>
  <c r="V86" i="12825"/>
  <c r="W86" i="12825" a="1"/>
  <c r="W86" i="12825"/>
  <c r="X86" i="12825"/>
  <c r="Y86" i="12825"/>
  <c r="Z86" i="12825" a="1"/>
  <c r="Z86" i="12825"/>
  <c r="T87" i="12825"/>
  <c r="V87" i="12825"/>
  <c r="W87" i="12825"/>
  <c r="X87" i="12825"/>
  <c r="Y87" i="12825"/>
  <c r="Z87" i="12825"/>
  <c r="T88" i="12825"/>
  <c r="V88" i="12825"/>
  <c r="W88" i="12825" a="1"/>
  <c r="W88" i="12825"/>
  <c r="X88" i="12825"/>
  <c r="Y88" i="12825"/>
  <c r="Z88" i="12825" a="1"/>
  <c r="Z88" i="12825"/>
  <c r="T89" i="12825"/>
  <c r="V89" i="12825"/>
  <c r="W89" i="12825" a="1"/>
  <c r="W89" i="12825"/>
  <c r="X89" i="12825"/>
  <c r="Y89" i="12825"/>
  <c r="Z89" i="12825" a="1"/>
  <c r="Z89" i="12825"/>
  <c r="T92" i="12825"/>
  <c r="W92" i="12825"/>
  <c r="X92" i="12825"/>
  <c r="T93" i="12825"/>
  <c r="W93" i="12825"/>
  <c r="X93" i="12825"/>
  <c r="T94" i="12825"/>
  <c r="W94" i="12825"/>
  <c r="X94" i="12825"/>
  <c r="T95" i="12825"/>
  <c r="W95" i="12825"/>
  <c r="X95" i="12825"/>
  <c r="T96" i="12825"/>
  <c r="W96" i="12825"/>
  <c r="X96" i="12825"/>
  <c r="T97" i="12825"/>
  <c r="W97" i="12825"/>
  <c r="X97" i="12825"/>
  <c r="T98" i="12825"/>
  <c r="W98" i="12825"/>
  <c r="X98" i="12825"/>
  <c r="AC98" i="12825"/>
  <c r="T100" i="12825"/>
  <c r="W100" i="12825"/>
  <c r="X100" i="12825"/>
  <c r="T101" i="12825"/>
  <c r="W101" i="12825"/>
  <c r="X101" i="12825"/>
  <c r="T102" i="12825"/>
  <c r="W102" i="12825"/>
  <c r="X102" i="12825"/>
  <c r="T103" i="12825"/>
  <c r="W103" i="12825"/>
  <c r="X103" i="12825"/>
  <c r="T104" i="12825"/>
  <c r="W104" i="12825"/>
  <c r="X104" i="12825"/>
  <c r="T105" i="12825"/>
  <c r="W105" i="12825"/>
  <c r="X105" i="12825"/>
  <c r="T106" i="12825"/>
  <c r="W106" i="12825"/>
  <c r="X106" i="12825"/>
  <c r="AC106" i="12825"/>
  <c r="T108" i="12825"/>
  <c r="W108" i="12825"/>
  <c r="X108" i="12825"/>
  <c r="T109" i="12825"/>
  <c r="W109" i="12825"/>
  <c r="X109" i="12825"/>
  <c r="T110" i="12825"/>
  <c r="W110" i="12825"/>
  <c r="X110" i="12825"/>
  <c r="T111" i="12825"/>
  <c r="W111" i="12825"/>
  <c r="X111" i="12825"/>
  <c r="T112" i="12825"/>
  <c r="W112" i="12825"/>
  <c r="X112" i="12825"/>
  <c r="AC112" i="12825"/>
  <c r="T114" i="12825"/>
  <c r="U114" i="12825"/>
  <c r="W114" i="12825"/>
  <c r="T115" i="12825"/>
  <c r="U115" i="12825"/>
  <c r="W115" i="12825"/>
  <c r="T116" i="12825"/>
  <c r="U116" i="12825"/>
  <c r="W116" i="12825"/>
  <c r="T117" i="12825"/>
  <c r="U117" i="12825"/>
  <c r="W117" i="12825"/>
  <c r="T118" i="12825"/>
  <c r="U118" i="12825"/>
  <c r="W118" i="12825"/>
  <c r="T119" i="12825"/>
  <c r="U119" i="12825"/>
  <c r="W119" i="12825"/>
  <c r="T120" i="12825"/>
  <c r="U120" i="12825"/>
  <c r="W120" i="12825"/>
  <c r="T122" i="12825"/>
  <c r="U122" i="12825"/>
  <c r="W122" i="12825"/>
  <c r="T123" i="12825"/>
  <c r="U123" i="12825"/>
  <c r="W123" i="12825"/>
  <c r="T124" i="12825"/>
  <c r="U124" i="12825"/>
  <c r="W124" i="12825"/>
  <c r="T125" i="12825"/>
  <c r="U125" i="12825"/>
  <c r="W125" i="12825"/>
  <c r="T126" i="12825"/>
  <c r="U126" i="12825"/>
  <c r="W126" i="12825"/>
  <c r="T127" i="12825"/>
  <c r="U127" i="12825"/>
  <c r="W127" i="12825"/>
  <c r="T128" i="12825"/>
  <c r="U128" i="12825"/>
  <c r="W128" i="12825"/>
  <c r="T131" i="12825"/>
  <c r="U131" i="12825"/>
  <c r="W131" i="12825"/>
  <c r="T132" i="12825"/>
  <c r="U132" i="12825"/>
  <c r="W132" i="12825"/>
  <c r="T133" i="12825"/>
  <c r="U133" i="12825"/>
  <c r="W133" i="12825"/>
  <c r="T134" i="12825"/>
  <c r="U134" i="12825"/>
  <c r="W134" i="12825"/>
  <c r="T135" i="12825"/>
  <c r="U135" i="12825"/>
  <c r="W135" i="12825"/>
  <c r="T136" i="12825"/>
  <c r="U136" i="12825"/>
  <c r="W136" i="12825"/>
  <c r="T137" i="12825"/>
  <c r="U137" i="12825"/>
  <c r="W137" i="12825"/>
  <c r="T139" i="12825"/>
  <c r="U139" i="12825"/>
  <c r="W139" i="12825"/>
  <c r="T140" i="12825"/>
  <c r="U140" i="12825"/>
  <c r="W140" i="12825"/>
  <c r="T141" i="12825"/>
  <c r="U141" i="12825"/>
  <c r="W141" i="12825"/>
  <c r="T142" i="12825"/>
  <c r="U142" i="12825"/>
  <c r="W142" i="12825"/>
  <c r="T143" i="12825"/>
  <c r="U143" i="12825"/>
  <c r="W143" i="12825"/>
  <c r="T144" i="12825"/>
  <c r="U144" i="12825"/>
  <c r="W144" i="12825"/>
  <c r="T145" i="12825"/>
  <c r="U145" i="12825"/>
  <c r="W145" i="12825"/>
  <c r="T148" i="12825"/>
  <c r="X148" i="12825"/>
  <c r="T149" i="12825"/>
  <c r="X149" i="12825"/>
  <c r="AA149" i="12825"/>
  <c r="AB149" i="12825"/>
  <c r="AC149" i="12825"/>
  <c r="T150" i="12825"/>
  <c r="X150" i="12825"/>
  <c r="AA150" i="12825"/>
  <c r="AB150" i="12825"/>
  <c r="AC150" i="12825"/>
  <c r="T151" i="12825"/>
  <c r="X151" i="12825"/>
  <c r="T152" i="12825"/>
  <c r="V152" i="12825"/>
  <c r="W152" i="12825" a="1"/>
  <c r="W152" i="12825"/>
  <c r="X152" i="12825"/>
  <c r="Y152" i="12825"/>
  <c r="Z152" i="12825" a="1"/>
  <c r="Z152" i="12825"/>
  <c r="T153" i="12825"/>
  <c r="V153" i="12825"/>
  <c r="W153" i="12825"/>
  <c r="X153" i="12825"/>
  <c r="Y153" i="12825"/>
  <c r="Z153" i="12825"/>
  <c r="T154" i="12825"/>
  <c r="V154" i="12825"/>
  <c r="W154" i="12825" a="1"/>
  <c r="W154" i="12825"/>
  <c r="X154" i="12825"/>
  <c r="Y154" i="12825"/>
  <c r="Z154" i="12825" a="1"/>
  <c r="Z154" i="12825"/>
  <c r="T155" i="12825"/>
  <c r="V155" i="12825"/>
  <c r="W155" i="12825" a="1"/>
  <c r="W155" i="12825"/>
  <c r="X155" i="12825"/>
  <c r="Y155" i="12825"/>
  <c r="Z155" i="12825" a="1"/>
  <c r="Z155" i="12825"/>
  <c r="T158" i="12825"/>
  <c r="W158" i="12825"/>
  <c r="X158" i="12825"/>
  <c r="Y158" i="12825"/>
  <c r="Z158" i="12825"/>
  <c r="T159" i="12825"/>
  <c r="W159" i="12825"/>
  <c r="X159" i="12825"/>
  <c r="Y159" i="12825"/>
  <c r="Z159" i="12825"/>
  <c r="T160" i="12825"/>
  <c r="W160" i="12825"/>
  <c r="X160" i="12825"/>
  <c r="Y160" i="12825"/>
  <c r="Z160" i="12825"/>
  <c r="T161" i="12825"/>
  <c r="W161" i="12825"/>
  <c r="X161" i="12825"/>
  <c r="Y161" i="12825"/>
  <c r="Z161" i="12825"/>
  <c r="T162" i="12825"/>
  <c r="W162" i="12825"/>
  <c r="X162" i="12825"/>
  <c r="Y162" i="12825"/>
  <c r="Z162" i="12825"/>
  <c r="T163" i="12825"/>
  <c r="W163" i="12825"/>
  <c r="X163" i="12825"/>
  <c r="Y163" i="12825"/>
  <c r="Z163" i="12825"/>
  <c r="AB163" i="12825"/>
  <c r="T164" i="12825"/>
  <c r="W164" i="12825"/>
  <c r="X164" i="12825"/>
  <c r="Y164" i="12825"/>
  <c r="Z164" i="12825"/>
  <c r="AB164" i="12825"/>
  <c r="AC164" i="12825"/>
  <c r="T166" i="12825"/>
  <c r="W166" i="12825"/>
  <c r="X166" i="12825"/>
  <c r="Y166" i="12825"/>
  <c r="Z166" i="12825"/>
  <c r="T167" i="12825"/>
  <c r="W167" i="12825"/>
  <c r="X167" i="12825"/>
  <c r="Y167" i="12825"/>
  <c r="Z167" i="12825"/>
  <c r="T168" i="12825"/>
  <c r="W168" i="12825"/>
  <c r="X168" i="12825"/>
  <c r="Y168" i="12825"/>
  <c r="Z168" i="12825"/>
  <c r="T169" i="12825"/>
  <c r="W169" i="12825"/>
  <c r="X169" i="12825"/>
  <c r="Y169" i="12825"/>
  <c r="Z169" i="12825"/>
  <c r="T170" i="12825"/>
  <c r="W170" i="12825"/>
  <c r="X170" i="12825"/>
  <c r="Y170" i="12825"/>
  <c r="Z170" i="12825"/>
  <c r="T171" i="12825"/>
  <c r="W171" i="12825"/>
  <c r="X171" i="12825"/>
  <c r="Y171" i="12825"/>
  <c r="Z171" i="12825"/>
  <c r="AB171" i="12825"/>
  <c r="T172" i="12825"/>
  <c r="W172" i="12825"/>
  <c r="X172" i="12825"/>
  <c r="Y172" i="12825"/>
  <c r="Z172" i="12825"/>
  <c r="AB172" i="12825"/>
  <c r="AC172" i="12825"/>
  <c r="T174" i="12825"/>
  <c r="W174" i="12825"/>
  <c r="X174" i="12825"/>
  <c r="T175" i="12825"/>
  <c r="W175" i="12825"/>
  <c r="X175" i="12825"/>
  <c r="T176" i="12825"/>
  <c r="W176" i="12825"/>
  <c r="X176" i="12825"/>
  <c r="T177" i="12825"/>
  <c r="W177" i="12825"/>
  <c r="X177" i="12825"/>
  <c r="T178" i="12825"/>
  <c r="W178" i="12825"/>
  <c r="X178" i="12825"/>
  <c r="AC178" i="12825"/>
  <c r="T180" i="12825"/>
  <c r="U180" i="12825"/>
  <c r="W180" i="12825"/>
  <c r="T181" i="12825"/>
  <c r="U181" i="12825"/>
  <c r="W181" i="12825"/>
  <c r="T182" i="12825"/>
  <c r="U182" i="12825"/>
  <c r="W182" i="12825"/>
  <c r="T183" i="12825"/>
  <c r="U183" i="12825"/>
  <c r="W183" i="12825"/>
  <c r="T184" i="12825"/>
  <c r="U184" i="12825"/>
  <c r="W184" i="12825"/>
  <c r="T185" i="12825"/>
  <c r="U185" i="12825"/>
  <c r="W185" i="12825"/>
  <c r="T186" i="12825"/>
  <c r="U186" i="12825"/>
  <c r="W186" i="12825"/>
  <c r="T188" i="12825"/>
  <c r="U188" i="12825"/>
  <c r="W188" i="12825"/>
  <c r="T189" i="12825"/>
  <c r="U189" i="12825"/>
  <c r="W189" i="12825"/>
  <c r="T190" i="12825"/>
  <c r="U190" i="12825"/>
  <c r="W190" i="12825"/>
  <c r="T191" i="12825"/>
  <c r="U191" i="12825"/>
  <c r="W191" i="12825"/>
  <c r="T192" i="12825"/>
  <c r="U192" i="12825"/>
  <c r="W192" i="12825"/>
  <c r="T193" i="12825"/>
  <c r="U193" i="12825"/>
  <c r="W193" i="12825"/>
  <c r="T194" i="12825"/>
  <c r="U194" i="12825"/>
  <c r="W194" i="12825"/>
  <c r="T197" i="12825"/>
  <c r="U197" i="12825"/>
  <c r="W197" i="12825"/>
  <c r="T198" i="12825"/>
  <c r="U198" i="12825"/>
  <c r="W198" i="12825"/>
  <c r="T199" i="12825"/>
  <c r="U199" i="12825"/>
  <c r="W199" i="12825"/>
  <c r="T200" i="12825"/>
  <c r="U200" i="12825"/>
  <c r="W200" i="12825"/>
  <c r="T201" i="12825"/>
  <c r="U201" i="12825"/>
  <c r="W201" i="12825"/>
  <c r="T202" i="12825"/>
  <c r="U202" i="12825"/>
  <c r="W202" i="12825"/>
  <c r="T203" i="12825"/>
  <c r="U203" i="12825"/>
  <c r="W203" i="12825"/>
  <c r="T205" i="12825"/>
  <c r="U205" i="12825"/>
  <c r="W205" i="12825"/>
  <c r="T206" i="12825"/>
  <c r="U206" i="12825"/>
  <c r="W206" i="12825"/>
  <c r="T207" i="12825"/>
  <c r="U207" i="12825"/>
  <c r="W207" i="12825"/>
  <c r="T208" i="12825"/>
  <c r="U208" i="12825"/>
  <c r="W208" i="12825"/>
  <c r="T209" i="12825"/>
  <c r="U209" i="12825"/>
  <c r="W209" i="12825"/>
  <c r="T210" i="12825"/>
  <c r="U210" i="12825"/>
  <c r="W210" i="12825"/>
  <c r="T211" i="12825"/>
  <c r="U211" i="12825"/>
  <c r="W211" i="12825"/>
  <c r="U218" i="12825"/>
  <c r="V218" i="12825"/>
  <c r="U219" i="12825"/>
  <c r="V219" i="12825"/>
  <c r="O24" i="12826"/>
  <c r="O25" i="12826"/>
  <c r="O26" i="12826"/>
  <c r="O27" i="12826"/>
  <c r="O28" i="12826"/>
  <c r="Q28" i="12826"/>
  <c r="R28" i="12826" a="1"/>
  <c r="R28" i="12826"/>
  <c r="O29" i="12826"/>
  <c r="Q29" i="12826"/>
  <c r="R29" i="12826"/>
  <c r="O30" i="12826"/>
  <c r="Q30" i="12826"/>
  <c r="R30" i="12826" a="1"/>
  <c r="R30" i="12826"/>
  <c r="O31" i="12826"/>
  <c r="Q31" i="12826"/>
  <c r="R31" i="12826" a="1"/>
  <c r="R31" i="12826"/>
  <c r="E34" i="12826"/>
  <c r="F34" i="12826"/>
  <c r="G34" i="12826"/>
  <c r="H34" i="12826"/>
  <c r="I34" i="12826"/>
  <c r="J34" i="12826"/>
  <c r="K34" i="12826"/>
  <c r="O34" i="12826"/>
  <c r="R34" i="12826"/>
  <c r="S34" i="12826"/>
  <c r="E35" i="12826"/>
  <c r="F35" i="12826"/>
  <c r="G35" i="12826"/>
  <c r="H35" i="12826"/>
  <c r="I35" i="12826"/>
  <c r="J35" i="12826"/>
  <c r="K35" i="12826"/>
  <c r="O35" i="12826"/>
  <c r="R35" i="12826"/>
  <c r="S35" i="12826"/>
  <c r="E36" i="12826"/>
  <c r="F36" i="12826"/>
  <c r="G36" i="12826"/>
  <c r="H36" i="12826"/>
  <c r="I36" i="12826"/>
  <c r="J36" i="12826"/>
  <c r="K36" i="12826"/>
  <c r="O36" i="12826"/>
  <c r="R36" i="12826"/>
  <c r="S36" i="12826"/>
  <c r="E37" i="12826"/>
  <c r="F37" i="12826"/>
  <c r="G37" i="12826"/>
  <c r="H37" i="12826"/>
  <c r="I37" i="12826"/>
  <c r="J37" i="12826"/>
  <c r="K37" i="12826"/>
  <c r="O37" i="12826"/>
  <c r="R37" i="12826"/>
  <c r="S37" i="12826"/>
  <c r="E38" i="12826"/>
  <c r="F38" i="12826"/>
  <c r="G38" i="12826"/>
  <c r="H38" i="12826"/>
  <c r="I38" i="12826"/>
  <c r="J38" i="12826"/>
  <c r="K38" i="12826"/>
  <c r="O38" i="12826"/>
  <c r="R38" i="12826"/>
  <c r="S38" i="12826"/>
  <c r="V38" i="12826"/>
  <c r="E39" i="12826"/>
  <c r="F39" i="12826"/>
  <c r="G39" i="12826"/>
  <c r="H39" i="12826"/>
  <c r="I39" i="12826"/>
  <c r="J39" i="12826"/>
  <c r="K39" i="12826"/>
  <c r="E40" i="12826"/>
  <c r="F40" i="12826"/>
  <c r="G40" i="12826"/>
  <c r="H40" i="12826"/>
  <c r="I40" i="12826"/>
  <c r="J40" i="12826"/>
  <c r="K40" i="12826"/>
  <c r="O40" i="12826"/>
  <c r="P40" i="12826"/>
  <c r="E41" i="12826"/>
  <c r="F41" i="12826"/>
  <c r="G41" i="12826"/>
  <c r="H41" i="12826"/>
  <c r="I41" i="12826"/>
  <c r="J41" i="12826"/>
  <c r="K41" i="12826"/>
  <c r="O41" i="12826"/>
  <c r="P41" i="12826"/>
  <c r="E42" i="12826"/>
  <c r="F42" i="12826"/>
  <c r="G42" i="12826"/>
  <c r="H42" i="12826"/>
  <c r="I42" i="12826"/>
  <c r="J42" i="12826"/>
  <c r="K42" i="12826"/>
  <c r="O42" i="12826"/>
  <c r="P42" i="12826"/>
  <c r="E43" i="12826"/>
  <c r="F43" i="12826"/>
  <c r="G43" i="12826"/>
  <c r="H43" i="12826"/>
  <c r="I43" i="12826"/>
  <c r="J43" i="12826"/>
  <c r="K43" i="12826"/>
  <c r="O43" i="12826"/>
  <c r="P43" i="12826"/>
  <c r="E44" i="12826"/>
  <c r="F44" i="12826"/>
  <c r="G44" i="12826"/>
  <c r="H44" i="12826"/>
  <c r="I44" i="12826"/>
  <c r="J44" i="12826"/>
  <c r="K44" i="12826"/>
  <c r="O44" i="12826"/>
  <c r="P44" i="12826"/>
  <c r="E45" i="12826"/>
  <c r="F45" i="12826"/>
  <c r="G45" i="12826"/>
  <c r="H45" i="12826"/>
  <c r="I45" i="12826"/>
  <c r="J45" i="12826"/>
  <c r="K45" i="12826"/>
  <c r="O47" i="12826"/>
  <c r="O48" i="12826"/>
  <c r="O49" i="12826"/>
  <c r="O50" i="12826"/>
  <c r="O51" i="12826"/>
  <c r="Q51" i="12826"/>
  <c r="R51" i="12826" a="1"/>
  <c r="R51" i="12826"/>
  <c r="O52" i="12826"/>
  <c r="Q52" i="12826"/>
  <c r="R52" i="12826"/>
  <c r="O53" i="12826"/>
  <c r="Q53" i="12826"/>
  <c r="R53" i="12826" a="1"/>
  <c r="R53" i="12826"/>
  <c r="O54" i="12826"/>
  <c r="Q54" i="12826"/>
  <c r="R54" i="12826" a="1"/>
  <c r="R54" i="12826"/>
  <c r="O57" i="12826"/>
  <c r="R57" i="12826"/>
  <c r="S57" i="12826"/>
  <c r="O58" i="12826"/>
  <c r="R58" i="12826"/>
  <c r="S58" i="12826"/>
  <c r="O59" i="12826"/>
  <c r="R59" i="12826"/>
  <c r="S59" i="12826"/>
  <c r="O60" i="12826"/>
  <c r="R60" i="12826"/>
  <c r="S60" i="12826"/>
  <c r="U60" i="12826"/>
  <c r="O61" i="12826"/>
  <c r="R61" i="12826"/>
  <c r="S61" i="12826"/>
  <c r="U61" i="12826"/>
  <c r="V61" i="12826"/>
  <c r="O63" i="12826"/>
  <c r="P63" i="12826"/>
  <c r="O64" i="12826"/>
  <c r="P64" i="12826"/>
  <c r="O65" i="12826"/>
  <c r="P65" i="12826"/>
  <c r="O66" i="12826"/>
  <c r="P66" i="12826"/>
  <c r="O67" i="12826"/>
  <c r="P67" i="12826"/>
  <c r="P72" i="12826"/>
  <c r="P73" i="12826"/>
  <c r="G8" i="12834"/>
  <c r="H8" i="12834"/>
  <c r="I8" i="12834"/>
  <c r="J8" i="12834"/>
  <c r="K8" i="12834"/>
  <c r="L8" i="12834"/>
  <c r="M8" i="12834"/>
  <c r="N8" i="12834"/>
  <c r="O8" i="12834"/>
  <c r="AA8" i="12834"/>
  <c r="AC8" i="12834"/>
  <c r="AD8" i="12834"/>
  <c r="AG8" i="12834"/>
  <c r="G9" i="12834"/>
  <c r="H9" i="12834"/>
  <c r="I9" i="12834"/>
  <c r="J9" i="12834"/>
  <c r="K9" i="12834"/>
  <c r="L9" i="12834"/>
  <c r="M9" i="12834"/>
  <c r="N9" i="12834"/>
  <c r="O9" i="12834"/>
  <c r="AA9" i="12834"/>
  <c r="AC9" i="12834"/>
  <c r="AD9" i="12834"/>
  <c r="AG9" i="12834"/>
  <c r="G10" i="12834"/>
  <c r="H10" i="12834"/>
  <c r="I10" i="12834"/>
  <c r="J10" i="12834"/>
  <c r="K10" i="12834"/>
  <c r="L10" i="12834"/>
  <c r="M10" i="12834"/>
  <c r="N10" i="12834"/>
  <c r="O10" i="12834"/>
  <c r="AA10" i="12834"/>
  <c r="AC10" i="12834"/>
  <c r="AD10" i="12834"/>
  <c r="AG10" i="12834"/>
  <c r="G11" i="12834"/>
  <c r="H11" i="12834"/>
  <c r="I11" i="12834"/>
  <c r="J11" i="12834"/>
  <c r="K11" i="12834"/>
  <c r="L11" i="12834"/>
  <c r="M11" i="12834"/>
  <c r="N11" i="12834"/>
  <c r="O11" i="12834"/>
  <c r="AA11" i="12834"/>
  <c r="AC11" i="12834"/>
  <c r="AD11" i="12834"/>
  <c r="AG11" i="12834"/>
  <c r="G12" i="12834"/>
  <c r="H12" i="12834"/>
  <c r="I12" i="12834"/>
  <c r="J12" i="12834"/>
  <c r="K12" i="12834"/>
  <c r="L12" i="12834"/>
  <c r="M12" i="12834"/>
  <c r="N12" i="12834"/>
  <c r="O12" i="12834"/>
  <c r="AA12" i="12834"/>
  <c r="AC12" i="12834"/>
  <c r="AD12" i="12834"/>
  <c r="AG12" i="12834"/>
  <c r="G13" i="12834"/>
  <c r="H13" i="12834"/>
  <c r="I13" i="12834"/>
  <c r="J13" i="12834"/>
  <c r="K13" i="12834"/>
  <c r="L13" i="12834"/>
  <c r="M13" i="12834"/>
  <c r="N13" i="12834"/>
  <c r="O13" i="12834"/>
  <c r="AA13" i="12834"/>
  <c r="AC13" i="12834"/>
  <c r="AD13" i="12834"/>
  <c r="AG13" i="12834"/>
  <c r="AA14" i="12834"/>
  <c r="AC14" i="12834"/>
  <c r="AD14" i="12834"/>
  <c r="AG14" i="12834"/>
  <c r="G15" i="12834"/>
  <c r="H15" i="12834"/>
  <c r="I15" i="12834"/>
  <c r="J15" i="12834"/>
  <c r="K15" i="12834"/>
  <c r="L15" i="12834"/>
  <c r="M15" i="12834"/>
  <c r="N15" i="12834"/>
  <c r="O15" i="12834"/>
  <c r="AA15" i="12834"/>
  <c r="AC15" i="12834"/>
  <c r="AD15" i="12834"/>
  <c r="AG15" i="12834"/>
  <c r="G16" i="12834"/>
  <c r="H16" i="12834"/>
  <c r="I16" i="12834"/>
  <c r="J16" i="12834"/>
  <c r="K16" i="12834"/>
  <c r="L16" i="12834"/>
  <c r="M16" i="12834"/>
  <c r="N16" i="12834"/>
  <c r="O16" i="12834"/>
  <c r="G17" i="12834"/>
  <c r="H17" i="12834"/>
  <c r="I17" i="12834"/>
  <c r="J17" i="12834"/>
  <c r="K17" i="12834"/>
  <c r="L17" i="12834"/>
  <c r="M17" i="12834"/>
  <c r="N17" i="12834"/>
  <c r="O17" i="12834"/>
  <c r="G18" i="12834"/>
  <c r="H18" i="12834"/>
  <c r="I18" i="12834"/>
  <c r="J18" i="12834"/>
  <c r="K18" i="12834"/>
  <c r="L18" i="12834"/>
  <c r="M18" i="12834"/>
  <c r="N18" i="12834"/>
  <c r="O18" i="12834"/>
  <c r="G19" i="12834"/>
  <c r="H19" i="12834"/>
  <c r="I19" i="12834"/>
  <c r="J19" i="12834"/>
  <c r="K19" i="12834"/>
  <c r="L19" i="12834"/>
  <c r="M19" i="12834"/>
  <c r="N19" i="12834"/>
  <c r="O19" i="12834"/>
  <c r="P23" i="12834"/>
  <c r="Q23" i="12834"/>
  <c r="P24" i="12834"/>
  <c r="Q24" i="12834"/>
  <c r="G25" i="12834"/>
  <c r="H25" i="12834"/>
  <c r="I25" i="12834"/>
  <c r="J25" i="12834"/>
  <c r="K25" i="12834"/>
  <c r="L25" i="12834"/>
  <c r="M25" i="12834"/>
  <c r="N25" i="12834"/>
  <c r="O25" i="12834"/>
  <c r="G33" i="12834"/>
  <c r="H33" i="12834"/>
  <c r="I33" i="12834"/>
  <c r="J33" i="12834"/>
  <c r="K33" i="12834"/>
  <c r="L33" i="12834"/>
  <c r="M33" i="12834"/>
  <c r="N33" i="12834"/>
  <c r="O33" i="12834"/>
  <c r="G34" i="12834"/>
  <c r="H34" i="12834"/>
  <c r="I34" i="12834"/>
  <c r="J34" i="12834"/>
  <c r="K34" i="12834"/>
  <c r="L34" i="12834"/>
  <c r="M34" i="12834"/>
  <c r="N34" i="12834"/>
  <c r="O34" i="12834"/>
  <c r="G35" i="12834"/>
  <c r="H35" i="12834"/>
  <c r="I35" i="12834"/>
  <c r="J35" i="12834"/>
  <c r="K35" i="12834"/>
  <c r="L35" i="12834"/>
  <c r="M35" i="12834"/>
  <c r="N35" i="12834"/>
  <c r="O35" i="12834"/>
  <c r="G36" i="12834"/>
  <c r="H36" i="12834"/>
  <c r="I36" i="12834"/>
  <c r="J36" i="12834"/>
  <c r="K36" i="12834"/>
  <c r="L36" i="12834"/>
  <c r="M36" i="12834"/>
  <c r="N36" i="12834"/>
  <c r="O36" i="12834"/>
  <c r="G40" i="12834"/>
  <c r="H40" i="12834"/>
  <c r="I40" i="12834"/>
  <c r="J40" i="12834"/>
  <c r="K40" i="12834"/>
  <c r="L40" i="12834"/>
  <c r="M40" i="12834"/>
  <c r="N40" i="12834"/>
  <c r="O40" i="12834"/>
  <c r="G42" i="12834"/>
  <c r="H42" i="12834"/>
  <c r="I42" i="12834"/>
  <c r="J42" i="12834"/>
  <c r="K42" i="12834"/>
  <c r="L42" i="12834"/>
  <c r="M42" i="12834"/>
  <c r="N42" i="12834"/>
  <c r="O42" i="12834"/>
  <c r="G43" i="12834"/>
  <c r="H43" i="12834"/>
  <c r="I43" i="12834"/>
  <c r="J43" i="12834"/>
  <c r="K43" i="12834"/>
  <c r="L43" i="12834"/>
  <c r="M43" i="12834"/>
  <c r="N43" i="12834"/>
  <c r="O43" i="12834"/>
  <c r="G44" i="12834"/>
  <c r="H44" i="12834"/>
  <c r="I44" i="12834"/>
  <c r="J44" i="12834"/>
  <c r="K44" i="12834"/>
  <c r="L44" i="12834"/>
  <c r="M44" i="12834"/>
  <c r="N44" i="12834"/>
  <c r="O44" i="12834"/>
  <c r="G45" i="12834"/>
  <c r="H45" i="12834"/>
  <c r="I45" i="12834"/>
  <c r="J45" i="12834"/>
  <c r="K45" i="12834"/>
  <c r="L45" i="12834"/>
  <c r="M45" i="12834"/>
  <c r="N45" i="12834"/>
  <c r="O45" i="12834"/>
  <c r="G46" i="12834"/>
  <c r="H46" i="12834"/>
  <c r="I46" i="12834"/>
  <c r="J46" i="12834"/>
  <c r="K46" i="12834"/>
  <c r="L46" i="12834"/>
  <c r="M46" i="12834"/>
  <c r="N46" i="12834"/>
  <c r="O46" i="12834"/>
  <c r="G50" i="12834"/>
  <c r="H50" i="12834"/>
  <c r="I50" i="12834"/>
  <c r="J50" i="12834"/>
  <c r="K50" i="12834"/>
  <c r="L50" i="12834"/>
  <c r="M50" i="12834"/>
  <c r="N50" i="12834"/>
  <c r="O50" i="12834"/>
  <c r="G52" i="12834"/>
  <c r="H52" i="12834"/>
  <c r="I52" i="12834"/>
  <c r="J52" i="12834"/>
  <c r="K52" i="12834"/>
  <c r="L52" i="12834"/>
  <c r="M52" i="12834"/>
  <c r="N52" i="12834"/>
  <c r="O52" i="12834"/>
  <c r="G53" i="12834"/>
  <c r="H53" i="12834"/>
  <c r="I53" i="12834"/>
  <c r="J53" i="12834"/>
  <c r="K53" i="12834"/>
  <c r="L53" i="12834"/>
  <c r="M53" i="12834"/>
  <c r="N53" i="12834"/>
  <c r="O53" i="12834"/>
  <c r="G54" i="12834"/>
  <c r="H54" i="12834"/>
  <c r="I54" i="12834"/>
  <c r="J54" i="12834"/>
  <c r="K54" i="12834"/>
  <c r="L54" i="12834"/>
  <c r="M54" i="12834"/>
  <c r="N54" i="12834"/>
  <c r="O54" i="12834"/>
  <c r="G55" i="12834"/>
  <c r="H55" i="12834"/>
  <c r="I55" i="12834"/>
  <c r="J55" i="12834"/>
  <c r="K55" i="12834"/>
  <c r="L55" i="12834"/>
  <c r="M55" i="12834"/>
  <c r="N55" i="12834"/>
  <c r="O55" i="12834"/>
  <c r="G56" i="12834"/>
  <c r="H56" i="12834"/>
  <c r="I56" i="12834"/>
  <c r="J56" i="12834"/>
  <c r="K56" i="12834"/>
  <c r="L56" i="12834"/>
  <c r="M56" i="12834"/>
  <c r="N56" i="12834"/>
  <c r="O56" i="12834"/>
  <c r="G60" i="12834"/>
  <c r="H60" i="12834"/>
  <c r="I60" i="12834"/>
  <c r="J60" i="12834"/>
  <c r="K60" i="12834"/>
  <c r="L60" i="12834"/>
  <c r="M60" i="12834"/>
  <c r="N60" i="12834"/>
  <c r="O60" i="12834"/>
  <c r="G62" i="12834"/>
  <c r="H62" i="12834"/>
  <c r="I62" i="12834"/>
  <c r="J62" i="12834"/>
  <c r="K62" i="12834"/>
  <c r="L62" i="12834"/>
  <c r="M62" i="12834"/>
  <c r="N62" i="12834"/>
  <c r="O62" i="12834"/>
  <c r="G66" i="12834"/>
  <c r="H66" i="12834"/>
  <c r="I66" i="12834"/>
  <c r="J66" i="12834"/>
  <c r="K66" i="12834"/>
  <c r="L66" i="12834"/>
  <c r="M66" i="12834"/>
  <c r="N66" i="12834"/>
  <c r="O66" i="12834"/>
  <c r="G68" i="12834"/>
  <c r="H68" i="12834"/>
  <c r="I68" i="12834"/>
  <c r="J68" i="12834"/>
  <c r="K68" i="12834"/>
  <c r="L68" i="12834"/>
  <c r="M68" i="12834"/>
  <c r="N68" i="12834"/>
  <c r="O68" i="12834"/>
  <c r="G69" i="12834"/>
  <c r="H69" i="12834"/>
  <c r="I69" i="12834"/>
  <c r="J69" i="12834"/>
  <c r="K69" i="12834"/>
  <c r="L69" i="12834"/>
  <c r="M69" i="12834"/>
  <c r="N69" i="12834"/>
  <c r="O69" i="12834"/>
  <c r="G71" i="12834"/>
  <c r="H71" i="12834"/>
  <c r="I71" i="12834"/>
  <c r="J71" i="12834"/>
  <c r="K71" i="12834"/>
  <c r="L71" i="12834"/>
  <c r="M71" i="12834"/>
  <c r="N71" i="12834"/>
  <c r="O71" i="12834"/>
  <c r="G73" i="12834"/>
  <c r="H73" i="12834"/>
  <c r="I73" i="12834"/>
  <c r="J73" i="12834"/>
  <c r="K73" i="12834"/>
  <c r="L73" i="12834"/>
  <c r="M73" i="12834"/>
  <c r="N73" i="12834"/>
  <c r="O73" i="12834"/>
  <c r="G77" i="12834"/>
  <c r="K77" i="1283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<sst xmlns="http://schemas.openxmlformats.org/spreadsheetml/2006/main" count="10829" uniqueCount="602">
  <si>
    <t>Total</t>
  </si>
  <si>
    <t>Temperature</t>
  </si>
  <si>
    <t>Residential</t>
  </si>
  <si>
    <t>Commercial</t>
  </si>
  <si>
    <t>kWh</t>
  </si>
  <si>
    <t>Industrial</t>
  </si>
  <si>
    <t>Rate</t>
  </si>
  <si>
    <t>Booked</t>
  </si>
  <si>
    <t>02GNSV0024</t>
  </si>
  <si>
    <t>02GNSV024F</t>
  </si>
  <si>
    <t>02LGSV0036</t>
  </si>
  <si>
    <t>02LGSV048T</t>
  </si>
  <si>
    <t>02OALT015N</t>
  </si>
  <si>
    <t>02RCFL0054</t>
  </si>
  <si>
    <t>02APSV0040</t>
  </si>
  <si>
    <t>02APSV040X</t>
  </si>
  <si>
    <t>02LGSV048M</t>
  </si>
  <si>
    <t>02CUSL053F</t>
  </si>
  <si>
    <t>02CUSL053M</t>
  </si>
  <si>
    <t>$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</si>
  <si>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</si>
  <si>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</si>
  <si>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</si>
  <si>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</si>
  <si>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</si>
  <si>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</si>
  <si>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</si>
  <si>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</si>
  <si>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</si>
  <si>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</si>
  <si>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</si>
  <si>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</si>
  <si>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BPA BALANCING ACCOUNT</t>
  </si>
  <si>
    <t>CUSTOMER COUNT - BPA</t>
  </si>
  <si>
    <t>CUSTOMER COUNT - REGULAR</t>
  </si>
  <si>
    <t>UNBILLED REVENUE</t>
  </si>
  <si>
    <t>02LGSV048M-WA LRG GEN SRV</t>
  </si>
  <si>
    <t>02PRSV47TM-LRG PART REQMT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</si>
  <si>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</si>
  <si>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</si>
  <si>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</si>
  <si>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</si>
  <si>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</si>
  <si>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</si>
  <si>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02CFR00012-STR LGTS (CONV</t>
  </si>
  <si>
    <t>02CUSL053F-WA STR LGT SRV</t>
  </si>
  <si>
    <t>02CUSL053M-WA STR LGT SRV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</si>
  <si>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</si>
  <si>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</si>
  <si>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</si>
  <si>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</si>
  <si>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</si>
  <si>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02PRSV47TM</t>
  </si>
  <si>
    <t>02LNX00300-LINE EXT 80% G</t>
  </si>
  <si>
    <t>02NMT24135, Net metering, WA</t>
  </si>
  <si>
    <t>301119 - UNBILLED REV - UNCOLLECTIBLE</t>
  </si>
  <si>
    <t>02GNSB024F-GEN SRVC DOM/F W/BPA</t>
  </si>
  <si>
    <t>02GNSB0024-WA GEN SRVC DO</t>
  </si>
  <si>
    <t>02GNSB24FP-WA GEN SVC SEASONAL</t>
  </si>
  <si>
    <t>02LGSB0036-LRG GENSVC IRG W/BPA</t>
  </si>
  <si>
    <t>02OALTB15N-WA OUTD AR LGT NR W/BPA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</si>
  <si>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</si>
  <si>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</si>
  <si>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</si>
  <si>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</si>
  <si>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</si>
  <si>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</si>
  <si>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</si>
  <si>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02LNX00311 - LINE EXT 80% GUARANTEE</t>
  </si>
  <si>
    <t>02LNX00310 - IRG, 80% ANNUAL MIN + 80%</t>
  </si>
  <si>
    <t>02LNX00312 - WA IRG LINE EXT</t>
  </si>
  <si>
    <t>02BLSKY01R-BLUESKY ENERGY</t>
  </si>
  <si>
    <t>Effective</t>
  </si>
  <si>
    <t>02NETMT135 - WA RES NET METERING</t>
  </si>
  <si>
    <t>02NETMT135</t>
  </si>
  <si>
    <t>02NETMT135 - WA RES NET METERING-BPA</t>
  </si>
  <si>
    <t>REVENUE_ACCOUNTING ADJUSTMENTS</t>
  </si>
  <si>
    <t>02NMT36135-WA NET METER LRG SVC &lt; 1000KW</t>
  </si>
  <si>
    <t>301461-IRRIGATION DEMAND CHARGE ACCRUAL</t>
  </si>
  <si>
    <t>REVENUE ADJUSTMENT - DEFERRED NPC</t>
  </si>
  <si>
    <t>301280-BLUE SKY REVENUE-COMMERCIAL</t>
  </si>
  <si>
    <t>301470-DSM REVENUE-IRRIGATION</t>
  </si>
  <si>
    <t>301480-BLUE SKY REVENUE-IRRIGATION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</si>
  <si>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</si>
  <si>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</si>
  <si>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</si>
  <si>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</si>
  <si>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</si>
  <si>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</si>
  <si>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Schedule 40</t>
  </si>
  <si>
    <t>Class</t>
  </si>
  <si>
    <t>R</t>
  </si>
  <si>
    <t>U</t>
  </si>
  <si>
    <t>Code</t>
  </si>
  <si>
    <t>301380-BLUE SKY REVENUE-INDUSTRIAL</t>
  </si>
  <si>
    <t>301170-DSM</t>
  </si>
  <si>
    <t>301180-BLU</t>
  </si>
  <si>
    <t>301280-BLU</t>
  </si>
  <si>
    <t>301380-BLU</t>
  </si>
  <si>
    <t>301470-DSM</t>
  </si>
  <si>
    <t>301480-BLU</t>
  </si>
  <si>
    <t>301670-DSM</t>
  </si>
  <si>
    <t>REVENUE AD</t>
  </si>
  <si>
    <t>REVENUE_AC</t>
  </si>
  <si>
    <t>Lighting</t>
  </si>
  <si>
    <t>Unbilled</t>
  </si>
  <si>
    <t>Schedule 15</t>
  </si>
  <si>
    <t>Schedule 51</t>
  </si>
  <si>
    <t>Schedule 54</t>
  </si>
  <si>
    <t>Schedule 48T</t>
  </si>
  <si>
    <t>Rev Adj</t>
  </si>
  <si>
    <t xml:space="preserve">    DSM</t>
  </si>
  <si>
    <t xml:space="preserve">    Blue Sky</t>
  </si>
  <si>
    <t>Secondary</t>
  </si>
  <si>
    <t>Primary</t>
  </si>
  <si>
    <t>Voltage</t>
  </si>
  <si>
    <t>Irrigation</t>
  </si>
  <si>
    <t>367580-REVENUE ADJ PROPERTY INSUR-RES</t>
  </si>
  <si>
    <t>367680-REVENUE ADJ PROPERTY INSUR-COM</t>
  </si>
  <si>
    <t>367780-REVENUE ADJ PROPERTY INSUR-IND</t>
  </si>
  <si>
    <t>367880-REVENUE ADJ PROPERTY INSUR-IRG</t>
  </si>
  <si>
    <t>INCOME TAX DEFERRAL ADJUSTMENTS</t>
  </si>
  <si>
    <t>367580-REV</t>
  </si>
  <si>
    <t>367680-REV</t>
  </si>
  <si>
    <t>367780-REV</t>
  </si>
  <si>
    <t>367880-REV</t>
  </si>
  <si>
    <t>INCOME TAX</t>
  </si>
  <si>
    <t>Rev Adj Property Insur</t>
  </si>
  <si>
    <t xml:space="preserve">    Rev Adj (Revenue Accounting Adjustments and Revenue Adjustment - Deferred NPC)</t>
  </si>
  <si>
    <t xml:space="preserve">    Rev Adj Property Insur</t>
  </si>
  <si>
    <t>Phase</t>
  </si>
  <si>
    <t>Load Size</t>
  </si>
  <si>
    <t>All</t>
  </si>
  <si>
    <t>Sch.18 kW</t>
  </si>
  <si>
    <t>kWh First Block</t>
  </si>
  <si>
    <t>kWh Second Block</t>
  </si>
  <si>
    <t>Single</t>
  </si>
  <si>
    <t>Three</t>
  </si>
  <si>
    <t>kVar (Excess)</t>
  </si>
  <si>
    <t>kW</t>
  </si>
  <si>
    <t>Small</t>
  </si>
  <si>
    <t>Large</t>
  </si>
  <si>
    <t>Billing Unit</t>
  </si>
  <si>
    <t>Quantity</t>
  </si>
  <si>
    <t>kWh On-Peak</t>
  </si>
  <si>
    <t>kWh Off-Peak</t>
  </si>
  <si>
    <t xml:space="preserve">Schedule </t>
  </si>
  <si>
    <t>Line</t>
  </si>
  <si>
    <t>Description Detail</t>
  </si>
  <si>
    <t>Group Code</t>
  </si>
  <si>
    <t>CUSTOMER C</t>
  </si>
  <si>
    <t>Customers</t>
  </si>
  <si>
    <t>Check</t>
  </si>
  <si>
    <t>kW Category</t>
  </si>
  <si>
    <t>Jul-21 - Jun-22</t>
  </si>
  <si>
    <t>101-300</t>
  </si>
  <si>
    <t>301-1000</t>
  </si>
  <si>
    <t>1000+</t>
  </si>
  <si>
    <t>CustIDs</t>
  </si>
  <si>
    <t>02BLSKY01R</t>
  </si>
  <si>
    <t>02BPADEBIT</t>
  </si>
  <si>
    <t>BPA Adj Fee</t>
  </si>
  <si>
    <t>02CFR00012</t>
  </si>
  <si>
    <t>Schedule 53</t>
  </si>
  <si>
    <t>02GN24EV45</t>
  </si>
  <si>
    <t>Schedule 24</t>
  </si>
  <si>
    <t>02GNSB0024</t>
  </si>
  <si>
    <t>02GNSB024F</t>
  </si>
  <si>
    <t>02GNSB24FP</t>
  </si>
  <si>
    <t>02LGSB0036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</si>
  <si>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</si>
  <si>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</si>
  <si>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</si>
  <si>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</si>
  <si>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</si>
  <si>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</si>
  <si>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</si>
  <si>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</si>
  <si>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</si>
  <si>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</si>
  <si>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02NMB24135</t>
  </si>
  <si>
    <t>02NMT24135</t>
  </si>
  <si>
    <t>02NMT36135</t>
  </si>
  <si>
    <t>02NMT40135</t>
  </si>
  <si>
    <t>02NMT48135</t>
  </si>
  <si>
    <t>02NMX40135</t>
  </si>
  <si>
    <t>02OALTB15N</t>
  </si>
  <si>
    <t>02OALTB15R</t>
  </si>
  <si>
    <t>Schedule 47T</t>
  </si>
  <si>
    <t>02RESD0016</t>
  </si>
  <si>
    <t>02RESD0017</t>
  </si>
  <si>
    <t>02RESD0018</t>
  </si>
  <si>
    <t>02RESD018X</t>
  </si>
  <si>
    <t>02RGNSB036</t>
  </si>
  <si>
    <t>02RNM24135</t>
  </si>
  <si>
    <t>02SLCO0051</t>
  </si>
  <si>
    <t>301112-RES</t>
  </si>
  <si>
    <t>Customer Bill Credits</t>
  </si>
  <si>
    <t>301212-COM</t>
  </si>
  <si>
    <t>301270-DSM</t>
  </si>
  <si>
    <t>301312-IND</t>
  </si>
  <si>
    <t>301370-DSM</t>
  </si>
  <si>
    <t>301453-IRR</t>
  </si>
  <si>
    <t>301461-IRR</t>
  </si>
  <si>
    <t>301612-PSH</t>
  </si>
  <si>
    <t>ALT REVENU</t>
  </si>
  <si>
    <t>Alt Rev Program</t>
  </si>
  <si>
    <t>BPA BALANC</t>
  </si>
  <si>
    <t>BPA Bal Acct</t>
  </si>
  <si>
    <t>Income Tax Defer Adj</t>
  </si>
  <si>
    <t>IRRIGATION</t>
  </si>
  <si>
    <t>02RESD019T</t>
  </si>
  <si>
    <t>0</t>
  </si>
  <si>
    <t>1-10</t>
  </si>
  <si>
    <t>11-100</t>
  </si>
  <si>
    <t>Schedule 29,36</t>
  </si>
  <si>
    <t>Sch.18 kW Minimum</t>
  </si>
  <si>
    <t>Load Size kW</t>
  </si>
  <si>
    <t>kWh Third Block</t>
  </si>
  <si>
    <t>Annual Load Size kW</t>
  </si>
  <si>
    <t>Medium</t>
  </si>
  <si>
    <t>Load Size Minimum</t>
  </si>
  <si>
    <t>kW Standby</t>
  </si>
  <si>
    <t>Schedule 48T-DF</t>
  </si>
  <si>
    <t>B</t>
  </si>
  <si>
    <t>02NMB24135, Net metering, WA-BPA</t>
  </si>
  <si>
    <t>02NMT36135-WA NET METER LRG SVC - BPA</t>
  </si>
  <si>
    <t>02GN24EV45-WA ELECTRIC VEHICLE FAST CHG</t>
  </si>
  <si>
    <t>02GNSV0029-WA NON RES TOU PILOT</t>
  </si>
  <si>
    <t>02NMB24135-WA NET METERING</t>
  </si>
  <si>
    <t>02NMT48135-WA LG SVC NET METER=&gt;1000 KW</t>
  </si>
  <si>
    <t>301212-COMMERCIAL CUSTOMER BILL CREDITS</t>
  </si>
  <si>
    <t>301270-DSM REVENUE-COMMERCIAL</t>
  </si>
  <si>
    <t>ALT REVENUE PROGRAM ADJUSTMENTS</t>
  </si>
  <si>
    <t>301370-DSM REVENUE-INDUSTRIAL</t>
  </si>
  <si>
    <t>02BPADEBIT-BPA ADJUST FEE</t>
  </si>
  <si>
    <t>02NMT40135-WA NET METERING BPA-IRG</t>
  </si>
  <si>
    <t>02NMT40135-WA NET METERING-IRG</t>
  </si>
  <si>
    <t>02NMX40135-WA NET METERING-IRG</t>
  </si>
  <si>
    <t>301453-IRRIGATION CUSTOMER BILL CREDITS</t>
  </si>
  <si>
    <t>02SLCO0051-WA COMPANY STREET LIGHTING</t>
  </si>
  <si>
    <t>02RESD0016-WA RES SRVC-BPA</t>
  </si>
  <si>
    <t>02RESD0018-WA 3 PHASE RES-BPA</t>
  </si>
  <si>
    <t>02RESD018X-WA 3 PHASE RES-BPA</t>
  </si>
  <si>
    <t>02RESD019T-WA RESIDENTIAL TOU PILOT BPA</t>
  </si>
  <si>
    <t>02RGNSB024-WA SMALL GENERAL SVC-RES-BPA</t>
  </si>
  <si>
    <t>02RGNSB036-RES LRG GEN SVC &lt; 1000 KW BPA</t>
  </si>
  <si>
    <t>02RNM24135-RES NET MTR SMALL GEN SVC-BPA</t>
  </si>
  <si>
    <t>02CHCK000R-WA RES CHECK M</t>
  </si>
  <si>
    <t>02RESD019T-WA RESIDENTIAL TOU PILOT</t>
  </si>
  <si>
    <t>02RGNSB024-WA SMALL GENERAL SVC-RES</t>
  </si>
  <si>
    <t>02RGNSB036-RES LRG GEN SVC &lt; 1000 KW</t>
  </si>
  <si>
    <t>02RNM24135-RES NET METER SMALL GEN SVC</t>
  </si>
  <si>
    <t>301112-RESIDENTIAL CUSTOMER BILL CREDITS</t>
  </si>
  <si>
    <t>02GNSV0029</t>
  </si>
  <si>
    <t>02CHCK000R</t>
  </si>
  <si>
    <t>Ignore</t>
  </si>
  <si>
    <t>All Classes</t>
  </si>
  <si>
    <t>Irr Demand Charge Accrual</t>
  </si>
  <si>
    <t xml:space="preserve">    Alt Rev Program</t>
  </si>
  <si>
    <t xml:space="preserve">    Customer Bill Credits</t>
  </si>
  <si>
    <t xml:space="preserve">    Income Tax Defer Adj</t>
  </si>
  <si>
    <t xml:space="preserve">    Irr Demand Charge Accrual</t>
  </si>
  <si>
    <t>Schedule 98</t>
  </si>
  <si>
    <t>Other</t>
  </si>
  <si>
    <t>Normalized</t>
  </si>
  <si>
    <t>Load Research kWh</t>
  </si>
  <si>
    <t>Schedule 15,51,53,54</t>
  </si>
  <si>
    <t>kWh Unbilled</t>
  </si>
  <si>
    <t>Normalized Billing Units</t>
  </si>
  <si>
    <t>Schedule 16</t>
  </si>
  <si>
    <t>Bill</t>
  </si>
  <si>
    <t>Annual Bill</t>
  </si>
  <si>
    <t>Level 1 Lamp</t>
  </si>
  <si>
    <t>Level 2 Lamp</t>
  </si>
  <si>
    <t>Level 3 Lamp</t>
  </si>
  <si>
    <t>Level 4 Lamp</t>
  </si>
  <si>
    <t>Level 5 Lamp</t>
  </si>
  <si>
    <t>Level 6 Lamp</t>
  </si>
  <si>
    <t>Level 1 Lamp (Customer Funded Conversion)</t>
  </si>
  <si>
    <t>Level 2 Lamp (Customer Funded Conversion)</t>
  </si>
  <si>
    <t>Level 3 Lamp (Customer Funded Conversion)</t>
  </si>
  <si>
    <t>Level 4 Lamp (Customer Funded Conversion)</t>
  </si>
  <si>
    <t>Level 5 Lamp (Customer Funded Conversion)</t>
  </si>
  <si>
    <t>Level 6 Lamp (Customer Funded Conversion)</t>
  </si>
  <si>
    <t>AutoPay Bill</t>
  </si>
  <si>
    <t>Paperless Bill</t>
  </si>
  <si>
    <t>Schedule 36</t>
  </si>
  <si>
    <t>Annual Guarantee Adjustments</t>
  </si>
  <si>
    <t>Normalizing Adjustments</t>
  </si>
  <si>
    <t>Temperature kWh Normalization</t>
  </si>
  <si>
    <t>Temperature $ Normalization</t>
  </si>
  <si>
    <t>Out-of-Period Normalized Billing Units</t>
  </si>
  <si>
    <t>R,U</t>
  </si>
  <si>
    <t>Primary Delivery Load Size kW</t>
  </si>
  <si>
    <t>Kilowatt Hours</t>
  </si>
  <si>
    <t>Revenue ($)</t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</si>
  <si>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</si>
  <si>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</si>
  <si>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</si>
  <si>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</si>
  <si>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</si>
  <si>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t>Employee Discount $</t>
  </si>
  <si>
    <t>Primary Metering $</t>
  </si>
  <si>
    <t>Primary Metering and Delivery High Voltage</t>
  </si>
  <si>
    <t>AutoPay Bill Credits</t>
  </si>
  <si>
    <t>Paperless Bill Credits</t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</si>
  <si>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</si>
  <si>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</si>
  <si>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>Percentage Effect on Annual $ of</t>
  </si>
  <si>
    <t xml:space="preserve">    Adjustments to allocate $ from Unbilled Lines to Schedule Lines</t>
  </si>
  <si>
    <t>LIRF</t>
  </si>
  <si>
    <t>PCORC</t>
  </si>
  <si>
    <t>Price Changes effective</t>
  </si>
  <si>
    <t>Annualization of</t>
  </si>
  <si>
    <r>
      <t>Other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</si>
  <si>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AutoPay and Paperless Bill Credits booked with Schedule $</t>
    </r>
  </si>
  <si>
    <r>
      <t>Booked</t>
    </r>
    <r>
      <rPr>
        <vertAlign val="superscript"/>
        <sz val="12"/>
        <color rgb="FF000000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</si>
  <si>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Accounting Adjustments: </t>
    </r>
  </si>
  <si>
    <r>
      <t>Accounting</t>
    </r>
    <r>
      <rPr>
        <vertAlign val="superscript"/>
        <sz val="12"/>
        <rFont val="Times New Roman"/>
        <family val="1"/>
      </rPr>
      <t>3</t>
    </r>
  </si>
  <si>
    <r>
      <t>Riders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</si>
  <si>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Riders: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</si>
  <si>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See Docket UE-210532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</si>
  <si>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See Docket UE-210402</t>
    </r>
  </si>
  <si>
    <r>
      <t xml:space="preserve">7 </t>
    </r>
    <r>
      <rPr>
        <sz val="12"/>
        <rFont val="Times New Roman"/>
        <family val="1"/>
      </rPr>
      <t>Other Normalizing Adjustments:</t>
    </r>
  </si>
  <si>
    <r>
      <t>Other</t>
    </r>
    <r>
      <rPr>
        <vertAlign val="superscript"/>
        <sz val="12"/>
        <rFont val="Times New Roman"/>
        <family val="1"/>
      </rPr>
      <t>7</t>
    </r>
  </si>
  <si>
    <r>
      <t>5/1/2022</t>
    </r>
    <r>
      <rPr>
        <vertAlign val="superscript"/>
        <sz val="12"/>
        <rFont val="Times New Roman"/>
        <family val="1"/>
      </rPr>
      <t>6</t>
    </r>
  </si>
  <si>
    <r>
      <t>2/1/2022</t>
    </r>
    <r>
      <rPr>
        <vertAlign val="superscript"/>
        <sz val="12"/>
        <rFont val="Times New Roman"/>
        <family val="1"/>
      </rPr>
      <t>5</t>
    </r>
  </si>
  <si>
    <r>
      <t xml:space="preserve">1 </t>
    </r>
    <r>
      <rPr>
        <sz val="12"/>
        <rFont val="Times New Roman"/>
        <family val="1"/>
      </rPr>
      <t>Adjustments for billings that occurred outside the Booked Period (Out-of-Period Normalizations)</t>
    </r>
  </si>
  <si>
    <t>kWh First Block (October - May)</t>
  </si>
  <si>
    <t>kWh Second Block (October - May)</t>
  </si>
  <si>
    <t>kWh First Block (June - September)</t>
  </si>
  <si>
    <t>kWh Second Block (June - September)</t>
  </si>
  <si>
    <t>kWh Third Block (June - September)</t>
  </si>
  <si>
    <t>kWh Third Block (October - May)</t>
  </si>
  <si>
    <t>Load Research kWh and Temperature $ Normalization</t>
  </si>
  <si>
    <t>Component</t>
  </si>
  <si>
    <t>Units</t>
  </si>
  <si>
    <t>$ Per</t>
  </si>
  <si>
    <r>
      <t>Billed</t>
    </r>
    <r>
      <rPr>
        <vertAlign val="superscript"/>
        <sz val="12"/>
        <rFont val="Times New Roman"/>
        <family val="1"/>
      </rPr>
      <t>1</t>
    </r>
  </si>
  <si>
    <t>Jul-21 - Jun-22 $</t>
  </si>
  <si>
    <t>Present</t>
  </si>
  <si>
    <t>Units, Prices ($ Per), and Revenue ($)</t>
  </si>
  <si>
    <t>AutoPay and Paperless Bill Credits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</si>
  <si>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Excludes AutoPay and Paperless Bill Credits</t>
    </r>
  </si>
  <si>
    <t>Small General Service</t>
  </si>
  <si>
    <t>Proposed</t>
  </si>
  <si>
    <t>Single-Phase</t>
  </si>
  <si>
    <t>Change</t>
  </si>
  <si>
    <t>Three-Phase</t>
  </si>
  <si>
    <t>Schedule 15 - Outdoor Area Lighting Service</t>
  </si>
  <si>
    <t>Schedule 51 - Company-Owned Street Lighting Service</t>
  </si>
  <si>
    <t>Schedule</t>
  </si>
  <si>
    <t>Single-Family Bill</t>
  </si>
  <si>
    <t>Multi-Family Bill</t>
  </si>
  <si>
    <t>Schedules 16, 17, and 19</t>
  </si>
  <si>
    <t>Schedule 16,17,19</t>
  </si>
  <si>
    <t>Residential Service</t>
  </si>
  <si>
    <t>Schedule 16,19</t>
  </si>
  <si>
    <t>Schedule 19</t>
  </si>
  <si>
    <t>Function</t>
  </si>
  <si>
    <t>Sch.48T</t>
  </si>
  <si>
    <t>Sch.40</t>
  </si>
  <si>
    <t>Production Total</t>
  </si>
  <si>
    <t>Transmission Total</t>
  </si>
  <si>
    <t>Distribution Total</t>
  </si>
  <si>
    <t>Customer</t>
  </si>
  <si>
    <t>Common</t>
  </si>
  <si>
    <t>Distribution Substations</t>
  </si>
  <si>
    <t>Distribution Poles and Conductor</t>
  </si>
  <si>
    <t>Distribution Transformers</t>
  </si>
  <si>
    <t>Distribution Meters</t>
  </si>
  <si>
    <t>Distribution Services</t>
  </si>
  <si>
    <t>Production Demand</t>
  </si>
  <si>
    <t>Production Energy</t>
  </si>
  <si>
    <t>Transmission Demand</t>
  </si>
  <si>
    <t>Transmission Energy</t>
  </si>
  <si>
    <t>Sch.16,17,19</t>
  </si>
  <si>
    <t>Sch.24</t>
  </si>
  <si>
    <t>Sch.48T-DF</t>
  </si>
  <si>
    <t>Sch.47T</t>
  </si>
  <si>
    <t xml:space="preserve">Operations and </t>
  </si>
  <si>
    <t>Maintenance</t>
  </si>
  <si>
    <t>Percent of</t>
  </si>
  <si>
    <t>Installation $</t>
  </si>
  <si>
    <t>Polemount Transformer</t>
  </si>
  <si>
    <t>(Per Company</t>
  </si>
  <si>
    <t xml:space="preserve"> Installation $</t>
  </si>
  <si>
    <t>Monthly</t>
  </si>
  <si>
    <t>2022 Use of</t>
  </si>
  <si>
    <t>30 kVA</t>
  </si>
  <si>
    <t>25 kVA</t>
  </si>
  <si>
    <t>Three-Phase $</t>
  </si>
  <si>
    <t>Facilities Report)</t>
  </si>
  <si>
    <t>Seasonal</t>
  </si>
  <si>
    <t>Month</t>
  </si>
  <si>
    <t>Annual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</si>
  <si>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</si>
  <si>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</si>
  <si>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</si>
  <si>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</si>
  <si>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</si>
  <si>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</si>
  <si>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</si>
  <si>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</si>
  <si>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</si>
  <si>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</si>
  <si>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</si>
  <si>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</si>
  <si>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</si>
  <si>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</si>
  <si>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kWh On-Peak (June - September)</t>
  </si>
  <si>
    <t>kWh On-Peak (October - May)</t>
  </si>
  <si>
    <t>kWh Off-Peak (June - September)</t>
  </si>
  <si>
    <t>kWh Off-Peak (October - May)</t>
  </si>
  <si>
    <t>Demand</t>
  </si>
  <si>
    <t>Energy</t>
  </si>
  <si>
    <t>Component Class</t>
  </si>
  <si>
    <t>Large General Service</t>
  </si>
  <si>
    <t>Large Partial Requirements Service</t>
  </si>
  <si>
    <t>Agricultural Pumping Service</t>
  </si>
  <si>
    <t>Large General Service - Dedicated Facilities</t>
  </si>
  <si>
    <t>General Service</t>
  </si>
  <si>
    <t>Schedule 29</t>
  </si>
  <si>
    <t>Load</t>
  </si>
  <si>
    <t>First Block</t>
  </si>
  <si>
    <t>On-Peak</t>
  </si>
  <si>
    <t>IRP Planning</t>
  </si>
  <si>
    <t>Percent</t>
  </si>
  <si>
    <t>Reserve</t>
  </si>
  <si>
    <t>Margin</t>
  </si>
  <si>
    <t>Earned</t>
  </si>
  <si>
    <t>Less</t>
  </si>
  <si>
    <t>Target</t>
  </si>
  <si>
    <t>First Year Target</t>
  </si>
  <si>
    <t>First Year</t>
  </si>
  <si>
    <t>Second Year Target</t>
  </si>
  <si>
    <t>Second Year</t>
  </si>
  <si>
    <t>Sch.15,51-54</t>
  </si>
  <si>
    <t>First Year Proposed</t>
  </si>
  <si>
    <t>Second Year Proposed</t>
  </si>
  <si>
    <t>Changes</t>
  </si>
  <si>
    <t>Bill Comparisons</t>
  </si>
  <si>
    <t>Transmission</t>
  </si>
  <si>
    <t>Note: Excludes Rider Schedules 91, 92, 93, 97, 98, 99, 191, 197</t>
  </si>
  <si>
    <t>Percent Toward</t>
  </si>
  <si>
    <t>Block Elimination</t>
  </si>
  <si>
    <t>Season</t>
  </si>
  <si>
    <t>Household</t>
  </si>
  <si>
    <t>Single-Family</t>
  </si>
  <si>
    <t>Multi-Family</t>
  </si>
  <si>
    <t>Notes:</t>
  </si>
  <si>
    <t>Excludes Rider Schedules 91, 92, 93, 97, 98, 99, 191, 197</t>
  </si>
  <si>
    <t>Type</t>
  </si>
  <si>
    <t>Year</t>
  </si>
  <si>
    <t>June -</t>
  </si>
  <si>
    <t>October -</t>
  </si>
  <si>
    <t>Summer is June-September; Winter is May-October</t>
  </si>
  <si>
    <t>Summer</t>
  </si>
  <si>
    <t>Winter</t>
  </si>
  <si>
    <t>Annualized</t>
  </si>
  <si>
    <t>Size</t>
  </si>
  <si>
    <t>MWh</t>
  </si>
  <si>
    <t>MW</t>
  </si>
  <si>
    <t>Per</t>
  </si>
  <si>
    <t>Revenue Requirements ($) at Cost of Service (COS)</t>
  </si>
  <si>
    <t>First Year COS</t>
  </si>
  <si>
    <t>Second Year COS</t>
  </si>
  <si>
    <t>First Year COS per Component</t>
  </si>
  <si>
    <t>Second Year COS per Component</t>
  </si>
  <si>
    <t>First Year COS per Component Class - Customer</t>
  </si>
  <si>
    <t>First Year COS per Component Class - Load Size</t>
  </si>
  <si>
    <t>First Year COS per Component Class - Demand</t>
  </si>
  <si>
    <t>First Year COS per Component Class - Energy</t>
  </si>
  <si>
    <t>Second Year COS per Component Class - Customer</t>
  </si>
  <si>
    <t>Second Year COS per Component Class - Load Size</t>
  </si>
  <si>
    <t>Second Year COS per Component Class - Demand</t>
  </si>
  <si>
    <t>Second Year COS per Component Class - Energy</t>
  </si>
  <si>
    <t>Schedule 29 Percent kWh</t>
  </si>
  <si>
    <t>Billing Units</t>
  </si>
  <si>
    <t>Megawatt</t>
  </si>
  <si>
    <t>Hours</t>
  </si>
  <si>
    <t>General</t>
  </si>
  <si>
    <t>Outdoor Area Lighting</t>
  </si>
  <si>
    <t>Company-Owned Street Lighting</t>
  </si>
  <si>
    <t>Metered Outdoor Lighting</t>
  </si>
  <si>
    <t>Customer-Owned Street Lighting</t>
  </si>
  <si>
    <t>All Lighting</t>
  </si>
  <si>
    <t>Agricultural Pumping</t>
  </si>
  <si>
    <t>Schedule 53 - Customer-Owned Street Lighting Service</t>
  </si>
  <si>
    <t>Various</t>
  </si>
  <si>
    <t>General - Small</t>
  </si>
  <si>
    <t>General - Large</t>
  </si>
  <si>
    <t>Recreational Field Lighting</t>
  </si>
  <si>
    <t>Schedule 54 - Recreational Field Lighting Service</t>
  </si>
  <si>
    <t>General - Large (Dedicated Facilities)</t>
  </si>
  <si>
    <t>Proposed Revenue Changes</t>
  </si>
  <si>
    <t>Per Proposed Prices and Billing Units for the Twelve Months Ending June 2022</t>
  </si>
  <si>
    <t>Sch.29,36</t>
  </si>
  <si>
    <t>Schedules 29 and 36</t>
  </si>
  <si>
    <t xml:space="preserve">First Year </t>
  </si>
  <si>
    <t xml:space="preserve">Second Year </t>
  </si>
  <si>
    <t>Energy Loss Factors</t>
  </si>
  <si>
    <t>Substations</t>
  </si>
  <si>
    <t>Distribution $</t>
  </si>
  <si>
    <t>Transformers</t>
  </si>
  <si>
    <t>P &amp; C</t>
  </si>
  <si>
    <t>Sales</t>
  </si>
  <si>
    <t>Input</t>
  </si>
  <si>
    <t>Incremental Distribution</t>
  </si>
  <si>
    <t>kWh On-Peak Adder</t>
  </si>
  <si>
    <t>kWh Off-Peak Adder</t>
  </si>
  <si>
    <t>Time-of-Use Metering Fee</t>
  </si>
  <si>
    <t>Differential</t>
  </si>
  <si>
    <t>Price</t>
  </si>
  <si>
    <t>Time-of-Use kWh</t>
  </si>
  <si>
    <t>and Primary</t>
  </si>
  <si>
    <t>Check Present $</t>
  </si>
  <si>
    <t>Schedule 47,48T</t>
  </si>
  <si>
    <t>Description</t>
  </si>
  <si>
    <t>Cost of Service</t>
  </si>
  <si>
    <t>16,17,19</t>
  </si>
  <si>
    <t>15,51,53,54</t>
  </si>
  <si>
    <t>24</t>
  </si>
  <si>
    <t>29,36</t>
  </si>
  <si>
    <t>47,48T</t>
  </si>
  <si>
    <t>40</t>
  </si>
  <si>
    <t>*Dedicated Facilities (DF)</t>
  </si>
  <si>
    <t>48T-DF*</t>
  </si>
  <si>
    <t>Required per</t>
  </si>
  <si>
    <t>as a Percent of</t>
  </si>
  <si>
    <t>A</t>
  </si>
  <si>
    <t>C</t>
  </si>
  <si>
    <t>Adjusted Target</t>
  </si>
  <si>
    <t>Present Revenue</t>
  </si>
  <si>
    <t>Proposed Revenue</t>
  </si>
  <si>
    <t>D</t>
  </si>
  <si>
    <t>E</t>
  </si>
  <si>
    <t>F</t>
  </si>
  <si>
    <t>of Earned</t>
  </si>
  <si>
    <t>$ Per kWh</t>
  </si>
  <si>
    <t>Price Adjustment</t>
  </si>
  <si>
    <t>(50%*</t>
  </si>
  <si>
    <t>Difference)</t>
  </si>
  <si>
    <t>First</t>
  </si>
  <si>
    <t>Second</t>
  </si>
  <si>
    <t>Forecast Wholesale $ Per kWh at Mid-C Trading Hub</t>
  </si>
  <si>
    <t>Proposed Sch. 16 and 24</t>
  </si>
  <si>
    <t>Seasonal Differential</t>
  </si>
  <si>
    <t>Proposed Sch.24</t>
  </si>
  <si>
    <t>&lt; JAM</t>
  </si>
  <si>
    <t>&lt; Proposed</t>
  </si>
  <si>
    <t>$ Per Month</t>
  </si>
  <si>
    <t>$000 Per Month</t>
  </si>
  <si>
    <t>$ Per Year</t>
  </si>
  <si>
    <t>First Year COS per Component Class - Other</t>
  </si>
  <si>
    <t>Second Year COS per Component Class - Other</t>
  </si>
  <si>
    <t>Bill (Basic Charge)</t>
  </si>
  <si>
    <t>Prices ($ Per)</t>
  </si>
  <si>
    <t>Assumptions:</t>
  </si>
  <si>
    <t>Residential Service Monthly Bill Comparisons</t>
  </si>
  <si>
    <t>Rider Schedule 91, Per Bill</t>
  </si>
  <si>
    <t>Rider Schedule 92, Per kWh</t>
  </si>
  <si>
    <t>Rider Schedule 197, Per kWh</t>
  </si>
  <si>
    <t>Rider Schedule 191, Per kWh</t>
  </si>
  <si>
    <t>Rider Schedule 99, Per kWh</t>
  </si>
  <si>
    <t>Rider Schedule 98, Per kWh</t>
  </si>
  <si>
    <t>Rider Schedule 97, Per kWh</t>
  </si>
  <si>
    <t>Rider Schedule 93, Per kWh</t>
  </si>
  <si>
    <t>Total Revenue ($)</t>
  </si>
  <si>
    <t>Note: First Block is all kWh less than or equal to 600 kWh; Second Block is all additional kWh</t>
  </si>
  <si>
    <t>Summer:</t>
  </si>
  <si>
    <t>Winter:</t>
  </si>
  <si>
    <t>1. Schedule 16 Pricing</t>
  </si>
  <si>
    <t>3. Single-Family Household</t>
  </si>
  <si>
    <t>4. Single-Phase Service</t>
  </si>
  <si>
    <t>Average Customers</t>
  </si>
  <si>
    <t>Service</t>
  </si>
  <si>
    <t>48T LS Settlement</t>
  </si>
  <si>
    <t>48T,48T-DF,47T Percent Change</t>
  </si>
  <si>
    <t>47T,48T,48T-DF Percent Change</t>
  </si>
  <si>
    <t>Schedule 40 Average Bills</t>
  </si>
  <si>
    <t>Average Customers, Kilowatt Hours, and Revenue for the Twelve Months Ended June 2022</t>
  </si>
  <si>
    <t>Proposed Schedule 92 Revenue</t>
  </si>
  <si>
    <t>Revenue</t>
  </si>
  <si>
    <t>Proposed Schedule 92 Prices and Revenue</t>
  </si>
  <si>
    <t>($ Per</t>
  </si>
  <si>
    <t>Per Billing Units for the Twelve Months Ending June 2022</t>
  </si>
  <si>
    <t>Kilowatt</t>
  </si>
  <si>
    <t>Hour)</t>
  </si>
  <si>
    <t>($000)</t>
  </si>
  <si>
    <t>Cost of</t>
  </si>
  <si>
    <t>Study</t>
  </si>
  <si>
    <t>Factor 10</t>
  </si>
  <si>
    <t>Billing kWh</t>
  </si>
  <si>
    <t>Per Lamp</t>
  </si>
  <si>
    <t>Schedules 15 and 51</t>
  </si>
  <si>
    <t>Billing</t>
  </si>
  <si>
    <t>&lt; Diff</t>
  </si>
  <si>
    <t>Revenue ($000)</t>
  </si>
  <si>
    <t>2. Average Usage (1,200 kWh per month), with approximately 29 percent in June - September and 71 percent</t>
  </si>
  <si>
    <t xml:space="preserve">    in October - May (percents per customer usage data for the 12 months ending June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</si>
</sst>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########\-###\-###"/>
    <numFmt numFmtId="167" formatCode="_(* #,##0.00000_);_(* \(#,##0.00000\);_(* &quot;-&quot;??_);_(@_)"/>
    <numFmt numFmtId="168" formatCode="[$-409]mmm\-yy;@"/>
    <numFmt numFmtId="169" formatCode="_(* #,##0.000_);_(* \(#,##0.000\);_(* &quot;-&quot;??_);_(@_)"/>
    <numFmt numFmtId="170" formatCode="_(* #,##0.0_);_(* \(#,##0.0\);_(* &quot;-&quot;??_);_(@_)"/>
    <numFmt numFmtId="171" formatCode="[$-409]mmmm\ d\,\ yyyy;@"/>
    <numFmt numFmtId="172" formatCode="0.0%"/>
    <numFmt numFmtId="173" formatCode="_(* #,##0.00000_);_(* \(#,##0.00000\);_(* &quot;-&quot;?????_);_(@_)"/>
    <numFmt numFmtId="174" formatCode="_(* #,##0.000000_);_(* \(#,##0.000000\);_(* &quot;-&quot;??_);_(@_)"/>
  </numFmts>
  <fonts count="39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7"/>
      <name val="Arial"/>
      <family val="2"/>
    </font>
    <font>
      <sz val="10"/>
      <name val="LinePrinter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0"/>
      <color rgb="FF000000"/>
      <name val="Arial"/>
      <family val="2"/>
    </font>
    <font>
      <sz val="12"/>
      <color rgb="FF0000FF"/>
      <name val="Times New Roman"/>
      <family val="1"/>
    </font>
    <font>
      <sz val="10"/>
      <name val="MS Sans Serif"/>
    </font>
    <font>
      <sz val="10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64" fontId="14" fillId="0" borderId="0" applyFont="0" applyAlignment="0" applyProtection="0"/>
    <xf numFmtId="0" fontId="21" fillId="0" borderId="0"/>
    <xf numFmtId="9" fontId="21" fillId="0" borderId="0" applyFont="0" applyFill="0" applyBorder="0" applyAlignment="0" applyProtection="0"/>
    <xf numFmtId="165" fontId="18" fillId="0" borderId="0">
      <alignment horizontal="left"/>
    </xf>
    <xf numFmtId="0" fontId="22" fillId="0" borderId="0"/>
    <xf numFmtId="43" fontId="22" fillId="0" borderId="0" applyFont="0" applyFill="0" applyBorder="0" applyAlignment="0" applyProtection="0"/>
    <xf numFmtId="0" fontId="23" fillId="0" borderId="0">
      <alignment wrapText="1"/>
    </xf>
    <xf numFmtId="0" fontId="24" fillId="0" borderId="0"/>
    <xf numFmtId="43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3" fillId="0" borderId="0"/>
    <xf numFmtId="0" fontId="20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0" fillId="0" borderId="0"/>
    <xf numFmtId="0" fontId="23" fillId="0" borderId="0"/>
    <xf numFmtId="43" fontId="23" fillId="0" borderId="0" applyFont="0" applyFill="0" applyBorder="0" applyAlignment="0" applyProtection="0"/>
    <xf numFmtId="166" fontId="13" fillId="0" borderId="0"/>
    <xf numFmtId="0" fontId="13" fillId="0" borderId="0"/>
    <xf numFmtId="0" fontId="13" fillId="0" borderId="0">
      <alignment wrapText="1"/>
    </xf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20" fillId="0" borderId="0"/>
    <xf numFmtId="0" fontId="25" fillId="0" borderId="0"/>
    <xf numFmtId="0" fontId="24" fillId="0" borderId="0"/>
    <xf numFmtId="0" fontId="9" fillId="0" borderId="0"/>
    <xf numFmtId="0" fontId="8" fillId="0" borderId="0"/>
    <xf numFmtId="0" fontId="7" fillId="0" borderId="0"/>
    <xf numFmtId="0" fontId="27" fillId="0" borderId="0"/>
    <xf numFmtId="0" fontId="13" fillId="0" borderId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2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>
      <alignment wrapText="1"/>
    </xf>
    <xf numFmtId="0" fontId="27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663">
    <xf numFmtId="0" fontId="0" fillId="0" borderId="0" xfId="0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" xfId="0" applyBorder="1"/>
    <xf numFmtId="164" fontId="15" fillId="0" borderId="0" xfId="1" applyNumberFormat="1" applyFont="1" applyFill="1"/>
    <xf numFmtId="0" fontId="15" fillId="0" borderId="0" xfId="0" applyFont="1" applyAlignment="1">
      <alignment horizontal="left"/>
    </xf>
    <xf numFmtId="164" fontId="15" fillId="0" borderId="0" xfId="46" applyNumberFormat="1" applyFont="1" applyFill="1" applyBorder="1" applyAlignment="1"/>
    <xf numFmtId="164" fontId="15" fillId="0" borderId="0" xfId="46" applyNumberFormat="1" applyFont="1" applyFill="1" applyBorder="1" applyAlignment="1">
      <alignment horizontal="centerContinuous"/>
    </xf>
    <xf numFmtId="164" fontId="29" fillId="0" borderId="0" xfId="46" applyNumberFormat="1" applyFont="1" applyFill="1" applyBorder="1" applyAlignment="1" applyProtection="1">
      <alignment horizontal="centerContinuous"/>
    </xf>
    <xf numFmtId="164" fontId="30" fillId="0" borderId="0" xfId="46" applyNumberFormat="1" applyFont="1" applyFill="1" applyBorder="1" applyAlignment="1"/>
    <xf numFmtId="164" fontId="15" fillId="0" borderId="14" xfId="46" applyNumberFormat="1" applyFont="1" applyFill="1" applyBorder="1" applyAlignment="1">
      <alignment horizontal="center"/>
    </xf>
    <xf numFmtId="164" fontId="15" fillId="0" borderId="12" xfId="46" applyNumberFormat="1" applyFont="1" applyFill="1" applyBorder="1" applyAlignment="1"/>
    <xf numFmtId="164" fontId="15" fillId="0" borderId="13" xfId="46" applyNumberFormat="1" applyFont="1" applyFill="1" applyBorder="1" applyAlignment="1"/>
    <xf numFmtId="164" fontId="15" fillId="0" borderId="12" xfId="46" applyNumberFormat="1" applyFont="1" applyFill="1" applyBorder="1" applyAlignment="1" applyProtection="1">
      <alignment horizontal="center"/>
    </xf>
    <xf numFmtId="164" fontId="15" fillId="0" borderId="13" xfId="46" applyNumberFormat="1" applyFont="1" applyFill="1" applyBorder="1" applyAlignment="1" applyProtection="1">
      <alignment horizontal="centerContinuous"/>
    </xf>
    <xf numFmtId="164" fontId="29" fillId="0" borderId="13" xfId="46" applyNumberFormat="1" applyFont="1" applyFill="1" applyBorder="1" applyAlignment="1" applyProtection="1">
      <alignment horizontal="left"/>
    </xf>
    <xf numFmtId="164" fontId="15" fillId="0" borderId="8" xfId="46" applyNumberFormat="1" applyFont="1" applyFill="1" applyBorder="1" applyAlignment="1">
      <alignment horizontal="centerContinuous"/>
    </xf>
    <xf numFmtId="164" fontId="15" fillId="0" borderId="13" xfId="46" applyNumberFormat="1" applyFont="1" applyFill="1" applyBorder="1" applyAlignment="1">
      <alignment horizontal="left"/>
    </xf>
    <xf numFmtId="164" fontId="30" fillId="0" borderId="13" xfId="46" applyNumberFormat="1" applyFont="1" applyFill="1" applyBorder="1" applyAlignment="1">
      <alignment horizontal="left"/>
    </xf>
    <xf numFmtId="164" fontId="15" fillId="0" borderId="15" xfId="46" applyNumberFormat="1" applyFont="1" applyFill="1" applyBorder="1" applyAlignment="1"/>
    <xf numFmtId="164" fontId="15" fillId="0" borderId="15" xfId="46" applyNumberFormat="1" applyFont="1" applyFill="1" applyBorder="1" applyAlignment="1">
      <alignment horizontal="left"/>
    </xf>
    <xf numFmtId="164" fontId="15" fillId="0" borderId="12" xfId="46" applyNumberFormat="1" applyFont="1" applyFill="1" applyBorder="1" applyAlignment="1" applyProtection="1">
      <alignment horizontal="centerContinuous"/>
    </xf>
    <xf numFmtId="164" fontId="15" fillId="0" borderId="13" xfId="1" applyNumberFormat="1" applyFont="1" applyFill="1" applyBorder="1" applyAlignment="1"/>
    <xf numFmtId="164" fontId="15" fillId="0" borderId="15" xfId="1" applyNumberFormat="1" applyFont="1" applyFill="1" applyBorder="1" applyAlignment="1"/>
    <xf numFmtId="164" fontId="15" fillId="0" borderId="11" xfId="46" applyNumberFormat="1" applyFont="1" applyFill="1" applyBorder="1" applyAlignment="1">
      <alignment horizontal="centerContinuous"/>
    </xf>
    <xf numFmtId="164" fontId="15" fillId="0" borderId="3" xfId="46" applyNumberFormat="1" applyFont="1" applyFill="1" applyBorder="1" applyAlignment="1"/>
    <xf numFmtId="164" fontId="29" fillId="0" borderId="12" xfId="46" applyNumberFormat="1" applyFont="1" applyFill="1" applyBorder="1" applyAlignment="1" applyProtection="1">
      <alignment horizontal="left"/>
    </xf>
    <xf numFmtId="164" fontId="29" fillId="0" borderId="9" xfId="46" applyNumberFormat="1" applyFont="1" applyFill="1" applyBorder="1" applyAlignment="1" applyProtection="1">
      <alignment horizontal="centerContinuous"/>
    </xf>
    <xf numFmtId="164" fontId="15" fillId="0" borderId="6" xfId="46" applyNumberFormat="1" applyFont="1" applyFill="1" applyBorder="1" applyAlignment="1"/>
    <xf numFmtId="164" fontId="15" fillId="0" borderId="14" xfId="46" applyNumberFormat="1" applyFont="1" applyFill="1" applyBorder="1" applyAlignment="1">
      <alignment horizontal="left"/>
    </xf>
    <xf numFmtId="164" fontId="15" fillId="0" borderId="4" xfId="46" applyNumberFormat="1" applyFont="1" applyFill="1" applyBorder="1" applyAlignment="1" applyProtection="1">
      <alignment horizontal="center"/>
    </xf>
    <xf numFmtId="164" fontId="15" fillId="0" borderId="3" xfId="46" applyNumberFormat="1" applyFont="1" applyFill="1" applyBorder="1" applyAlignment="1" applyProtection="1">
      <alignment horizontal="centerContinuous"/>
    </xf>
    <xf numFmtId="164" fontId="15" fillId="0" borderId="12" xfId="46" quotePrefix="1" applyNumberFormat="1" applyFont="1" applyFill="1" applyBorder="1" applyAlignment="1">
      <alignment horizontal="left"/>
    </xf>
    <xf numFmtId="164" fontId="15" fillId="0" borderId="12" xfId="1" applyNumberFormat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2" xfId="46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left"/>
    </xf>
    <xf numFmtId="164" fontId="15" fillId="0" borderId="9" xfId="46" applyNumberFormat="1" applyFont="1" applyFill="1" applyBorder="1" applyAlignment="1">
      <alignment horizontal="centerContinuous"/>
    </xf>
    <xf numFmtId="164" fontId="15" fillId="0" borderId="3" xfId="46" applyNumberFormat="1" applyFont="1" applyFill="1" applyBorder="1" applyAlignment="1">
      <alignment horizontal="left"/>
    </xf>
    <xf numFmtId="164" fontId="30" fillId="0" borderId="3" xfId="46" applyNumberFormat="1" applyFont="1" applyFill="1" applyBorder="1" applyAlignment="1">
      <alignment horizontal="left"/>
    </xf>
    <xf numFmtId="164" fontId="15" fillId="0" borderId="4" xfId="46" quotePrefix="1" applyNumberFormat="1" applyFont="1" applyFill="1" applyBorder="1" applyAlignment="1">
      <alignment horizontal="left"/>
    </xf>
    <xf numFmtId="164" fontId="15" fillId="0" borderId="8" xfId="46" applyNumberFormat="1" applyFont="1" applyFill="1" applyBorder="1" applyAlignment="1">
      <alignment horizontal="left"/>
    </xf>
    <xf numFmtId="164" fontId="15" fillId="0" borderId="6" xfId="46" applyNumberFormat="1" applyFont="1" applyFill="1" applyBorder="1" applyAlignment="1" applyProtection="1">
      <alignment horizontal="center"/>
    </xf>
    <xf numFmtId="164" fontId="30" fillId="0" borderId="1" xfId="46" applyNumberFormat="1" applyFont="1" applyFill="1" applyBorder="1" applyAlignment="1">
      <alignment horizontal="left"/>
    </xf>
    <xf numFmtId="164" fontId="15" fillId="0" borderId="6" xfId="46" quotePrefix="1" applyNumberFormat="1" applyFont="1" applyFill="1" applyBorder="1" applyAlignment="1">
      <alignment horizontal="left"/>
    </xf>
    <xf numFmtId="164" fontId="15" fillId="0" borderId="13" xfId="1" applyNumberFormat="1" applyFont="1" applyFill="1" applyBorder="1" applyAlignment="1">
      <alignment horizontal="left"/>
    </xf>
    <xf numFmtId="164" fontId="0" fillId="0" borderId="0" xfId="75" applyNumberFormat="1" applyFont="1" applyFill="1" applyBorder="1" applyAlignment="1"/>
    <xf numFmtId="164" fontId="15" fillId="0" borderId="0" xfId="75" applyNumberFormat="1" applyFont="1" applyFill="1" applyBorder="1" applyAlignment="1"/>
    <xf numFmtId="164" fontId="15" fillId="0" borderId="5" xfId="46" applyNumberFormat="1" applyFont="1" applyFill="1" applyBorder="1" applyAlignment="1"/>
    <xf numFmtId="164" fontId="15" fillId="0" borderId="10" xfId="46" applyNumberFormat="1" applyFont="1" applyFill="1" applyBorder="1" applyAlignment="1">
      <alignment horizontal="centerContinuous"/>
    </xf>
    <xf numFmtId="164" fontId="15" fillId="0" borderId="7" xfId="46" applyNumberFormat="1" applyFont="1" applyFill="1" applyBorder="1" applyAlignment="1">
      <alignment horizontal="centerContinuous"/>
    </xf>
    <xf numFmtId="164" fontId="15" fillId="0" borderId="10" xfId="46" applyNumberFormat="1" applyFont="1" applyFill="1" applyBorder="1" applyAlignment="1">
      <alignment horizontal="center"/>
    </xf>
    <xf numFmtId="164" fontId="15" fillId="0" borderId="4" xfId="46" applyNumberFormat="1" applyFont="1" applyFill="1" applyBorder="1" applyAlignment="1"/>
    <xf numFmtId="164" fontId="0" fillId="0" borderId="13" xfId="75" applyNumberFormat="1" applyFont="1" applyFill="1" applyBorder="1" applyAlignment="1"/>
    <xf numFmtId="164" fontId="31" fillId="0" borderId="13" xfId="1" applyNumberFormat="1" applyFont="1" applyFill="1" applyBorder="1" applyAlignment="1">
      <alignment horizontal="left"/>
    </xf>
    <xf numFmtId="164" fontId="15" fillId="0" borderId="13" xfId="75" applyNumberFormat="1" applyFont="1" applyFill="1" applyBorder="1" applyAlignment="1"/>
    <xf numFmtId="12" fontId="15" fillId="0" borderId="14" xfId="40" applyNumberFormat="1" applyFont="1" applyBorder="1" applyAlignment="1">
      <alignment horizontal="center"/>
    </xf>
    <xf numFmtId="12" fontId="15" fillId="0" borderId="7" xfId="40" applyNumberFormat="1" applyFont="1" applyBorder="1" applyAlignment="1">
      <alignment horizontal="center"/>
    </xf>
    <xf numFmtId="12" fontId="15" fillId="0" borderId="0" xfId="40" applyNumberFormat="1" applyFont="1" applyAlignment="1">
      <alignment horizontal="left"/>
    </xf>
    <xf numFmtId="12" fontId="16" fillId="0" borderId="0" xfId="40" applyNumberFormat="1" applyFont="1" applyAlignment="1">
      <alignment horizontal="left"/>
    </xf>
    <xf numFmtId="164" fontId="33" fillId="0" borderId="0" xfId="40" applyNumberFormat="1" applyFont="1"/>
    <xf numFmtId="0" fontId="33" fillId="0" borderId="0" xfId="40" applyFont="1"/>
    <xf numFmtId="164" fontId="26" fillId="0" borderId="0" xfId="46" applyNumberFormat="1" applyFont="1" applyFill="1" applyBorder="1" applyAlignment="1">
      <alignment horizontal="left"/>
    </xf>
    <xf numFmtId="164" fontId="26" fillId="0" borderId="0" xfId="1" applyNumberFormat="1" applyFont="1" applyFill="1"/>
    <xf numFmtId="164" fontId="31" fillId="0" borderId="0" xfId="46" applyNumberFormat="1" applyFont="1" applyFill="1" applyBorder="1" applyAlignment="1">
      <alignment horizontal="left"/>
    </xf>
    <xf numFmtId="164" fontId="0" fillId="0" borderId="0" xfId="74" applyNumberFormat="1" applyFont="1" applyFill="1" applyBorder="1" applyAlignment="1"/>
    <xf numFmtId="164" fontId="0" fillId="0" borderId="0" xfId="74" applyNumberFormat="1" applyFont="1" applyFill="1" applyAlignment="1"/>
    <xf numFmtId="164" fontId="15" fillId="0" borderId="8" xfId="74" applyNumberFormat="1" applyFont="1" applyFill="1" applyBorder="1" applyAlignment="1">
      <alignment horizontal="centerContinuous"/>
    </xf>
    <xf numFmtId="164" fontId="0" fillId="0" borderId="9" xfId="74" applyNumberFormat="1" applyFont="1" applyFill="1" applyBorder="1" applyAlignment="1">
      <alignment horizontal="centerContinuous"/>
    </xf>
    <xf numFmtId="164" fontId="0" fillId="0" borderId="10" xfId="74" applyNumberFormat="1" applyFont="1" applyFill="1" applyBorder="1" applyAlignment="1">
      <alignment horizontal="centerContinuous"/>
    </xf>
    <xf numFmtId="164" fontId="0" fillId="0" borderId="12" xfId="74" applyNumberFormat="1" applyFont="1" applyFill="1" applyBorder="1" applyAlignment="1"/>
    <xf numFmtId="164" fontId="0" fillId="0" borderId="4" xfId="74" applyNumberFormat="1" applyFont="1" applyFill="1" applyBorder="1" applyAlignment="1"/>
    <xf numFmtId="164" fontId="0" fillId="0" borderId="12" xfId="74" quotePrefix="1" applyNumberFormat="1" applyFont="1" applyFill="1" applyBorder="1" applyAlignment="1">
      <alignment horizontal="center"/>
    </xf>
    <xf numFmtId="168" fontId="31" fillId="0" borderId="12" xfId="75" applyNumberFormat="1" applyFont="1" applyFill="1" applyBorder="1" applyAlignment="1">
      <alignment horizontal="center"/>
    </xf>
    <xf numFmtId="164" fontId="15" fillId="0" borderId="14" xfId="74" applyNumberFormat="1" applyFont="1" applyFill="1" applyBorder="1" applyAlignment="1">
      <alignment horizontal="center"/>
    </xf>
    <xf numFmtId="164" fontId="15" fillId="0" borderId="12" xfId="59" applyNumberFormat="1" applyFont="1" applyFill="1" applyBorder="1" applyAlignment="1">
      <alignment horizontal="left"/>
    </xf>
    <xf numFmtId="164" fontId="26" fillId="0" borderId="12" xfId="74" applyNumberFormat="1" applyFont="1" applyFill="1" applyBorder="1" applyAlignment="1"/>
    <xf numFmtId="164" fontId="0" fillId="0" borderId="13" xfId="74" applyNumberFormat="1" applyFont="1" applyFill="1" applyBorder="1" applyAlignment="1"/>
    <xf numFmtId="164" fontId="15" fillId="0" borderId="13" xfId="59" applyNumberFormat="1" applyFont="1" applyFill="1" applyBorder="1" applyAlignment="1">
      <alignment horizontal="left"/>
    </xf>
    <xf numFmtId="43" fontId="0" fillId="0" borderId="3" xfId="74" quotePrefix="1" applyFont="1" applyFill="1" applyBorder="1" applyAlignment="1"/>
    <xf numFmtId="164" fontId="15" fillId="0" borderId="13" xfId="74" applyNumberFormat="1" applyFont="1" applyFill="1" applyBorder="1" applyAlignment="1"/>
    <xf numFmtId="164" fontId="26" fillId="0" borderId="13" xfId="74" applyNumberFormat="1" applyFont="1" applyFill="1" applyBorder="1" applyAlignment="1"/>
    <xf numFmtId="164" fontId="0" fillId="0" borderId="3" xfId="74" quotePrefix="1" applyNumberFormat="1" applyFont="1" applyFill="1" applyBorder="1" applyAlignment="1"/>
    <xf numFmtId="164" fontId="0" fillId="0" borderId="3" xfId="74" applyNumberFormat="1" applyFont="1" applyFill="1" applyBorder="1" applyAlignment="1"/>
    <xf numFmtId="43" fontId="0" fillId="0" borderId="14" xfId="74" applyFont="1" applyFill="1" applyBorder="1" applyAlignment="1"/>
    <xf numFmtId="164" fontId="0" fillId="0" borderId="14" xfId="74" applyNumberFormat="1" applyFont="1" applyFill="1" applyBorder="1" applyAlignment="1"/>
    <xf numFmtId="164" fontId="15" fillId="0" borderId="14" xfId="59" applyNumberFormat="1" applyFont="1" applyFill="1" applyBorder="1" applyAlignment="1">
      <alignment horizontal="left"/>
    </xf>
    <xf numFmtId="164" fontId="0" fillId="0" borderId="7" xfId="74" applyNumberFormat="1" applyFont="1" applyFill="1" applyBorder="1" applyAlignment="1"/>
    <xf numFmtId="164" fontId="15" fillId="0" borderId="14" xfId="74" applyNumberFormat="1" applyFont="1" applyFill="1" applyBorder="1" applyAlignment="1"/>
    <xf numFmtId="164" fontId="26" fillId="0" borderId="14" xfId="74" applyNumberFormat="1" applyFont="1" applyFill="1" applyBorder="1" applyAlignment="1"/>
    <xf numFmtId="164" fontId="0" fillId="0" borderId="0" xfId="74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4" fontId="0" fillId="0" borderId="0" xfId="1" applyNumberFormat="1" applyFont="1" applyFill="1" applyBorder="1"/>
    <xf numFmtId="164" fontId="0" fillId="0" borderId="12" xfId="75" applyNumberFormat="1" applyFont="1" applyFill="1" applyBorder="1" applyAlignment="1"/>
    <xf numFmtId="164" fontId="15" fillId="0" borderId="12" xfId="75" applyNumberFormat="1" applyFont="1" applyFill="1" applyBorder="1" applyAlignment="1"/>
    <xf numFmtId="164" fontId="0" fillId="0" borderId="12" xfId="1" applyNumberFormat="1" applyFont="1" applyFill="1" applyBorder="1" applyAlignment="1"/>
    <xf numFmtId="164" fontId="26" fillId="0" borderId="12" xfId="75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/>
    <xf numFmtId="164" fontId="26" fillId="0" borderId="13" xfId="75" applyNumberFormat="1" applyFont="1" applyFill="1" applyBorder="1" applyAlignment="1">
      <alignment horizontal="right"/>
    </xf>
    <xf numFmtId="164" fontId="15" fillId="0" borderId="14" xfId="75" applyNumberFormat="1" applyFont="1" applyFill="1" applyBorder="1" applyAlignment="1"/>
    <xf numFmtId="164" fontId="0" fillId="0" borderId="14" xfId="1" applyNumberFormat="1" applyFont="1" applyFill="1" applyBorder="1" applyAlignment="1"/>
    <xf numFmtId="164" fontId="0" fillId="0" borderId="14" xfId="75" applyNumberFormat="1" applyFont="1" applyFill="1" applyBorder="1" applyAlignment="1"/>
    <xf numFmtId="164" fontId="26" fillId="0" borderId="14" xfId="75" applyNumberFormat="1" applyFont="1" applyFill="1" applyBorder="1" applyAlignment="1">
      <alignment horizontal="right"/>
    </xf>
    <xf numFmtId="164" fontId="26" fillId="0" borderId="12" xfId="75" applyNumberFormat="1" applyFont="1" applyFill="1" applyBorder="1" applyAlignment="1">
      <alignment horizontal="right"/>
    </xf>
    <xf numFmtId="164" fontId="26" fillId="0" borderId="13" xfId="75" applyNumberFormat="1" applyFont="1" applyFill="1" applyBorder="1" applyAlignment="1"/>
    <xf numFmtId="164" fontId="26" fillId="0" borderId="14" xfId="75" applyNumberFormat="1" applyFont="1" applyFill="1" applyBorder="1" applyAlignment="1"/>
    <xf numFmtId="164" fontId="15" fillId="0" borderId="0" xfId="58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57" applyFont="1"/>
    <xf numFmtId="0" fontId="15" fillId="0" borderId="0" xfId="57" applyFont="1" applyAlignment="1">
      <alignment horizontal="center"/>
    </xf>
    <xf numFmtId="164" fontId="15" fillId="0" borderId="2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5" xfId="1" applyNumberFormat="1" applyFont="1" applyFill="1" applyBorder="1" applyAlignment="1"/>
    <xf numFmtId="164" fontId="15" fillId="0" borderId="0" xfId="46" applyNumberFormat="1" applyFont="1" applyFill="1" applyBorder="1" applyAlignment="1" applyProtection="1">
      <alignment horizontal="left"/>
    </xf>
    <xf numFmtId="164" fontId="15" fillId="0" borderId="7" xfId="46" applyNumberFormat="1" applyFont="1" applyFill="1" applyBorder="1" applyAlignment="1" applyProtection="1">
      <alignment horizontal="centerContinuous"/>
    </xf>
    <xf numFmtId="164" fontId="15" fillId="0" borderId="0" xfId="46" applyNumberFormat="1" applyFont="1" applyFill="1" applyBorder="1" applyAlignment="1" applyProtection="1">
      <alignment horizontal="center"/>
    </xf>
    <xf numFmtId="164" fontId="15" fillId="0" borderId="11" xfId="46" applyNumberFormat="1" applyFont="1" applyFill="1" applyBorder="1" applyAlignment="1" applyProtection="1">
      <alignment horizontal="center"/>
    </xf>
    <xf numFmtId="164" fontId="15" fillId="0" borderId="12" xfId="46" quotePrefix="1" applyNumberFormat="1" applyFont="1" applyFill="1" applyBorder="1" applyAlignment="1" applyProtection="1">
      <alignment horizontal="center"/>
    </xf>
    <xf numFmtId="164" fontId="0" fillId="0" borderId="13" xfId="1" applyNumberFormat="1" applyFont="1" applyBorder="1" applyAlignment="1"/>
    <xf numFmtId="43" fontId="0" fillId="0" borderId="13" xfId="74" applyFont="1" applyFill="1" applyBorder="1" applyAlignment="1"/>
    <xf numFmtId="164" fontId="0" fillId="0" borderId="3" xfId="55" applyNumberFormat="1" applyFont="1" applyBorder="1" applyAlignment="1"/>
    <xf numFmtId="164" fontId="0" fillId="0" borderId="4" xfId="55" applyNumberFormat="1" applyFont="1" applyBorder="1" applyAlignment="1"/>
    <xf numFmtId="164" fontId="0" fillId="0" borderId="7" xfId="55" applyNumberFormat="1" applyFont="1" applyBorder="1" applyAlignment="1"/>
    <xf numFmtId="164" fontId="0" fillId="0" borderId="6" xfId="74" applyNumberFormat="1" applyFont="1" applyFill="1" applyBorder="1" applyAlignment="1">
      <alignment horizontal="centerContinuous"/>
    </xf>
    <xf numFmtId="164" fontId="15" fillId="0" borderId="12" xfId="74" applyNumberFormat="1" applyFont="1" applyFill="1" applyBorder="1" applyAlignment="1"/>
    <xf numFmtId="169" fontId="15" fillId="0" borderId="13" xfId="1" applyNumberFormat="1" applyFont="1" applyFill="1" applyBorder="1" applyAlignment="1">
      <alignment horizontal="center"/>
    </xf>
    <xf numFmtId="169" fontId="26" fillId="0" borderId="12" xfId="1" applyNumberFormat="1" applyFont="1" applyFill="1" applyBorder="1" applyAlignment="1">
      <alignment horizontal="center"/>
    </xf>
    <xf numFmtId="169" fontId="26" fillId="0" borderId="13" xfId="1" applyNumberFormat="1" applyFont="1" applyFill="1" applyBorder="1" applyAlignment="1">
      <alignment horizontal="center"/>
    </xf>
    <xf numFmtId="169" fontId="26" fillId="0" borderId="14" xfId="1" applyNumberFormat="1" applyFont="1" applyFill="1" applyBorder="1" applyAlignment="1">
      <alignment horizontal="center"/>
    </xf>
    <xf numFmtId="170" fontId="26" fillId="0" borderId="13" xfId="1" applyNumberFormat="1" applyFont="1" applyFill="1" applyBorder="1" applyAlignment="1">
      <alignment horizontal="center"/>
    </xf>
    <xf numFmtId="170" fontId="15" fillId="0" borderId="13" xfId="1" applyNumberFormat="1" applyFont="1" applyFill="1" applyBorder="1" applyAlignment="1">
      <alignment horizontal="center"/>
    </xf>
    <xf numFmtId="169" fontId="15" fillId="0" borderId="15" xfId="1" applyNumberFormat="1" applyFont="1" applyFill="1" applyBorder="1" applyAlignment="1">
      <alignment horizontal="centerContinuous"/>
    </xf>
    <xf numFmtId="171" fontId="15" fillId="0" borderId="14" xfId="1" applyNumberFormat="1" applyFont="1" applyFill="1" applyBorder="1" applyAlignment="1">
      <alignment horizontal="center"/>
    </xf>
    <xf numFmtId="164" fontId="15" fillId="0" borderId="13" xfId="46" applyNumberFormat="1" applyFont="1" applyFill="1" applyBorder="1" applyAlignment="1">
      <alignment horizontal="center"/>
    </xf>
    <xf numFmtId="164" fontId="15" fillId="0" borderId="3" xfId="46" applyNumberFormat="1" applyFont="1" applyFill="1" applyBorder="1" applyAlignment="1">
      <alignment horizontal="centerContinuous"/>
    </xf>
    <xf numFmtId="164" fontId="29" fillId="0" borderId="0" xfId="46" applyNumberFormat="1" applyFont="1" applyFill="1" applyBorder="1" applyAlignment="1" applyProtection="1">
      <alignment horizontal="left"/>
    </xf>
    <xf numFmtId="164" fontId="29" fillId="0" borderId="5" xfId="46" applyNumberFormat="1" applyFont="1" applyFill="1" applyBorder="1" applyAlignment="1" applyProtection="1">
      <alignment horizontal="centerContinuous"/>
    </xf>
    <xf numFmtId="164" fontId="29" fillId="0" borderId="4" xfId="46" applyNumberFormat="1" applyFont="1" applyFill="1" applyBorder="1" applyAlignment="1" applyProtection="1">
      <alignment horizontal="centerContinuous"/>
    </xf>
    <xf numFmtId="164" fontId="29" fillId="0" borderId="6" xfId="46" applyNumberFormat="1" applyFont="1" applyFill="1" applyBorder="1" applyAlignment="1" applyProtection="1">
      <alignment horizontal="centerContinuous"/>
    </xf>
    <xf numFmtId="164" fontId="29" fillId="0" borderId="7" xfId="46" applyNumberFormat="1" applyFont="1" applyFill="1" applyBorder="1" applyAlignment="1" applyProtection="1">
      <alignment horizontal="centerContinuous"/>
    </xf>
    <xf numFmtId="164" fontId="29" fillId="0" borderId="11" xfId="46" applyNumberFormat="1" applyFont="1" applyFill="1" applyBorder="1" applyAlignment="1" applyProtection="1">
      <alignment horizontal="centerContinuous"/>
    </xf>
    <xf numFmtId="164" fontId="15" fillId="0" borderId="5" xfId="46" applyNumberFormat="1" applyFont="1" applyFill="1" applyBorder="1" applyAlignment="1">
      <alignment horizontal="centerContinuous"/>
    </xf>
    <xf numFmtId="164" fontId="14" fillId="0" borderId="5" xfId="46" applyNumberFormat="1" applyFont="1" applyFill="1" applyBorder="1" applyAlignment="1">
      <alignment horizontal="centerContinuous"/>
    </xf>
    <xf numFmtId="12" fontId="15" fillId="0" borderId="14" xfId="40" applyNumberFormat="1" applyFont="1" applyBorder="1" applyAlignment="1">
      <alignment horizontal="centerContinuous"/>
    </xf>
    <xf numFmtId="164" fontId="14" fillId="0" borderId="14" xfId="46" applyNumberFormat="1" applyFont="1" applyFill="1" applyBorder="1" applyAlignment="1">
      <alignment horizontal="centerContinuous"/>
    </xf>
    <xf numFmtId="164" fontId="15" fillId="0" borderId="4" xfId="46" applyNumberFormat="1" applyFont="1" applyFill="1" applyBorder="1" applyAlignment="1">
      <alignment horizontal="centerContinuous"/>
    </xf>
    <xf numFmtId="164" fontId="14" fillId="0" borderId="6" xfId="46" applyNumberFormat="1" applyFont="1" applyFill="1" applyBorder="1" applyAlignment="1">
      <alignment horizontal="centerContinuous"/>
    </xf>
    <xf numFmtId="14" fontId="15" fillId="0" borderId="14" xfId="1" applyNumberFormat="1" applyFont="1" applyFill="1" applyBorder="1" applyAlignment="1">
      <alignment horizontal="center"/>
    </xf>
    <xf numFmtId="164" fontId="15" fillId="0" borderId="0" xfId="46" applyNumberFormat="1" applyFont="1" applyFill="1" applyBorder="1" applyAlignment="1">
      <alignment horizontal="center"/>
    </xf>
    <xf numFmtId="164" fontId="15" fillId="0" borderId="14" xfId="46" applyNumberFormat="1" applyFont="1" applyFill="1" applyBorder="1" applyAlignment="1" applyProtection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43" fontId="0" fillId="0" borderId="0" xfId="1" applyFont="1"/>
    <xf numFmtId="168" fontId="31" fillId="0" borderId="14" xfId="2" applyNumberFormat="1" applyFont="1" applyBorder="1" applyAlignment="1">
      <alignment horizontal="center"/>
    </xf>
    <xf numFmtId="164" fontId="15" fillId="0" borderId="15" xfId="74" quotePrefix="1" applyNumberFormat="1" applyFont="1" applyFill="1" applyBorder="1" applyAlignment="1">
      <alignment horizontal="center"/>
    </xf>
    <xf numFmtId="164" fontId="26" fillId="0" borderId="15" xfId="1" applyNumberFormat="1" applyFont="1" applyBorder="1" applyAlignment="1"/>
    <xf numFmtId="164" fontId="0" fillId="0" borderId="15" xfId="1" applyNumberFormat="1" applyFont="1" applyBorder="1"/>
    <xf numFmtId="0" fontId="15" fillId="0" borderId="11" xfId="46" applyNumberFormat="1" applyFont="1" applyFill="1" applyBorder="1" applyAlignment="1" applyProtection="1">
      <alignment horizontal="center"/>
    </xf>
    <xf numFmtId="164" fontId="15" fillId="0" borderId="13" xfId="58" applyNumberFormat="1" applyFont="1" applyFill="1" applyBorder="1" applyAlignment="1">
      <alignment horizontal="left"/>
    </xf>
    <xf numFmtId="164" fontId="15" fillId="0" borderId="14" xfId="58" applyNumberFormat="1" applyFont="1" applyFill="1" applyBorder="1" applyAlignment="1">
      <alignment horizontal="left"/>
    </xf>
    <xf numFmtId="164" fontId="15" fillId="0" borderId="13" xfId="1" applyNumberFormat="1" applyFont="1" applyFill="1" applyBorder="1" applyAlignment="1">
      <alignment horizontal="center"/>
    </xf>
    <xf numFmtId="164" fontId="15" fillId="0" borderId="14" xfId="1" applyNumberFormat="1" applyFont="1" applyFill="1" applyBorder="1" applyAlignment="1">
      <alignment horizontal="center"/>
    </xf>
    <xf numFmtId="164" fontId="15" fillId="0" borderId="12" xfId="58" applyNumberFormat="1" applyFont="1" applyFill="1" applyBorder="1" applyAlignment="1">
      <alignment horizontal="left"/>
    </xf>
    <xf numFmtId="164" fontId="15" fillId="0" borderId="12" xfId="1" applyNumberFormat="1" applyFont="1" applyFill="1" applyBorder="1" applyAlignment="1">
      <alignment horizontal="center"/>
    </xf>
    <xf numFmtId="167" fontId="26" fillId="0" borderId="12" xfId="1" applyNumberFormat="1" applyFont="1" applyFill="1" applyBorder="1" applyAlignment="1">
      <alignment horizontal="center"/>
    </xf>
    <xf numFmtId="167" fontId="26" fillId="0" borderId="14" xfId="1" applyNumberFormat="1" applyFont="1" applyFill="1" applyBorder="1" applyAlignment="1">
      <alignment horizontal="center"/>
    </xf>
    <xf numFmtId="164" fontId="15" fillId="0" borderId="10" xfId="1" applyNumberFormat="1" applyFont="1" applyFill="1" applyBorder="1" applyAlignment="1">
      <alignment horizontal="centerContinuous"/>
    </xf>
    <xf numFmtId="164" fontId="15" fillId="0" borderId="4" xfId="75" applyNumberFormat="1" applyFont="1" applyFill="1" applyBorder="1" applyAlignment="1">
      <alignment horizontal="centerContinuous"/>
    </xf>
    <xf numFmtId="164" fontId="0" fillId="0" borderId="5" xfId="75" applyNumberFormat="1" applyFont="1" applyFill="1" applyBorder="1" applyAlignment="1">
      <alignment horizontal="centerContinuous"/>
    </xf>
    <xf numFmtId="164" fontId="0" fillId="0" borderId="6" xfId="75" applyNumberFormat="1" applyFont="1" applyFill="1" applyBorder="1" applyAlignment="1">
      <alignment horizontal="centerContinuous"/>
    </xf>
    <xf numFmtId="164" fontId="15" fillId="0" borderId="13" xfId="1" applyNumberFormat="1" applyFont="1" applyFill="1" applyBorder="1"/>
    <xf numFmtId="164" fontId="15" fillId="0" borderId="13" xfId="58" applyNumberFormat="1" applyFont="1" applyFill="1" applyBorder="1"/>
    <xf numFmtId="164" fontId="0" fillId="0" borderId="15" xfId="75" applyNumberFormat="1" applyFont="1" applyFill="1" applyBorder="1" applyAlignment="1"/>
    <xf numFmtId="164" fontId="15" fillId="0" borderId="15" xfId="75" applyNumberFormat="1" applyFont="1" applyFill="1" applyBorder="1" applyAlignment="1"/>
    <xf numFmtId="168" fontId="31" fillId="0" borderId="15" xfId="75" applyNumberFormat="1" applyFont="1" applyFill="1" applyBorder="1" applyAlignment="1">
      <alignment horizontal="center"/>
    </xf>
    <xf numFmtId="168" fontId="31" fillId="0" borderId="13" xfId="75" applyNumberFormat="1" applyFont="1" applyFill="1" applyBorder="1" applyAlignment="1">
      <alignment horizontal="center"/>
    </xf>
    <xf numFmtId="164" fontId="15" fillId="0" borderId="15" xfId="58" applyNumberFormat="1" applyFont="1" applyFill="1" applyBorder="1" applyAlignment="1">
      <alignment horizontal="left"/>
    </xf>
    <xf numFmtId="164" fontId="0" fillId="0" borderId="15" xfId="1" applyNumberFormat="1" applyFont="1" applyFill="1" applyBorder="1" applyAlignment="1"/>
    <xf numFmtId="164" fontId="15" fillId="0" borderId="15" xfId="1" applyNumberFormat="1" applyFont="1" applyFill="1" applyBorder="1" applyAlignment="1">
      <alignment horizontal="center"/>
    </xf>
    <xf numFmtId="43" fontId="0" fillId="0" borderId="0" xfId="1" applyFont="1" applyFill="1"/>
    <xf numFmtId="164" fontId="15" fillId="0" borderId="13" xfId="75" quotePrefix="1" applyNumberFormat="1" applyFont="1" applyFill="1" applyBorder="1" applyAlignment="1"/>
    <xf numFmtId="0" fontId="15" fillId="0" borderId="0" xfId="58" applyNumberFormat="1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15" fillId="0" borderId="5" xfId="1" quotePrefix="1" applyNumberFormat="1" applyFont="1" applyFill="1" applyBorder="1" applyAlignment="1">
      <alignment horizontal="centerContinuous"/>
    </xf>
    <xf numFmtId="164" fontId="15" fillId="0" borderId="6" xfId="75" applyNumberFormat="1" applyFont="1" applyFill="1" applyBorder="1" applyAlignment="1"/>
    <xf numFmtId="164" fontId="15" fillId="0" borderId="6" xfId="58" applyNumberFormat="1" applyFont="1" applyFill="1" applyBorder="1" applyAlignment="1">
      <alignment horizontal="left"/>
    </xf>
    <xf numFmtId="164" fontId="15" fillId="0" borderId="1" xfId="58" applyNumberFormat="1" applyFont="1" applyFill="1" applyBorder="1" applyAlignment="1">
      <alignment horizontal="left"/>
    </xf>
    <xf numFmtId="164" fontId="15" fillId="0" borderId="11" xfId="58" applyNumberFormat="1" applyFont="1" applyFill="1" applyBorder="1" applyAlignment="1">
      <alignment horizontal="left"/>
    </xf>
    <xf numFmtId="164" fontId="15" fillId="0" borderId="1" xfId="75" applyNumberFormat="1" applyFont="1" applyFill="1" applyBorder="1" applyAlignment="1"/>
    <xf numFmtId="43" fontId="15" fillId="0" borderId="4" xfId="58" applyFont="1" applyFill="1" applyBorder="1" applyAlignment="1">
      <alignment horizontal="centerContinuous"/>
    </xf>
    <xf numFmtId="43" fontId="15" fillId="0" borderId="5" xfId="58" applyFont="1" applyFill="1" applyBorder="1" applyAlignment="1">
      <alignment horizontal="centerContinuous"/>
    </xf>
    <xf numFmtId="164" fontId="15" fillId="0" borderId="5" xfId="58" applyNumberFormat="1" applyFont="1" applyFill="1" applyBorder="1" applyAlignment="1">
      <alignment horizontal="centerContinuous"/>
    </xf>
    <xf numFmtId="164" fontId="31" fillId="0" borderId="5" xfId="58" applyNumberFormat="1" applyFont="1" applyFill="1" applyBorder="1" applyAlignment="1">
      <alignment horizontal="centerContinuous"/>
    </xf>
    <xf numFmtId="164" fontId="15" fillId="0" borderId="6" xfId="1" applyNumberFormat="1" applyFont="1" applyFill="1" applyBorder="1" applyAlignment="1">
      <alignment horizontal="centerContinuous"/>
    </xf>
    <xf numFmtId="164" fontId="15" fillId="0" borderId="0" xfId="58" applyNumberFormat="1" applyFont="1" applyFill="1" applyBorder="1" applyAlignment="1">
      <alignment horizontal="centerContinuous"/>
    </xf>
    <xf numFmtId="43" fontId="15" fillId="0" borderId="7" xfId="58" applyFont="1" applyFill="1" applyBorder="1" applyAlignment="1">
      <alignment horizontal="centerContinuous"/>
    </xf>
    <xf numFmtId="43" fontId="15" fillId="0" borderId="2" xfId="58" applyFont="1" applyFill="1" applyBorder="1" applyAlignment="1">
      <alignment horizontal="centerContinuous"/>
    </xf>
    <xf numFmtId="164" fontId="15" fillId="0" borderId="2" xfId="58" applyNumberFormat="1" applyFont="1" applyFill="1" applyBorder="1" applyAlignment="1">
      <alignment horizontal="centerContinuous"/>
    </xf>
    <xf numFmtId="164" fontId="31" fillId="0" borderId="2" xfId="58" applyNumberFormat="1" applyFont="1" applyFill="1" applyBorder="1" applyAlignment="1">
      <alignment horizontal="centerContinuous"/>
    </xf>
    <xf numFmtId="164" fontId="15" fillId="0" borderId="11" xfId="1" applyNumberFormat="1" applyFont="1" applyFill="1" applyBorder="1" applyAlignment="1">
      <alignment horizontal="centerContinuous"/>
    </xf>
    <xf numFmtId="164" fontId="15" fillId="0" borderId="4" xfId="58" applyNumberFormat="1" applyFont="1" applyFill="1" applyBorder="1" applyAlignment="1">
      <alignment horizontal="centerContinuous"/>
    </xf>
    <xf numFmtId="164" fontId="15" fillId="0" borderId="12" xfId="75" quotePrefix="1" applyNumberFormat="1" applyFont="1" applyFill="1" applyBorder="1" applyAlignment="1"/>
    <xf numFmtId="164" fontId="15" fillId="0" borderId="14" xfId="75" quotePrefix="1" applyNumberFormat="1" applyFont="1" applyFill="1" applyBorder="1" applyAlignment="1"/>
    <xf numFmtId="164" fontId="15" fillId="0" borderId="12" xfId="1" applyNumberFormat="1" applyFont="1" applyFill="1" applyBorder="1" applyAlignment="1">
      <alignment horizontal="left"/>
    </xf>
    <xf numFmtId="164" fontId="15" fillId="0" borderId="14" xfId="1" applyNumberFormat="1" applyFont="1" applyFill="1" applyBorder="1" applyAlignment="1">
      <alignment horizontal="left"/>
    </xf>
    <xf numFmtId="164" fontId="0" fillId="0" borderId="14" xfId="1" applyNumberFormat="1" applyFont="1" applyBorder="1" applyAlignment="1"/>
    <xf numFmtId="43" fontId="0" fillId="0" borderId="0" xfId="1" applyFont="1" applyFill="1" applyBorder="1"/>
    <xf numFmtId="164" fontId="0" fillId="0" borderId="12" xfId="1" applyNumberFormat="1" applyFont="1" applyFill="1" applyBorder="1"/>
    <xf numFmtId="164" fontId="15" fillId="0" borderId="14" xfId="46" applyNumberFormat="1" applyFont="1" applyFill="1" applyBorder="1" applyAlignment="1"/>
    <xf numFmtId="164" fontId="15" fillId="0" borderId="15" xfId="46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Continuous"/>
    </xf>
    <xf numFmtId="43" fontId="15" fillId="0" borderId="4" xfId="1" applyFont="1" applyFill="1" applyBorder="1" applyAlignment="1">
      <alignment horizontal="centerContinuous"/>
    </xf>
    <xf numFmtId="43" fontId="15" fillId="0" borderId="3" xfId="1" applyFont="1" applyFill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164" fontId="0" fillId="0" borderId="1" xfId="1" applyNumberFormat="1" applyFont="1" applyFill="1" applyBorder="1"/>
    <xf numFmtId="164" fontId="15" fillId="0" borderId="3" xfId="58" applyNumberFormat="1" applyFont="1" applyFill="1" applyBorder="1" applyAlignment="1">
      <alignment horizontal="centerContinuous"/>
    </xf>
    <xf numFmtId="167" fontId="15" fillId="0" borderId="11" xfId="1" applyNumberFormat="1" applyFont="1" applyFill="1" applyBorder="1"/>
    <xf numFmtId="167" fontId="0" fillId="0" borderId="0" xfId="1" applyNumberFormat="1" applyFont="1" applyFill="1" applyBorder="1"/>
    <xf numFmtId="164" fontId="0" fillId="0" borderId="9" xfId="1" applyNumberFormat="1" applyFont="1" applyBorder="1" applyAlignment="1">
      <alignment horizontal="centerContinuous"/>
    </xf>
    <xf numFmtId="164" fontId="0" fillId="0" borderId="10" xfId="1" applyNumberFormat="1" applyFont="1" applyBorder="1" applyAlignment="1">
      <alignment horizontal="centerContinuous"/>
    </xf>
    <xf numFmtId="164" fontId="0" fillId="0" borderId="0" xfId="1" applyNumberFormat="1" applyFont="1"/>
    <xf numFmtId="164" fontId="0" fillId="0" borderId="12" xfId="1" applyNumberFormat="1" applyFont="1" applyBorder="1"/>
    <xf numFmtId="164" fontId="15" fillId="0" borderId="7" xfId="1" applyNumberFormat="1" applyFont="1" applyBorder="1"/>
    <xf numFmtId="164" fontId="15" fillId="0" borderId="14" xfId="1" applyNumberFormat="1" applyFont="1" applyBorder="1" applyAlignment="1">
      <alignment horizontal="center"/>
    </xf>
    <xf numFmtId="164" fontId="15" fillId="0" borderId="4" xfId="1" applyNumberFormat="1" applyFont="1" applyBorder="1"/>
    <xf numFmtId="164" fontId="15" fillId="0" borderId="12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26" fillId="0" borderId="13" xfId="1" applyNumberFormat="1" applyFont="1" applyBorder="1"/>
    <xf numFmtId="164" fontId="0" fillId="0" borderId="13" xfId="1" applyNumberFormat="1" applyFont="1" applyBorder="1"/>
    <xf numFmtId="164" fontId="15" fillId="0" borderId="3" xfId="1" applyNumberFormat="1" applyFont="1" applyBorder="1"/>
    <xf numFmtId="164" fontId="0" fillId="0" borderId="7" xfId="1" applyNumberFormat="1" applyFont="1" applyBorder="1"/>
    <xf numFmtId="164" fontId="26" fillId="0" borderId="14" xfId="1" applyNumberFormat="1" applyFont="1" applyBorder="1"/>
    <xf numFmtId="164" fontId="0" fillId="0" borderId="14" xfId="1" applyNumberFormat="1" applyFont="1" applyBorder="1"/>
    <xf numFmtId="164" fontId="0" fillId="0" borderId="4" xfId="1" applyNumberFormat="1" applyFont="1" applyBorder="1"/>
    <xf numFmtId="164" fontId="26" fillId="0" borderId="12" xfId="1" applyNumberFormat="1" applyFon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15" fillId="0" borderId="15" xfId="1" applyNumberFormat="1" applyFont="1" applyBorder="1"/>
    <xf numFmtId="164" fontId="0" fillId="0" borderId="0" xfId="1" applyNumberFormat="1" applyFont="1" applyBorder="1"/>
    <xf numFmtId="43" fontId="15" fillId="0" borderId="13" xfId="1" applyFont="1" applyBorder="1"/>
    <xf numFmtId="43" fontId="0" fillId="0" borderId="13" xfId="1" applyFont="1" applyBorder="1"/>
    <xf numFmtId="43" fontId="0" fillId="0" borderId="3" xfId="1" applyFont="1" applyBorder="1"/>
    <xf numFmtId="43" fontId="15" fillId="0" borderId="13" xfId="1" applyFont="1" applyFill="1" applyBorder="1" applyAlignment="1">
      <alignment horizontal="center"/>
    </xf>
    <xf numFmtId="43" fontId="15" fillId="0" borderId="14" xfId="1" applyFont="1" applyBorder="1"/>
    <xf numFmtId="43" fontId="15" fillId="0" borderId="14" xfId="1" applyFont="1" applyFill="1" applyBorder="1" applyAlignment="1">
      <alignment horizontal="center"/>
    </xf>
    <xf numFmtId="164" fontId="15" fillId="0" borderId="10" xfId="1" applyNumberFormat="1" applyFont="1" applyBorder="1" applyAlignment="1">
      <alignment horizontal="centerContinuous"/>
    </xf>
    <xf numFmtId="164" fontId="15" fillId="0" borderId="12" xfId="1" applyNumberFormat="1" applyFont="1" applyBorder="1"/>
    <xf numFmtId="164" fontId="15" fillId="0" borderId="14" xfId="1" applyNumberFormat="1" applyFont="1" applyBorder="1"/>
    <xf numFmtId="167" fontId="0" fillId="0" borderId="0" xfId="1" applyNumberFormat="1" applyFont="1" applyFill="1"/>
    <xf numFmtId="167" fontId="0" fillId="0" borderId="0" xfId="0" applyNumberFormat="1"/>
    <xf numFmtId="164" fontId="0" fillId="0" borderId="11" xfId="1" applyNumberFormat="1" applyFont="1" applyBorder="1"/>
    <xf numFmtId="164" fontId="26" fillId="0" borderId="0" xfId="1" applyNumberFormat="1" applyFont="1" applyFill="1" applyBorder="1"/>
    <xf numFmtId="43" fontId="15" fillId="0" borderId="0" xfId="1" applyFont="1" applyFill="1" applyBorder="1" applyAlignment="1">
      <alignment horizontal="centerContinuous"/>
    </xf>
    <xf numFmtId="43" fontId="15" fillId="0" borderId="5" xfId="1" applyFont="1" applyFill="1" applyBorder="1" applyAlignment="1">
      <alignment horizontal="centerContinuous"/>
    </xf>
    <xf numFmtId="43" fontId="15" fillId="0" borderId="6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Continuous"/>
    </xf>
    <xf numFmtId="43" fontId="0" fillId="0" borderId="7" xfId="1" applyFont="1" applyFill="1" applyBorder="1" applyAlignment="1">
      <alignment horizontal="centerContinuous"/>
    </xf>
    <xf numFmtId="164" fontId="0" fillId="0" borderId="6" xfId="1" applyNumberFormat="1" applyFont="1" applyFill="1" applyBorder="1"/>
    <xf numFmtId="164" fontId="0" fillId="0" borderId="11" xfId="1" applyNumberFormat="1" applyFont="1" applyFill="1" applyBorder="1"/>
    <xf numFmtId="43" fontId="0" fillId="0" borderId="0" xfId="0" applyNumberFormat="1"/>
    <xf numFmtId="167" fontId="15" fillId="0" borderId="12" xfId="1" applyNumberFormat="1" applyFont="1" applyFill="1" applyBorder="1" applyAlignment="1">
      <alignment horizontal="center"/>
    </xf>
    <xf numFmtId="167" fontId="15" fillId="0" borderId="13" xfId="1" applyNumberFormat="1" applyFont="1" applyFill="1" applyBorder="1" applyAlignment="1">
      <alignment horizontal="center"/>
    </xf>
    <xf numFmtId="167" fontId="15" fillId="0" borderId="14" xfId="1" applyNumberFormat="1" applyFont="1" applyFill="1" applyBorder="1" applyAlignment="1">
      <alignment horizontal="center"/>
    </xf>
    <xf numFmtId="167" fontId="15" fillId="0" borderId="0" xfId="1" applyNumberFormat="1" applyFont="1" applyFill="1" applyBorder="1" applyAlignment="1">
      <alignment horizontal="center"/>
    </xf>
    <xf numFmtId="164" fontId="15" fillId="0" borderId="13" xfId="1" applyNumberFormat="1" applyFont="1" applyBorder="1"/>
    <xf numFmtId="164" fontId="15" fillId="0" borderId="12" xfId="58" applyNumberFormat="1" applyFont="1" applyBorder="1" applyAlignment="1">
      <alignment horizontal="left"/>
    </xf>
    <xf numFmtId="164" fontId="15" fillId="0" borderId="13" xfId="58" applyNumberFormat="1" applyFont="1" applyBorder="1" applyAlignment="1">
      <alignment horizontal="left"/>
    </xf>
    <xf numFmtId="164" fontId="15" fillId="0" borderId="14" xfId="58" applyNumberFormat="1" applyFont="1" applyBorder="1" applyAlignment="1">
      <alignment horizontal="left"/>
    </xf>
    <xf numFmtId="43" fontId="15" fillId="0" borderId="12" xfId="1" applyFont="1" applyBorder="1"/>
    <xf numFmtId="164" fontId="15" fillId="0" borderId="0" xfId="1" applyNumberFormat="1" applyFont="1" applyFill="1" applyBorder="1" applyAlignment="1">
      <alignment horizontal="centerContinuous"/>
    </xf>
    <xf numFmtId="43" fontId="15" fillId="0" borderId="0" xfId="1" applyFont="1" applyFill="1" applyBorder="1" applyAlignment="1">
      <alignment horizontal="left"/>
    </xf>
    <xf numFmtId="164" fontId="0" fillId="0" borderId="0" xfId="75" applyNumberFormat="1" applyFont="1" applyFill="1" applyBorder="1" applyAlignment="1">
      <alignment horizontal="left"/>
    </xf>
    <xf numFmtId="167" fontId="15" fillId="0" borderId="0" xfId="1" applyNumberFormat="1" applyFont="1" applyFill="1" applyBorder="1" applyAlignment="1">
      <alignment horizontal="left"/>
    </xf>
    <xf numFmtId="164" fontId="15" fillId="0" borderId="15" xfId="1" applyNumberFormat="1" applyFont="1" applyFill="1" applyBorder="1"/>
    <xf numFmtId="164" fontId="15" fillId="0" borderId="14" xfId="1" applyNumberFormat="1" applyFont="1" applyFill="1" applyBorder="1"/>
    <xf numFmtId="164" fontId="15" fillId="0" borderId="7" xfId="1" applyNumberFormat="1" applyFont="1" applyFill="1" applyBorder="1"/>
    <xf numFmtId="164" fontId="0" fillId="0" borderId="15" xfId="1" applyNumberFormat="1" applyFont="1" applyFill="1" applyBorder="1"/>
    <xf numFmtId="164" fontId="0" fillId="0" borderId="9" xfId="1" applyNumberFormat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centerContinuous"/>
    </xf>
    <xf numFmtId="167" fontId="26" fillId="0" borderId="0" xfId="1" applyNumberFormat="1" applyFont="1" applyFill="1"/>
    <xf numFmtId="164" fontId="15" fillId="0" borderId="8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167" fontId="26" fillId="0" borderId="0" xfId="1" applyNumberFormat="1" applyFont="1" applyFill="1" applyAlignment="1">
      <alignment horizontal="left"/>
    </xf>
    <xf numFmtId="164" fontId="15" fillId="0" borderId="12" xfId="1" applyNumberFormat="1" applyFont="1" applyFill="1" applyBorder="1"/>
    <xf numFmtId="167" fontId="0" fillId="0" borderId="13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164" fontId="0" fillId="0" borderId="5" xfId="1" applyNumberFormat="1" applyFont="1" applyFill="1" applyBorder="1"/>
    <xf numFmtId="164" fontId="0" fillId="0" borderId="2" xfId="1" applyNumberFormat="1" applyFont="1" applyFill="1" applyBorder="1"/>
    <xf numFmtId="167" fontId="26" fillId="0" borderId="0" xfId="1" applyNumberFormat="1" applyFont="1" applyFill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72" fontId="26" fillId="0" borderId="13" xfId="77" applyNumberFormat="1" applyFont="1" applyBorder="1" applyAlignment="1">
      <alignment horizontal="center"/>
    </xf>
    <xf numFmtId="172" fontId="0" fillId="0" borderId="14" xfId="77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15" fillId="0" borderId="1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Continuous"/>
    </xf>
    <xf numFmtId="164" fontId="0" fillId="0" borderId="5" xfId="1" applyNumberFormat="1" applyFont="1" applyBorder="1" applyAlignment="1">
      <alignment horizontal="centerContinuous"/>
    </xf>
    <xf numFmtId="164" fontId="0" fillId="0" borderId="11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Continuous"/>
    </xf>
    <xf numFmtId="164" fontId="15" fillId="0" borderId="2" xfId="1" applyNumberFormat="1" applyFont="1" applyBorder="1" applyAlignment="1">
      <alignment horizontal="centerContinuous"/>
    </xf>
    <xf numFmtId="164" fontId="15" fillId="0" borderId="12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9" fontId="15" fillId="0" borderId="0" xfId="77" applyFont="1" applyFill="1" applyBorder="1" applyAlignment="1">
      <alignment horizontal="center"/>
    </xf>
    <xf numFmtId="9" fontId="26" fillId="0" borderId="0" xfId="0" applyNumberFormat="1" applyFont="1" applyAlignment="1">
      <alignment horizontal="center"/>
    </xf>
    <xf numFmtId="164" fontId="15" fillId="0" borderId="13" xfId="1" applyNumberFormat="1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38" fillId="0" borderId="0" xfId="1" applyNumberFormat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centerContinuous"/>
    </xf>
    <xf numFmtId="164" fontId="0" fillId="0" borderId="5" xfId="1" applyNumberFormat="1" applyFont="1" applyFill="1" applyBorder="1" applyAlignment="1">
      <alignment horizontal="centerContinuous"/>
    </xf>
    <xf numFmtId="164" fontId="15" fillId="0" borderId="9" xfId="1" applyNumberFormat="1" applyFont="1" applyFill="1" applyBorder="1" applyAlignment="1">
      <alignment horizontal="centerContinuous"/>
    </xf>
    <xf numFmtId="164" fontId="15" fillId="0" borderId="3" xfId="1" applyNumberFormat="1" applyFont="1" applyFill="1" applyBorder="1" applyAlignment="1">
      <alignment horizontal="centerContinuous"/>
    </xf>
    <xf numFmtId="164" fontId="15" fillId="0" borderId="7" xfId="1" applyNumberFormat="1" applyFont="1" applyFill="1" applyBorder="1" applyAlignment="1">
      <alignment horizontal="centerContinuous"/>
    </xf>
    <xf numFmtId="164" fontId="0" fillId="0" borderId="2" xfId="1" applyNumberFormat="1" applyFont="1" applyFill="1" applyBorder="1" applyAlignment="1">
      <alignment horizontal="centerContinuous"/>
    </xf>
    <xf numFmtId="43" fontId="15" fillId="0" borderId="13" xfId="1" applyFont="1" applyFill="1" applyBorder="1"/>
    <xf numFmtId="167" fontId="26" fillId="0" borderId="0" xfId="1" applyNumberFormat="1" applyFont="1" applyFill="1" applyBorder="1" applyAlignment="1">
      <alignment horizontal="left"/>
    </xf>
    <xf numFmtId="164" fontId="0" fillId="0" borderId="12" xfId="1" applyNumberFormat="1" applyFont="1" applyFill="1" applyBorder="1" applyAlignment="1">
      <alignment horizontal="center"/>
    </xf>
    <xf numFmtId="164" fontId="0" fillId="0" borderId="3" xfId="1" applyNumberFormat="1" applyFont="1" applyFill="1" applyBorder="1"/>
    <xf numFmtId="164" fontId="0" fillId="0" borderId="7" xfId="1" applyNumberFormat="1" applyFont="1" applyFill="1" applyBorder="1"/>
    <xf numFmtId="43" fontId="15" fillId="0" borderId="13" xfId="1" applyFont="1" applyBorder="1" applyAlignment="1">
      <alignment horizontal="left"/>
    </xf>
    <xf numFmtId="43" fontId="15" fillId="0" borderId="12" xfId="1" applyFont="1" applyBorder="1" applyAlignment="1">
      <alignment horizontal="left"/>
    </xf>
    <xf numFmtId="43" fontId="15" fillId="0" borderId="14" xfId="1" applyFont="1" applyBorder="1" applyAlignment="1">
      <alignment horizontal="left"/>
    </xf>
    <xf numFmtId="167" fontId="26" fillId="0" borderId="0" xfId="0" applyNumberFormat="1" applyFont="1"/>
    <xf numFmtId="164" fontId="0" fillId="0" borderId="11" xfId="1" applyNumberFormat="1" applyFont="1" applyFill="1" applyBorder="1" applyAlignment="1">
      <alignment horizontal="centerContinuous"/>
    </xf>
    <xf numFmtId="164" fontId="26" fillId="0" borderId="15" xfId="1" applyNumberFormat="1" applyFont="1" applyFill="1" applyBorder="1"/>
    <xf numFmtId="164" fontId="0" fillId="0" borderId="1" xfId="1" applyNumberFormat="1" applyFont="1" applyFill="1" applyBorder="1" applyAlignment="1">
      <alignment horizontal="centerContinuous"/>
    </xf>
    <xf numFmtId="164" fontId="15" fillId="0" borderId="4" xfId="1" applyNumberFormat="1" applyFont="1" applyFill="1" applyBorder="1"/>
    <xf numFmtId="164" fontId="15" fillId="0" borderId="3" xfId="1" applyNumberFormat="1" applyFont="1" applyFill="1" applyBorder="1"/>
    <xf numFmtId="0" fontId="0" fillId="0" borderId="2" xfId="0" applyBorder="1"/>
    <xf numFmtId="1" fontId="0" fillId="0" borderId="1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73" fontId="0" fillId="0" borderId="0" xfId="0" applyNumberFormat="1"/>
    <xf numFmtId="164" fontId="15" fillId="0" borderId="5" xfId="1" applyNumberFormat="1" applyFont="1" applyFill="1" applyBorder="1" applyAlignment="1">
      <alignment horizontal="centerContinuous"/>
    </xf>
    <xf numFmtId="43" fontId="0" fillId="0" borderId="5" xfId="1" applyFont="1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0" fillId="0" borderId="2" xfId="1" applyFont="1" applyFill="1" applyBorder="1" applyAlignment="1">
      <alignment horizontal="centerContinuous"/>
    </xf>
    <xf numFmtId="43" fontId="15" fillId="0" borderId="8" xfId="1" applyFont="1" applyFill="1" applyBorder="1" applyAlignment="1">
      <alignment horizontal="centerContinuous"/>
    </xf>
    <xf numFmtId="43" fontId="15" fillId="0" borderId="12" xfId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31" fillId="0" borderId="13" xfId="75" applyNumberFormat="1" applyFont="1" applyFill="1" applyBorder="1" applyAlignment="1">
      <alignment horizontal="left"/>
    </xf>
    <xf numFmtId="164" fontId="31" fillId="0" borderId="14" xfId="75" applyNumberFormat="1" applyFont="1" applyFill="1" applyBorder="1" applyAlignment="1">
      <alignment horizontal="left"/>
    </xf>
    <xf numFmtId="167" fontId="15" fillId="0" borderId="13" xfId="1" applyNumberFormat="1" applyFont="1" applyFill="1" applyBorder="1"/>
    <xf numFmtId="167" fontId="0" fillId="0" borderId="13" xfId="0" applyNumberFormat="1" applyBorder="1"/>
    <xf numFmtId="164" fontId="31" fillId="0" borderId="14" xfId="1" applyNumberFormat="1" applyFont="1" applyFill="1" applyBorder="1" applyAlignment="1">
      <alignment horizontal="left"/>
    </xf>
    <xf numFmtId="167" fontId="15" fillId="0" borderId="12" xfId="1" applyNumberFormat="1" applyFont="1" applyFill="1" applyBorder="1"/>
    <xf numFmtId="167" fontId="15" fillId="0" borderId="14" xfId="1" applyNumberFormat="1" applyFont="1" applyFill="1" applyBorder="1"/>
    <xf numFmtId="43" fontId="15" fillId="0" borderId="15" xfId="1" applyFont="1" applyBorder="1"/>
    <xf numFmtId="167" fontId="0" fillId="0" borderId="12" xfId="0" applyNumberFormat="1" applyBorder="1"/>
    <xf numFmtId="164" fontId="15" fillId="0" borderId="15" xfId="1" applyNumberFormat="1" applyFont="1" applyFill="1" applyBorder="1" applyAlignment="1">
      <alignment horizontal="left"/>
    </xf>
    <xf numFmtId="164" fontId="15" fillId="0" borderId="14" xfId="1" applyNumberFormat="1" applyFont="1" applyBorder="1" applyAlignment="1"/>
    <xf numFmtId="164" fontId="0" fillId="0" borderId="13" xfId="1" applyNumberFormat="1" applyFont="1" applyFill="1" applyBorder="1" applyAlignment="1">
      <alignment horizontal="left"/>
    </xf>
    <xf numFmtId="164" fontId="15" fillId="0" borderId="13" xfId="1" applyNumberFormat="1" applyFont="1" applyBorder="1" applyAlignment="1">
      <alignment horizontal="left"/>
    </xf>
    <xf numFmtId="164" fontId="15" fillId="0" borderId="14" xfId="1" applyNumberFormat="1" applyFont="1" applyBorder="1" applyAlignment="1">
      <alignment horizontal="left"/>
    </xf>
    <xf numFmtId="164" fontId="15" fillId="0" borderId="8" xfId="1" applyNumberFormat="1" applyFont="1" applyFill="1" applyBorder="1"/>
    <xf numFmtId="0" fontId="0" fillId="0" borderId="9" xfId="0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4" fontId="15" fillId="0" borderId="6" xfId="1" applyNumberFormat="1" applyFont="1" applyBorder="1" applyAlignment="1">
      <alignment horizontal="centerContinuous"/>
    </xf>
    <xf numFmtId="0" fontId="0" fillId="0" borderId="13" xfId="0" applyBorder="1"/>
    <xf numFmtId="0" fontId="0" fillId="0" borderId="12" xfId="0" applyBorder="1"/>
    <xf numFmtId="0" fontId="0" fillId="0" borderId="10" xfId="0" applyBorder="1"/>
    <xf numFmtId="43" fontId="15" fillId="0" borderId="0" xfId="1" applyFont="1" applyFill="1" applyBorder="1" applyAlignment="1">
      <alignment horizontal="center"/>
    </xf>
    <xf numFmtId="167" fontId="26" fillId="0" borderId="0" xfId="1" applyNumberFormat="1" applyFont="1" applyFill="1" applyBorder="1"/>
    <xf numFmtId="164" fontId="0" fillId="0" borderId="4" xfId="75" applyNumberFormat="1" applyFont="1" applyFill="1" applyBorder="1" applyAlignment="1">
      <alignment horizontal="centerContinuous"/>
    </xf>
    <xf numFmtId="164" fontId="26" fillId="0" borderId="10" xfId="1" applyNumberFormat="1" applyFont="1" applyFill="1" applyBorder="1" applyAlignment="1">
      <alignment horizontal="centerContinuous"/>
    </xf>
    <xf numFmtId="43" fontId="15" fillId="0" borderId="15" xfId="1" applyFont="1" applyFill="1" applyBorder="1"/>
    <xf numFmtId="43" fontId="0" fillId="0" borderId="13" xfId="1" applyFont="1" applyFill="1" applyBorder="1" applyAlignment="1">
      <alignment horizontal="left"/>
    </xf>
    <xf numFmtId="164" fontId="15" fillId="0" borderId="9" xfId="1" applyNumberFormat="1" applyFont="1" applyFill="1" applyBorder="1"/>
    <xf numFmtId="43" fontId="15" fillId="0" borderId="13" xfId="1" applyFont="1" applyFill="1" applyBorder="1" applyAlignment="1">
      <alignment horizontal="left"/>
    </xf>
    <xf numFmtId="43" fontId="15" fillId="0" borderId="14" xfId="1" applyFont="1" applyFill="1" applyBorder="1" applyAlignment="1">
      <alignment horizontal="left"/>
    </xf>
    <xf numFmtId="43" fontId="15" fillId="0" borderId="12" xfId="1" applyFont="1" applyFill="1" applyBorder="1" applyAlignment="1">
      <alignment horizontal="left"/>
    </xf>
    <xf numFmtId="43" fontId="15" fillId="0" borderId="14" xfId="1" applyFont="1" applyFill="1" applyBorder="1"/>
    <xf numFmtId="43" fontId="0" fillId="0" borderId="12" xfId="1" applyFont="1" applyBorder="1" applyAlignment="1">
      <alignment horizontal="left"/>
    </xf>
    <xf numFmtId="167" fontId="15" fillId="0" borderId="0" xfId="0" applyNumberFormat="1" applyFont="1"/>
    <xf numFmtId="164" fontId="26" fillId="0" borderId="11" xfId="1" applyNumberFormat="1" applyFont="1" applyFill="1" applyBorder="1" applyAlignment="1">
      <alignment horizontal="centerContinuous"/>
    </xf>
    <xf numFmtId="167" fontId="15" fillId="0" borderId="0" xfId="1" applyNumberFormat="1" applyFont="1" applyFill="1" applyBorder="1"/>
    <xf numFmtId="9" fontId="0" fillId="0" borderId="0" xfId="77" applyFont="1" applyFill="1" applyBorder="1"/>
    <xf numFmtId="174" fontId="0" fillId="0" borderId="0" xfId="1" applyNumberFormat="1" applyFont="1" applyFill="1" applyBorder="1"/>
    <xf numFmtId="43" fontId="0" fillId="0" borderId="0" xfId="1" applyFont="1" applyBorder="1"/>
    <xf numFmtId="43" fontId="15" fillId="0" borderId="4" xfId="1" applyFont="1" applyBorder="1" applyAlignment="1">
      <alignment horizontal="centerContinuous"/>
    </xf>
    <xf numFmtId="43" fontId="0" fillId="0" borderId="5" xfId="1" applyFont="1" applyBorder="1" applyAlignment="1">
      <alignment horizontal="centerContinuous"/>
    </xf>
    <xf numFmtId="43" fontId="0" fillId="0" borderId="6" xfId="1" applyFont="1" applyBorder="1" applyAlignment="1">
      <alignment horizontal="centerContinuous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centerContinuous"/>
    </xf>
    <xf numFmtId="43" fontId="0" fillId="0" borderId="10" xfId="1" applyFont="1" applyBorder="1" applyAlignment="1">
      <alignment horizontal="centerContinuous"/>
    </xf>
    <xf numFmtId="43" fontId="0" fillId="0" borderId="9" xfId="1" applyFont="1" applyBorder="1" applyAlignment="1">
      <alignment horizontal="centerContinuous"/>
    </xf>
    <xf numFmtId="43" fontId="15" fillId="0" borderId="13" xfId="1" applyFont="1" applyBorder="1" applyAlignment="1">
      <alignment horizontal="centerContinuous"/>
    </xf>
    <xf numFmtId="43" fontId="0" fillId="0" borderId="3" xfId="1" applyFont="1" applyBorder="1" applyAlignment="1">
      <alignment horizontal="left"/>
    </xf>
    <xf numFmtId="43" fontId="15" fillId="0" borderId="13" xfId="1" applyFont="1" applyBorder="1" applyAlignment="1">
      <alignment horizontal="center"/>
    </xf>
    <xf numFmtId="43" fontId="15" fillId="0" borderId="7" xfId="1" applyFont="1" applyBorder="1" applyAlignment="1">
      <alignment horizontal="centerContinuous"/>
    </xf>
    <xf numFmtId="43" fontId="0" fillId="0" borderId="2" xfId="1" applyFont="1" applyBorder="1" applyAlignment="1">
      <alignment horizontal="centerContinuous"/>
    </xf>
    <xf numFmtId="43" fontId="0" fillId="0" borderId="11" xfId="1" applyFont="1" applyBorder="1" applyAlignment="1">
      <alignment horizontal="centerContinuous"/>
    </xf>
    <xf numFmtId="43" fontId="15" fillId="0" borderId="0" xfId="1" applyFont="1" applyBorder="1"/>
    <xf numFmtId="43" fontId="15" fillId="0" borderId="7" xfId="1" applyFont="1" applyBorder="1"/>
    <xf numFmtId="43" fontId="15" fillId="0" borderId="3" xfId="1" applyFont="1" applyBorder="1"/>
    <xf numFmtId="0" fontId="15" fillId="0" borderId="3" xfId="58" applyNumberFormat="1" applyFont="1" applyBorder="1" applyAlignment="1">
      <alignment horizontal="center"/>
    </xf>
    <xf numFmtId="170" fontId="0" fillId="0" borderId="13" xfId="1" applyNumberFormat="1" applyFont="1" applyBorder="1"/>
    <xf numFmtId="169" fontId="0" fillId="0" borderId="0" xfId="1" applyNumberFormat="1" applyFont="1"/>
    <xf numFmtId="43" fontId="15" fillId="0" borderId="8" xfId="1" applyFont="1" applyBorder="1"/>
    <xf numFmtId="170" fontId="0" fillId="0" borderId="15" xfId="1" applyNumberFormat="1" applyFont="1" applyBorder="1"/>
    <xf numFmtId="43" fontId="15" fillId="0" borderId="12" xfId="1" applyFont="1" applyBorder="1" applyAlignment="1">
      <alignment horizontal="center"/>
    </xf>
    <xf numFmtId="0" fontId="15" fillId="0" borderId="12" xfId="58" applyNumberFormat="1" applyFont="1" applyBorder="1" applyAlignment="1">
      <alignment horizontal="center"/>
    </xf>
    <xf numFmtId="170" fontId="15" fillId="0" borderId="12" xfId="1" applyNumberFormat="1" applyFont="1" applyBorder="1" applyAlignment="1">
      <alignment horizontal="center"/>
    </xf>
    <xf numFmtId="170" fontId="0" fillId="0" borderId="12" xfId="1" applyNumberFormat="1" applyFont="1" applyBorder="1"/>
    <xf numFmtId="43" fontId="15" fillId="0" borderId="4" xfId="1" applyFont="1" applyBorder="1"/>
    <xf numFmtId="43" fontId="15" fillId="0" borderId="6" xfId="1" applyFont="1" applyBorder="1" applyAlignment="1">
      <alignment horizontal="center"/>
    </xf>
    <xf numFmtId="164" fontId="0" fillId="0" borderId="10" xfId="1" applyNumberFormat="1" applyFont="1" applyBorder="1"/>
    <xf numFmtId="43" fontId="0" fillId="0" borderId="13" xfId="1" applyFont="1" applyBorder="1" applyAlignment="1">
      <alignment horizontal="left"/>
    </xf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15" fillId="0" borderId="11" xfId="1" applyFont="1" applyBorder="1"/>
    <xf numFmtId="43" fontId="15" fillId="0" borderId="1" xfId="1" applyFont="1" applyBorder="1" applyAlignment="1">
      <alignment horizontal="left"/>
    </xf>
    <xf numFmtId="0" fontId="15" fillId="0" borderId="5" xfId="1" applyNumberFormat="1" applyFont="1" applyBorder="1" applyAlignment="1">
      <alignment horizontal="centerContinuous"/>
    </xf>
    <xf numFmtId="43" fontId="15" fillId="0" borderId="5" xfId="1" applyFont="1" applyBorder="1" applyAlignment="1">
      <alignment horizontal="centerContinuous"/>
    </xf>
    <xf numFmtId="170" fontId="0" fillId="0" borderId="5" xfId="1" applyNumberFormat="1" applyFont="1" applyBorder="1" applyAlignment="1">
      <alignment horizontal="centerContinuous"/>
    </xf>
    <xf numFmtId="164" fontId="15" fillId="0" borderId="7" xfId="1" applyNumberFormat="1" applyFont="1" applyBorder="1" applyAlignment="1">
      <alignment horizontal="centerContinuous"/>
    </xf>
    <xf numFmtId="164" fontId="15" fillId="0" borderId="4" xfId="58" applyNumberFormat="1" applyFont="1" applyFill="1" applyBorder="1" applyAlignment="1">
      <alignment horizontal="left"/>
    </xf>
    <xf numFmtId="164" fontId="15" fillId="0" borderId="3" xfId="58" applyNumberFormat="1" applyFont="1" applyFill="1" applyBorder="1" applyAlignment="1">
      <alignment horizontal="left"/>
    </xf>
    <xf numFmtId="164" fontId="15" fillId="0" borderId="7" xfId="58" applyNumberFormat="1" applyFont="1" applyFill="1" applyBorder="1" applyAlignment="1">
      <alignment horizontal="left"/>
    </xf>
    <xf numFmtId="164" fontId="0" fillId="0" borderId="6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75" applyNumberFormat="1" applyFont="1" applyFill="1" applyBorder="1" applyAlignment="1"/>
    <xf numFmtId="164" fontId="0" fillId="0" borderId="11" xfId="1" applyNumberFormat="1" applyFont="1" applyFill="1" applyBorder="1" applyAlignment="1"/>
    <xf numFmtId="43" fontId="15" fillId="0" borderId="7" xfId="1" applyFont="1" applyFill="1" applyBorder="1" applyAlignment="1">
      <alignment horizontal="centerContinuous"/>
    </xf>
    <xf numFmtId="43" fontId="0" fillId="0" borderId="11" xfId="1" applyFont="1" applyFill="1" applyBorder="1" applyAlignment="1">
      <alignment horizontal="centerContinuous"/>
    </xf>
    <xf numFmtId="170" fontId="0" fillId="0" borderId="13" xfId="1" applyNumberFormat="1" applyFont="1" applyFill="1" applyBorder="1"/>
    <xf numFmtId="170" fontId="0" fillId="0" borderId="14" xfId="1" applyNumberFormat="1" applyFont="1" applyFill="1" applyBorder="1"/>
    <xf numFmtId="170" fontId="0" fillId="0" borderId="15" xfId="1" applyNumberFormat="1" applyFont="1" applyFill="1" applyBorder="1"/>
    <xf numFmtId="43" fontId="0" fillId="0" borderId="9" xfId="1" applyFont="1" applyFill="1" applyBorder="1" applyAlignment="1">
      <alignment horizontal="centerContinuous"/>
    </xf>
    <xf numFmtId="170" fontId="0" fillId="0" borderId="12" xfId="1" applyNumberFormat="1" applyFont="1" applyFill="1" applyBorder="1"/>
    <xf numFmtId="43" fontId="26" fillId="0" borderId="0" xfId="1" applyFont="1" applyFill="1"/>
    <xf numFmtId="164" fontId="26" fillId="0" borderId="11" xfId="1" applyNumberFormat="1" applyFont="1" applyBorder="1" applyAlignment="1">
      <alignment horizontal="center"/>
    </xf>
    <xf numFmtId="164" fontId="26" fillId="0" borderId="14" xfId="1" applyNumberFormat="1" applyFont="1" applyBorder="1" applyAlignment="1">
      <alignment horizontal="center"/>
    </xf>
    <xf numFmtId="164" fontId="26" fillId="0" borderId="7" xfId="1" applyNumberFormat="1" applyFont="1" applyBorder="1" applyAlignment="1">
      <alignment horizontal="center"/>
    </xf>
    <xf numFmtId="170" fontId="0" fillId="0" borderId="10" xfId="1" applyNumberFormat="1" applyFont="1" applyFill="1" applyBorder="1"/>
    <xf numFmtId="170" fontId="0" fillId="0" borderId="5" xfId="1" applyNumberFormat="1" applyFont="1" applyFill="1" applyBorder="1"/>
    <xf numFmtId="170" fontId="0" fillId="0" borderId="0" xfId="1" applyNumberFormat="1" applyFont="1" applyFill="1" applyBorder="1"/>
    <xf numFmtId="170" fontId="0" fillId="0" borderId="2" xfId="1" applyNumberFormat="1" applyFont="1" applyFill="1" applyBorder="1"/>
    <xf numFmtId="170" fontId="0" fillId="0" borderId="6" xfId="1" applyNumberFormat="1" applyFont="1" applyFill="1" applyBorder="1"/>
    <xf numFmtId="170" fontId="0" fillId="0" borderId="1" xfId="1" applyNumberFormat="1" applyFont="1" applyFill="1" applyBorder="1"/>
    <xf numFmtId="170" fontId="0" fillId="0" borderId="11" xfId="1" applyNumberFormat="1" applyFont="1" applyFill="1" applyBorder="1"/>
    <xf numFmtId="167" fontId="15" fillId="0" borderId="0" xfId="1" applyNumberFormat="1" applyFont="1" applyFill="1"/>
    <xf numFmtId="0" fontId="26" fillId="0" borderId="1" xfId="0" applyFont="1" applyBorder="1"/>
    <xf numFmtId="0" fontId="26" fillId="0" borderId="11" xfId="0" applyFont="1" applyBorder="1"/>
    <xf numFmtId="164" fontId="15" fillId="0" borderId="2" xfId="1" applyNumberFormat="1" applyFont="1" applyFill="1" applyBorder="1" applyAlignment="1">
      <alignment horizontal="left"/>
    </xf>
    <xf numFmtId="167" fontId="15" fillId="0" borderId="2" xfId="1" applyNumberFormat="1" applyFont="1" applyFill="1" applyBorder="1" applyAlignment="1">
      <alignment horizontal="left"/>
    </xf>
    <xf numFmtId="164" fontId="0" fillId="0" borderId="10" xfId="1" applyNumberFormat="1" applyFont="1" applyFill="1" applyBorder="1" applyAlignment="1">
      <alignment horizontal="centerContinuous"/>
    </xf>
    <xf numFmtId="0" fontId="0" fillId="0" borderId="14" xfId="0" applyBorder="1"/>
    <xf numFmtId="164" fontId="0" fillId="0" borderId="4" xfId="1" applyNumberFormat="1" applyFont="1" applyFill="1" applyBorder="1" applyAlignment="1"/>
    <xf numFmtId="164" fontId="0" fillId="0" borderId="3" xfId="1" applyNumberFormat="1" applyFont="1" applyFill="1" applyBorder="1" applyAlignment="1"/>
    <xf numFmtId="164" fontId="15" fillId="0" borderId="3" xfId="1" applyNumberFormat="1" applyFont="1" applyFill="1" applyBorder="1" applyAlignment="1"/>
    <xf numFmtId="0" fontId="0" fillId="0" borderId="4" xfId="0" applyBorder="1"/>
    <xf numFmtId="164" fontId="0" fillId="0" borderId="14" xfId="0" applyNumberFormat="1" applyBorder="1"/>
    <xf numFmtId="167" fontId="0" fillId="0" borderId="12" xfId="1" applyNumberFormat="1" applyFont="1" applyFill="1" applyBorder="1"/>
    <xf numFmtId="167" fontId="0" fillId="0" borderId="14" xfId="1" applyNumberFormat="1" applyFont="1" applyFill="1" applyBorder="1"/>
    <xf numFmtId="164" fontId="0" fillId="0" borderId="4" xfId="1" applyNumberFormat="1" applyFont="1" applyFill="1" applyBorder="1" applyAlignment="1">
      <alignment horizontal="centerContinuous"/>
    </xf>
    <xf numFmtId="164" fontId="15" fillId="0" borderId="8" xfId="75" applyNumberFormat="1" applyFont="1" applyFill="1" applyBorder="1" applyAlignment="1">
      <alignment horizontal="centerContinuous"/>
    </xf>
    <xf numFmtId="167" fontId="0" fillId="0" borderId="15" xfId="1" applyNumberFormat="1" applyFont="1" applyFill="1" applyBorder="1"/>
    <xf numFmtId="9" fontId="26" fillId="0" borderId="0" xfId="77" applyFont="1" applyFill="1"/>
    <xf numFmtId="9" fontId="0" fillId="0" borderId="0" xfId="0" applyNumberFormat="1"/>
    <xf numFmtId="9" fontId="26" fillId="0" borderId="0" xfId="0" applyNumberFormat="1" applyFont="1"/>
    <xf numFmtId="164" fontId="0" fillId="0" borderId="12" xfId="0" applyNumberFormat="1" applyBorder="1"/>
    <xf numFmtId="0" fontId="15" fillId="0" borderId="15" xfId="0" applyFont="1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left"/>
    </xf>
    <xf numFmtId="164" fontId="15" fillId="0" borderId="7" xfId="1" applyNumberFormat="1" applyFont="1" applyFill="1" applyBorder="1" applyAlignment="1">
      <alignment horizontal="left"/>
    </xf>
    <xf numFmtId="164" fontId="15" fillId="0" borderId="3" xfId="1" applyNumberFormat="1" applyFont="1" applyFill="1" applyBorder="1" applyAlignment="1">
      <alignment horizontal="left"/>
    </xf>
    <xf numFmtId="164" fontId="0" fillId="0" borderId="4" xfId="0" applyNumberFormat="1" applyBorder="1"/>
    <xf numFmtId="164" fontId="0" fillId="0" borderId="7" xfId="0" applyNumberFormat="1" applyBorder="1"/>
    <xf numFmtId="164" fontId="15" fillId="0" borderId="0" xfId="1" applyNumberFormat="1" applyFont="1" applyBorder="1"/>
    <xf numFmtId="172" fontId="0" fillId="0" borderId="0" xfId="77" applyNumberFormat="1" applyFont="1" applyBorder="1" applyAlignment="1">
      <alignment horizontal="center"/>
    </xf>
    <xf numFmtId="43" fontId="15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43" fontId="26" fillId="0" borderId="0" xfId="1" applyFont="1" applyAlignment="1">
      <alignment horizontal="left"/>
    </xf>
    <xf numFmtId="43" fontId="15" fillId="0" borderId="0" xfId="1" applyFont="1" applyAlignment="1">
      <alignment horizontal="centerContinuous"/>
    </xf>
    <xf numFmtId="43" fontId="0" fillId="0" borderId="0" xfId="1" applyFont="1" applyAlignment="1">
      <alignment horizontal="centerContinuous"/>
    </xf>
    <xf numFmtId="164" fontId="0" fillId="0" borderId="15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4" fontId="15" fillId="0" borderId="0" xfId="1" applyNumberFormat="1" applyFont="1" applyBorder="1" applyAlignment="1">
      <alignment horizontal="centerContinuous"/>
    </xf>
    <xf numFmtId="43" fontId="0" fillId="0" borderId="4" xfId="1" applyFont="1" applyBorder="1" applyAlignment="1">
      <alignment horizontal="left"/>
    </xf>
    <xf numFmtId="164" fontId="15" fillId="0" borderId="9" xfId="1" applyNumberFormat="1" applyFont="1" applyBorder="1"/>
    <xf numFmtId="164" fontId="15" fillId="0" borderId="12" xfId="1" quotePrefix="1" applyNumberFormat="1" applyFont="1" applyBorder="1"/>
    <xf numFmtId="164" fontId="15" fillId="0" borderId="13" xfId="1" quotePrefix="1" applyNumberFormat="1" applyFont="1" applyBorder="1"/>
    <xf numFmtId="164" fontId="15" fillId="0" borderId="14" xfId="1" quotePrefix="1" applyNumberFormat="1" applyFont="1" applyBorder="1"/>
    <xf numFmtId="172" fontId="0" fillId="0" borderId="12" xfId="77" applyNumberFormat="1" applyFont="1" applyBorder="1" applyAlignment="1">
      <alignment horizontal="right"/>
    </xf>
    <xf numFmtId="172" fontId="0" fillId="0" borderId="13" xfId="77" applyNumberFormat="1" applyFont="1" applyBorder="1" applyAlignment="1">
      <alignment horizontal="right"/>
    </xf>
    <xf numFmtId="172" fontId="0" fillId="0" borderId="14" xfId="77" applyNumberFormat="1" applyFont="1" applyBorder="1" applyAlignment="1">
      <alignment horizontal="right"/>
    </xf>
    <xf numFmtId="172" fontId="0" fillId="0" borderId="15" xfId="77" applyNumberFormat="1" applyFont="1" applyBorder="1" applyAlignment="1">
      <alignment horizontal="right"/>
    </xf>
    <xf numFmtId="43" fontId="0" fillId="0" borderId="15" xfId="1" applyFont="1" applyBorder="1" applyAlignment="1">
      <alignment horizontal="center"/>
    </xf>
    <xf numFmtId="43" fontId="26" fillId="0" borderId="0" xfId="1" applyFont="1" applyFill="1" applyBorder="1" applyAlignment="1">
      <alignment horizontal="left"/>
    </xf>
    <xf numFmtId="43" fontId="15" fillId="0" borderId="7" xfId="1" applyFont="1" applyFill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43" fontId="26" fillId="0" borderId="0" xfId="1" applyFont="1" applyFill="1" applyBorder="1"/>
    <xf numFmtId="164" fontId="26" fillId="0" borderId="0" xfId="1" applyNumberFormat="1" applyFont="1" applyBorder="1" applyAlignment="1">
      <alignment horizontal="right"/>
    </xf>
    <xf numFmtId="170" fontId="0" fillId="0" borderId="0" xfId="1" applyNumberFormat="1" applyFont="1" applyBorder="1" applyAlignment="1">
      <alignment horizontal="left"/>
    </xf>
    <xf numFmtId="170" fontId="0" fillId="0" borderId="0" xfId="1" applyNumberFormat="1" applyFont="1" applyFill="1" applyBorder="1" applyAlignment="1">
      <alignment horizontal="left"/>
    </xf>
    <xf numFmtId="169" fontId="15" fillId="0" borderId="0" xfId="1" applyNumberFormat="1" applyFont="1" applyAlignment="1">
      <alignment horizontal="left"/>
    </xf>
    <xf numFmtId="172" fontId="15" fillId="0" borderId="0" xfId="77" applyNumberFormat="1" applyFont="1" applyAlignment="1">
      <alignment horizontal="left"/>
    </xf>
    <xf numFmtId="164" fontId="15" fillId="0" borderId="8" xfId="1" applyNumberFormat="1" applyFont="1" applyBorder="1" applyAlignment="1">
      <alignment horizontal="centerContinuous"/>
    </xf>
    <xf numFmtId="43" fontId="15" fillId="0" borderId="15" xfId="1" applyFont="1" applyBorder="1" applyAlignment="1">
      <alignment horizontal="center"/>
    </xf>
    <xf numFmtId="164" fontId="0" fillId="0" borderId="12" xfId="1" applyNumberFormat="1" applyFont="1" applyBorder="1" applyAlignment="1">
      <alignment horizontal="left"/>
    </xf>
    <xf numFmtId="164" fontId="0" fillId="0" borderId="13" xfId="1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43" fontId="0" fillId="0" borderId="12" xfId="1" applyFont="1" applyFill="1" applyBorder="1"/>
    <xf numFmtId="43" fontId="0" fillId="0" borderId="13" xfId="1" applyFont="1" applyFill="1" applyBorder="1"/>
    <xf numFmtId="43" fontId="0" fillId="0" borderId="3" xfId="1" applyFont="1" applyFill="1" applyBorder="1"/>
    <xf numFmtId="43" fontId="15" fillId="0" borderId="3" xfId="1" applyFont="1" applyFill="1" applyBorder="1" applyAlignment="1">
      <alignment horizontal="left"/>
    </xf>
    <xf numFmtId="43" fontId="0" fillId="0" borderId="3" xfId="1" applyFont="1" applyFill="1" applyBorder="1" applyAlignment="1">
      <alignment horizontal="centerContinuous"/>
    </xf>
    <xf numFmtId="167" fontId="26" fillId="0" borderId="13" xfId="1" applyNumberFormat="1" applyFont="1" applyFill="1" applyBorder="1"/>
    <xf numFmtId="167" fontId="15" fillId="0" borderId="3" xfId="1" applyNumberFormat="1" applyFont="1" applyFill="1" applyBorder="1"/>
    <xf numFmtId="43" fontId="0" fillId="0" borderId="15" xfId="0" applyNumberFormat="1" applyBorder="1"/>
    <xf numFmtId="43" fontId="26" fillId="0" borderId="14" xfId="1" applyFont="1" applyFill="1" applyBorder="1"/>
    <xf numFmtId="167" fontId="26" fillId="0" borderId="14" xfId="1" applyNumberFormat="1" applyFont="1" applyFill="1" applyBorder="1"/>
    <xf numFmtId="167" fontId="15" fillId="0" borderId="7" xfId="1" applyNumberFormat="1" applyFont="1" applyFill="1" applyBorder="1"/>
    <xf numFmtId="43" fontId="15" fillId="0" borderId="12" xfId="1" applyFont="1" applyFill="1" applyBorder="1"/>
    <xf numFmtId="167" fontId="26" fillId="0" borderId="12" xfId="1" applyNumberFormat="1" applyFont="1" applyFill="1" applyBorder="1"/>
    <xf numFmtId="167" fontId="15" fillId="0" borderId="4" xfId="1" applyNumberFormat="1" applyFont="1" applyFill="1" applyBorder="1"/>
    <xf numFmtId="164" fontId="26" fillId="0" borderId="15" xfId="1" applyNumberFormat="1" applyFont="1" applyFill="1" applyBorder="1" applyAlignment="1">
      <alignment horizontal="center"/>
    </xf>
    <xf numFmtId="43" fontId="15" fillId="0" borderId="8" xfId="1" applyFont="1" applyFill="1" applyBorder="1" applyAlignment="1">
      <alignment horizontal="left"/>
    </xf>
    <xf numFmtId="0" fontId="15" fillId="0" borderId="3" xfId="0" applyFont="1" applyBorder="1" applyAlignment="1">
      <alignment horizontal="centerContinuous"/>
    </xf>
    <xf numFmtId="43" fontId="0" fillId="0" borderId="6" xfId="1" applyFont="1" applyFill="1" applyBorder="1" applyAlignment="1">
      <alignment horizontal="centerContinuous"/>
    </xf>
    <xf numFmtId="164" fontId="0" fillId="0" borderId="3" xfId="1" applyNumberFormat="1" applyFont="1" applyBorder="1" applyAlignment="1"/>
    <xf numFmtId="164" fontId="0" fillId="0" borderId="7" xfId="1" applyNumberFormat="1" applyFont="1" applyBorder="1" applyAlignment="1"/>
    <xf numFmtId="172" fontId="15" fillId="0" borderId="6" xfId="77" applyNumberFormat="1" applyFont="1" applyBorder="1" applyAlignment="1">
      <alignment horizontal="centerContinuous"/>
    </xf>
    <xf numFmtId="43" fontId="15" fillId="0" borderId="0" xfId="1" applyFont="1"/>
    <xf numFmtId="164" fontId="15" fillId="0" borderId="10" xfId="1" applyNumberFormat="1" applyFont="1" applyFill="1" applyBorder="1"/>
    <xf numFmtId="164" fontId="15" fillId="0" borderId="7" xfId="1" applyNumberFormat="1" applyFont="1" applyBorder="1" applyAlignment="1"/>
    <xf numFmtId="164" fontId="0" fillId="0" borderId="6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3" fontId="0" fillId="0" borderId="10" xfId="1" applyFont="1" applyFill="1" applyBorder="1" applyAlignment="1">
      <alignment horizontal="centerContinuous"/>
    </xf>
    <xf numFmtId="164" fontId="0" fillId="0" borderId="5" xfId="1" applyNumberFormat="1" applyFont="1" applyFill="1" applyBorder="1" applyAlignment="1">
      <alignment horizontal="center"/>
    </xf>
    <xf numFmtId="164" fontId="15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75" applyNumberFormat="1" applyFont="1" applyFill="1" applyBorder="1" applyAlignment="1">
      <alignment horizontal="centerContinuous"/>
    </xf>
    <xf numFmtId="43" fontId="26" fillId="0" borderId="3" xfId="1" applyFont="1" applyFill="1" applyBorder="1" applyAlignment="1">
      <alignment horizontal="center"/>
    </xf>
    <xf numFmtId="2" fontId="15" fillId="0" borderId="8" xfId="1" applyNumberFormat="1" applyFont="1" applyFill="1" applyBorder="1" applyAlignment="1">
      <alignment horizontal="centerContinuous"/>
    </xf>
    <xf numFmtId="43" fontId="0" fillId="0" borderId="4" xfId="1" applyFont="1" applyBorder="1"/>
    <xf numFmtId="164" fontId="0" fillId="0" borderId="13" xfId="1" applyNumberFormat="1" applyFont="1" applyFill="1" applyBorder="1" applyAlignment="1">
      <alignment horizontal="centerContinuous"/>
    </xf>
    <xf numFmtId="164" fontId="0" fillId="0" borderId="13" xfId="1" applyNumberFormat="1" applyFont="1" applyFill="1" applyBorder="1" applyAlignment="1">
      <alignment horizontal="center"/>
    </xf>
    <xf numFmtId="164" fontId="15" fillId="0" borderId="15" xfId="1" applyNumberFormat="1" applyFont="1" applyFill="1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11" xfId="0" applyBorder="1"/>
    <xf numFmtId="43" fontId="0" fillId="0" borderId="2" xfId="1" applyFont="1" applyBorder="1"/>
    <xf numFmtId="167" fontId="0" fillId="0" borderId="5" xfId="1" applyNumberFormat="1" applyFont="1" applyBorder="1"/>
    <xf numFmtId="167" fontId="0" fillId="0" borderId="0" xfId="1" applyNumberFormat="1" applyFont="1" applyBorder="1"/>
    <xf numFmtId="43" fontId="0" fillId="0" borderId="5" xfId="1" applyFont="1" applyFill="1" applyBorder="1"/>
    <xf numFmtId="167" fontId="0" fillId="0" borderId="5" xfId="1" applyNumberFormat="1" applyFont="1" applyFill="1" applyBorder="1"/>
    <xf numFmtId="0" fontId="0" fillId="0" borderId="7" xfId="0" applyBorder="1" applyAlignment="1">
      <alignment horizontal="centerContinuous"/>
    </xf>
    <xf numFmtId="43" fontId="15" fillId="0" borderId="4" xfId="1" applyFont="1" applyBorder="1" applyAlignment="1">
      <alignment horizontal="left"/>
    </xf>
    <xf numFmtId="170" fontId="0" fillId="0" borderId="1" xfId="1" applyNumberFormat="1" applyFont="1" applyBorder="1"/>
    <xf numFmtId="170" fontId="0" fillId="0" borderId="6" xfId="1" applyNumberFormat="1" applyFont="1" applyBorder="1"/>
    <xf numFmtId="167" fontId="15" fillId="0" borderId="12" xfId="1" applyNumberFormat="1" applyFont="1" applyBorder="1"/>
    <xf numFmtId="167" fontId="15" fillId="0" borderId="13" xfId="1" applyNumberFormat="1" applyFont="1" applyBorder="1"/>
    <xf numFmtId="167" fontId="15" fillId="0" borderId="14" xfId="1" applyNumberFormat="1" applyFont="1" applyBorder="1"/>
    <xf numFmtId="167" fontId="0" fillId="0" borderId="12" xfId="1" applyNumberFormat="1" applyFont="1" applyBorder="1"/>
    <xf numFmtId="167" fontId="0" fillId="0" borderId="13" xfId="1" applyNumberFormat="1" applyFont="1" applyBorder="1"/>
    <xf numFmtId="167" fontId="0" fillId="0" borderId="14" xfId="1" applyNumberFormat="1" applyFont="1" applyBorder="1"/>
    <xf numFmtId="43" fontId="0" fillId="0" borderId="14" xfId="1" applyFont="1" applyFill="1" applyBorder="1"/>
    <xf numFmtId="43" fontId="0" fillId="0" borderId="12" xfId="0" applyNumberFormat="1" applyBorder="1"/>
    <xf numFmtId="43" fontId="0" fillId="0" borderId="13" xfId="0" applyNumberFormat="1" applyBorder="1"/>
    <xf numFmtId="43" fontId="0" fillId="0" borderId="14" xfId="0" applyNumberFormat="1" applyBorder="1"/>
    <xf numFmtId="170" fontId="0" fillId="0" borderId="14" xfId="1" applyNumberFormat="1" applyFont="1" applyBorder="1"/>
    <xf numFmtId="43" fontId="15" fillId="0" borderId="3" xfId="1" applyFont="1" applyFill="1" applyBorder="1"/>
    <xf numFmtId="43" fontId="15" fillId="0" borderId="7" xfId="1" applyFont="1" applyFill="1" applyBorder="1"/>
    <xf numFmtId="2" fontId="15" fillId="0" borderId="2" xfId="1" applyNumberFormat="1" applyFont="1" applyFill="1" applyBorder="1" applyAlignment="1">
      <alignment horizontal="centerContinuous"/>
    </xf>
    <xf numFmtId="9" fontId="0" fillId="0" borderId="6" xfId="77" applyFont="1" applyBorder="1" applyAlignment="1">
      <alignment horizontal="center"/>
    </xf>
    <xf numFmtId="9" fontId="0" fillId="0" borderId="11" xfId="77" applyFont="1" applyBorder="1" applyAlignment="1">
      <alignment horizontal="center"/>
    </xf>
    <xf numFmtId="164" fontId="32" fillId="0" borderId="0" xfId="40" applyNumberFormat="1" applyFont="1" applyAlignment="1">
      <alignment horizontal="left"/>
    </xf>
    <xf numFmtId="0" fontId="32" fillId="0" borderId="0" xfId="40" applyFont="1" applyAlignment="1">
      <alignment horizontal="left"/>
    </xf>
    <xf numFmtId="164" fontId="26" fillId="0" borderId="13" xfId="1" applyNumberFormat="1" applyFont="1" applyFill="1" applyBorder="1" applyAlignment="1">
      <alignment horizontal="left"/>
    </xf>
    <xf numFmtId="164" fontId="15" fillId="0" borderId="15" xfId="46" applyNumberFormat="1" applyFont="1" applyFill="1" applyBorder="1" applyAlignment="1">
      <alignment horizontal="left" vertical="center"/>
    </xf>
    <xf numFmtId="164" fontId="26" fillId="0" borderId="13" xfId="46" applyNumberFormat="1" applyFont="1" applyFill="1" applyBorder="1" applyAlignment="1">
      <alignment horizontal="left"/>
    </xf>
    <xf numFmtId="164" fontId="26" fillId="0" borderId="13" xfId="1" applyNumberFormat="1" applyFont="1" applyFill="1" applyBorder="1"/>
    <xf numFmtId="164" fontId="0" fillId="0" borderId="9" xfId="1" applyNumberFormat="1" applyFont="1" applyBorder="1"/>
    <xf numFmtId="164" fontId="0" fillId="0" borderId="5" xfId="1" applyNumberFormat="1" applyFont="1" applyBorder="1"/>
    <xf numFmtId="164" fontId="0" fillId="0" borderId="2" xfId="1" applyNumberFormat="1" applyFont="1" applyBorder="1"/>
    <xf numFmtId="43" fontId="0" fillId="0" borderId="9" xfId="1" applyFont="1" applyBorder="1"/>
    <xf numFmtId="43" fontId="0" fillId="0" borderId="9" xfId="1" applyFont="1" applyFill="1" applyBorder="1"/>
    <xf numFmtId="43" fontId="0" fillId="0" borderId="15" xfId="1" applyFont="1" applyBorder="1"/>
    <xf numFmtId="43" fontId="26" fillId="0" borderId="0" xfId="1" applyFont="1" applyFill="1" applyAlignment="1">
      <alignment horizontal="left"/>
    </xf>
    <xf numFmtId="43" fontId="0" fillId="0" borderId="14" xfId="1" applyFont="1" applyFill="1" applyBorder="1" applyAlignment="1">
      <alignment horizontal="left"/>
    </xf>
    <xf numFmtId="43" fontId="15" fillId="0" borderId="15" xfId="1" applyFont="1" applyFill="1" applyBorder="1" applyAlignment="1">
      <alignment horizontal="left"/>
    </xf>
    <xf numFmtId="164" fontId="15" fillId="0" borderId="12" xfId="75" applyNumberFormat="1" applyFont="1" applyFill="1" applyBorder="1" applyAlignment="1">
      <alignment horizontal="left"/>
    </xf>
    <xf numFmtId="164" fontId="0" fillId="0" borderId="14" xfId="75" applyNumberFormat="1" applyFont="1" applyFill="1" applyBorder="1" applyAlignment="1">
      <alignment horizontal="left"/>
    </xf>
    <xf numFmtId="43" fontId="15" fillId="0" borderId="4" xfId="1" applyFont="1" applyFill="1" applyBorder="1" applyAlignment="1">
      <alignment horizontal="left"/>
    </xf>
    <xf numFmtId="43" fontId="0" fillId="0" borderId="3" xfId="1" applyFont="1" applyFill="1" applyBorder="1" applyAlignment="1">
      <alignment horizontal="left"/>
    </xf>
    <xf numFmtId="164" fontId="15" fillId="0" borderId="10" xfId="1" applyNumberFormat="1" applyFont="1" applyFill="1" applyBorder="1" applyAlignment="1">
      <alignment horizontal="left"/>
    </xf>
    <xf numFmtId="164" fontId="15" fillId="0" borderId="8" xfId="1" applyNumberFormat="1" applyFont="1" applyFill="1" applyBorder="1" applyAlignment="1">
      <alignment horizontal="left"/>
    </xf>
    <xf numFmtId="164" fontId="15" fillId="0" borderId="3" xfId="1" applyNumberFormat="1" applyFont="1" applyBorder="1" applyAlignment="1">
      <alignment horizontal="left"/>
    </xf>
    <xf numFmtId="164" fontId="15" fillId="0" borderId="7" xfId="1" applyNumberFormat="1" applyFont="1" applyBorder="1" applyAlignment="1">
      <alignment horizontal="left"/>
    </xf>
    <xf numFmtId="43" fontId="0" fillId="0" borderId="15" xfId="1" applyFont="1" applyBorder="1" applyAlignment="1">
      <alignment horizontal="left"/>
    </xf>
    <xf numFmtId="170" fontId="0" fillId="0" borderId="0" xfId="1" applyNumberFormat="1" applyFont="1" applyBorder="1"/>
    <xf numFmtId="170" fontId="0" fillId="0" borderId="0" xfId="1" applyNumberFormat="1" applyFont="1" applyBorder="1" applyAlignment="1">
      <alignment horizontal="centerContinuous"/>
    </xf>
    <xf numFmtId="43" fontId="15" fillId="0" borderId="0" xfId="1" applyFont="1" applyBorder="1" applyAlignment="1">
      <alignment horizontal="center"/>
    </xf>
    <xf numFmtId="43" fontId="0" fillId="0" borderId="12" xfId="1" applyFont="1" applyBorder="1"/>
    <xf numFmtId="43" fontId="15" fillId="0" borderId="14" xfId="1" quotePrefix="1" applyFont="1" applyBorder="1" applyAlignment="1">
      <alignment horizontal="left"/>
    </xf>
    <xf numFmtId="164" fontId="26" fillId="0" borderId="0" xfId="1" applyNumberFormat="1" applyFont="1" applyAlignment="1">
      <alignment horizontal="left"/>
    </xf>
    <xf numFmtId="164" fontId="15" fillId="0" borderId="0" xfId="46" applyNumberFormat="1" applyFont="1" applyFill="1" applyBorder="1" applyAlignment="1" applyProtection="1">
      <alignment horizontal="centerContinuous"/>
    </xf>
    <xf numFmtId="164" fontId="15" fillId="0" borderId="1" xfId="46" applyNumberFormat="1" applyFont="1" applyFill="1" applyBorder="1" applyAlignment="1"/>
    <xf numFmtId="164" fontId="15" fillId="0" borderId="1" xfId="46" applyNumberFormat="1" applyFont="1" applyFill="1" applyBorder="1" applyAlignment="1">
      <alignment horizontal="centerContinuous"/>
    </xf>
    <xf numFmtId="164" fontId="15" fillId="0" borderId="2" xfId="46" applyNumberFormat="1" applyFont="1" applyFill="1" applyBorder="1" applyAlignment="1">
      <alignment horizontal="centerContinuous"/>
    </xf>
    <xf numFmtId="167" fontId="0" fillId="0" borderId="13" xfId="1" applyNumberFormat="1" applyFont="1" applyBorder="1" applyAlignment="1">
      <alignment horizontal="left"/>
    </xf>
    <xf numFmtId="167" fontId="0" fillId="0" borderId="14" xfId="1" applyNumberFormat="1" applyFont="1" applyBorder="1" applyAlignment="1">
      <alignment horizontal="left"/>
    </xf>
    <xf numFmtId="170" fontId="26" fillId="0" borderId="13" xfId="1" applyNumberFormat="1" applyFont="1" applyBorder="1" applyAlignment="1">
      <alignment horizontal="left"/>
    </xf>
    <xf numFmtId="164" fontId="15" fillId="0" borderId="8" xfId="1" quotePrefix="1" applyNumberFormat="1" applyFont="1" applyFill="1" applyBorder="1" applyAlignment="1">
      <alignment horizontal="centerContinuous"/>
    </xf>
    <xf numFmtId="170" fontId="26" fillId="0" borderId="15" xfId="1" applyNumberFormat="1" applyFont="1" applyBorder="1" applyAlignment="1">
      <alignment horizontal="left"/>
    </xf>
    <xf numFmtId="172" fontId="15" fillId="0" borderId="5" xfId="77" applyNumberFormat="1" applyFont="1" applyBorder="1" applyAlignment="1">
      <alignment horizontal="centerContinuous"/>
    </xf>
    <xf numFmtId="43" fontId="15" fillId="0" borderId="6" xfId="1" applyFont="1" applyBorder="1" applyAlignment="1">
      <alignment horizontal="left"/>
    </xf>
    <xf numFmtId="43" fontId="15" fillId="0" borderId="11" xfId="1" applyFont="1" applyBorder="1" applyAlignment="1">
      <alignment horizontal="left"/>
    </xf>
    <xf numFmtId="170" fontId="26" fillId="0" borderId="1" xfId="1" applyNumberFormat="1" applyFont="1" applyBorder="1" applyAlignment="1">
      <alignment horizontal="left"/>
    </xf>
    <xf numFmtId="170" fontId="26" fillId="0" borderId="10" xfId="1" applyNumberFormat="1" applyFont="1" applyBorder="1" applyAlignment="1">
      <alignment horizontal="left"/>
    </xf>
    <xf numFmtId="43" fontId="15" fillId="0" borderId="10" xfId="1" applyFont="1" applyBorder="1" applyAlignment="1">
      <alignment horizontal="centerContinuous"/>
    </xf>
    <xf numFmtId="164" fontId="0" fillId="0" borderId="11" xfId="1" applyNumberFormat="1" applyFont="1" applyBorder="1" applyAlignment="1">
      <alignment horizontal="left"/>
    </xf>
    <xf numFmtId="170" fontId="0" fillId="0" borderId="6" xfId="1" applyNumberFormat="1" applyFont="1" applyBorder="1" applyAlignment="1">
      <alignment horizontal="centerContinuous"/>
    </xf>
    <xf numFmtId="43" fontId="0" fillId="0" borderId="1" xfId="1" applyFont="1" applyBorder="1" applyAlignment="1">
      <alignment horizontal="centerContinuous"/>
    </xf>
    <xf numFmtId="170" fontId="0" fillId="0" borderId="10" xfId="1" applyNumberFormat="1" applyFont="1" applyBorder="1"/>
    <xf numFmtId="43" fontId="0" fillId="0" borderId="6" xfId="1" applyFont="1" applyBorder="1"/>
    <xf numFmtId="43" fontId="0" fillId="0" borderId="11" xfId="1" applyFont="1" applyBorder="1"/>
    <xf numFmtId="170" fontId="0" fillId="0" borderId="1" xfId="1" applyNumberFormat="1" applyFont="1" applyBorder="1" applyAlignment="1">
      <alignment horizontal="left"/>
    </xf>
    <xf numFmtId="170" fontId="26" fillId="0" borderId="1" xfId="1" applyNumberFormat="1" applyFont="1" applyBorder="1"/>
    <xf numFmtId="170" fontId="15" fillId="0" borderId="1" xfId="1" applyNumberFormat="1" applyFont="1" applyBorder="1"/>
    <xf numFmtId="170" fontId="26" fillId="0" borderId="10" xfId="1" applyNumberFormat="1" applyFont="1" applyBorder="1"/>
    <xf numFmtId="43" fontId="0" fillId="0" borderId="5" xfId="1" applyFont="1" applyBorder="1"/>
    <xf numFmtId="43" fontId="15" fillId="0" borderId="2" xfId="1" applyFont="1" applyBorder="1" applyAlignment="1">
      <alignment horizontal="centerContinuous"/>
    </xf>
    <xf numFmtId="167" fontId="0" fillId="0" borderId="6" xfId="1" applyNumberFormat="1" applyFont="1" applyFill="1" applyBorder="1"/>
    <xf numFmtId="167" fontId="0" fillId="0" borderId="1" xfId="1" applyNumberFormat="1" applyFont="1" applyFill="1" applyBorder="1"/>
    <xf numFmtId="167" fontId="0" fillId="0" borderId="11" xfId="1" applyNumberFormat="1" applyFont="1" applyFill="1" applyBorder="1"/>
    <xf numFmtId="43" fontId="15" fillId="0" borderId="2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left"/>
    </xf>
    <xf numFmtId="43" fontId="15" fillId="0" borderId="11" xfId="1" applyFont="1" applyFill="1" applyBorder="1" applyAlignment="1">
      <alignment horizontal="left"/>
    </xf>
    <xf numFmtId="43" fontId="15" fillId="0" borderId="6" xfId="1" applyFont="1" applyFill="1" applyBorder="1" applyAlignment="1">
      <alignment horizontal="center"/>
    </xf>
    <xf numFmtId="170" fontId="0" fillId="0" borderId="6" xfId="1" applyNumberFormat="1" applyFont="1" applyFill="1" applyBorder="1" applyAlignment="1">
      <alignment horizontal="centerContinuous"/>
    </xf>
    <xf numFmtId="43" fontId="0" fillId="0" borderId="1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164" fontId="0" fillId="2" borderId="15" xfId="1" applyNumberFormat="1" applyFont="1" applyFill="1" applyBorder="1"/>
    <xf numFmtId="170" fontId="0" fillId="2" borderId="15" xfId="1" applyNumberFormat="1" applyFont="1" applyFill="1" applyBorder="1"/>
  </cellXfs>
  <cellStyles count="78">
    <cellStyle name="Comma" xfId="1" builtinId="3"/>
    <cellStyle name="Comma 10" xfId="76" xr:uid="{3F2DE733-1D9B-4DAD-913D-CDED71B970B1}"/>
    <cellStyle name="Comma 11 2 2" xfId="44" xr:uid="{A8AF87B3-D902-4A64-98D6-92420CD6E8D0}"/>
    <cellStyle name="Comma 119" xfId="58" xr:uid="{7F4FB01D-8482-4CDA-9B5A-31797E59C9B8}"/>
    <cellStyle name="Comma 2" xfId="2" xr:uid="{00000000-0005-0000-0000-000001000000}"/>
    <cellStyle name="Comma 2 2" xfId="12" xr:uid="{00000000-0005-0000-0000-000002000000}"/>
    <cellStyle name="Comma 2 2 2" xfId="54" xr:uid="{9F662017-4C1E-43CC-AF7E-DEC97BAD9846}"/>
    <cellStyle name="Comma 2 3" xfId="75" xr:uid="{A5305BB4-888A-4105-B0B0-24D313D285C3}"/>
    <cellStyle name="Comma 3" xfId="9" xr:uid="{00000000-0005-0000-0000-000003000000}"/>
    <cellStyle name="Comma 3 2" xfId="62" xr:uid="{1F27B944-4F6D-49E2-A680-66711A17796F}"/>
    <cellStyle name="Comma 4" xfId="23" xr:uid="{00000000-0005-0000-0000-000004000000}"/>
    <cellStyle name="Comma 4 2" xfId="65" xr:uid="{3394647B-3CCC-4C28-B050-4E59AE1D6D0D}"/>
    <cellStyle name="Comma 5" xfId="43" xr:uid="{40C1644A-19F3-4D19-9906-FCA9068955BF}"/>
    <cellStyle name="Comma 5 2" xfId="59" xr:uid="{31FA3BDB-EC51-4554-A0C1-3B0F3FC46027}"/>
    <cellStyle name="Comma 6" xfId="46" xr:uid="{77B4BCC1-56B9-4C24-B147-DE32F0589953}"/>
    <cellStyle name="Comma 6 2" xfId="53" xr:uid="{36E2D02B-30DD-4983-80A2-36B8283D642F}"/>
    <cellStyle name="Comma 7" xfId="52" xr:uid="{35C40BFA-481C-45FE-BD9D-7399B9852766}"/>
    <cellStyle name="Comma 8" xfId="55" xr:uid="{5430753C-823C-44CA-88B3-07D8715FBACE}"/>
    <cellStyle name="Comma 8 2" xfId="74" xr:uid="{98DCE8E2-638B-48BC-B8C2-7176C79BF79B}"/>
    <cellStyle name="Comma 9" xfId="60" xr:uid="{F2F1FF3C-14AC-4ECF-B483-95EDAADF633A}"/>
    <cellStyle name="Currency 2" xfId="13" xr:uid="{00000000-0005-0000-0000-000006000000}"/>
    <cellStyle name="Currency 3" xfId="14" xr:uid="{00000000-0005-0000-0000-000007000000}"/>
    <cellStyle name="General" xfId="3" xr:uid="{00000000-0005-0000-0000-000008000000}"/>
    <cellStyle name="Marathon" xfId="24" xr:uid="{00000000-0005-0000-0000-000009000000}"/>
    <cellStyle name="nONE" xfId="4" xr:uid="{00000000-0005-0000-0000-00000A000000}"/>
    <cellStyle name="Normal" xfId="0" builtinId="0"/>
    <cellStyle name="Normal 10" xfId="15" xr:uid="{00000000-0005-0000-0000-00000C000000}"/>
    <cellStyle name="Normal 10 2" xfId="34" xr:uid="{00000000-0005-0000-0000-00000D000000}"/>
    <cellStyle name="Normal 11" xfId="16" xr:uid="{00000000-0005-0000-0000-00000E000000}"/>
    <cellStyle name="Normal 12" xfId="22" xr:uid="{00000000-0005-0000-0000-00000F000000}"/>
    <cellStyle name="Normal 12 2" xfId="64" xr:uid="{3E4004B7-5FF7-4050-9020-D331318AA5F7}"/>
    <cellStyle name="Normal 13" xfId="28" xr:uid="{00000000-0005-0000-0000-000010000000}"/>
    <cellStyle name="Normal 14" xfId="29" xr:uid="{00000000-0005-0000-0000-000011000000}"/>
    <cellStyle name="Normal 15" xfId="31" xr:uid="{00000000-0005-0000-0000-000012000000}"/>
    <cellStyle name="Normal 15 2" xfId="67" xr:uid="{25941E90-C675-4464-8EDA-28EBD2ACC71A}"/>
    <cellStyle name="Normal 16" xfId="32" xr:uid="{00000000-0005-0000-0000-000013000000}"/>
    <cellStyle name="Normal 16 2" xfId="68" xr:uid="{8ACB398B-69AB-413F-81E3-5296C631E427}"/>
    <cellStyle name="Normal 16 7" xfId="42" xr:uid="{D132D29B-CC63-460D-AA56-29DEFCA385D7}"/>
    <cellStyle name="Normal 17" xfId="33" xr:uid="{00000000-0005-0000-0000-000014000000}"/>
    <cellStyle name="Normal 17 2" xfId="69" xr:uid="{4D9B4CFD-4001-4936-8C6C-E1FDCB4D84CF}"/>
    <cellStyle name="Normal 18" xfId="35" xr:uid="{00000000-0005-0000-0000-000015000000}"/>
    <cellStyle name="Normal 19" xfId="36" xr:uid="{00000000-0005-0000-0000-000016000000}"/>
    <cellStyle name="Normal 2" xfId="5" xr:uid="{00000000-0005-0000-0000-000017000000}"/>
    <cellStyle name="Normal 2 2" xfId="17" xr:uid="{00000000-0005-0000-0000-000018000000}"/>
    <cellStyle name="Normal 2 3" xfId="37" xr:uid="{00000000-0005-0000-0000-000019000000}"/>
    <cellStyle name="Normal 20" xfId="38" xr:uid="{00000000-0005-0000-0000-00001A000000}"/>
    <cellStyle name="Normal 20 2" xfId="70" xr:uid="{573675B9-AB61-44E4-8FE8-8DE3A3D5F008}"/>
    <cellStyle name="Normal 21" xfId="39" xr:uid="{00000000-0005-0000-0000-00001B000000}"/>
    <cellStyle name="Normal 21 2" xfId="71" xr:uid="{387A587B-EAB7-49A5-BB0B-0115C7EAB3F2}"/>
    <cellStyle name="Normal 22" xfId="40" xr:uid="{00000000-0005-0000-0000-00001C000000}"/>
    <cellStyle name="Normal 22 2" xfId="72" xr:uid="{3E96D511-EDD5-48D1-802A-FBAEEE9A0F70}"/>
    <cellStyle name="Normal 23" xfId="41" xr:uid="{67E10739-CDBB-4984-ACAB-4828CEDD8C77}"/>
    <cellStyle name="Normal 23 2" xfId="48" xr:uid="{8CA4C8A2-17A5-442D-B97F-6EF8F5A1F3AA}"/>
    <cellStyle name="Normal 24" xfId="47" xr:uid="{59FFA6EF-1465-41F0-BC0E-270A66672853}"/>
    <cellStyle name="Normal 24 2" xfId="73" xr:uid="{E6C236BA-A57A-48DC-9AA6-58F16F8F93FA}"/>
    <cellStyle name="Normal 25" xfId="51" xr:uid="{2B4F5EB3-8FC1-4DC5-B124-C1057970AE19}"/>
    <cellStyle name="Normal 26" xfId="56" xr:uid="{E27873C5-F510-4C1F-B387-519A30BFDD10}"/>
    <cellStyle name="Normal 3" xfId="8" xr:uid="{00000000-0005-0000-0000-00001D000000}"/>
    <cellStyle name="Normal 3 2" xfId="25" xr:uid="{00000000-0005-0000-0000-00001E000000}"/>
    <cellStyle name="Normal 4" xfId="10" xr:uid="{00000000-0005-0000-0000-00001F000000}"/>
    <cellStyle name="Normal 4 2" xfId="26" xr:uid="{00000000-0005-0000-0000-000020000000}"/>
    <cellStyle name="Normal 5" xfId="11" xr:uid="{00000000-0005-0000-0000-000021000000}"/>
    <cellStyle name="Normal 5 3 12" xfId="57" xr:uid="{E988E733-F14D-4208-9C52-E5713D9040DB}"/>
    <cellStyle name="Normal 6" xfId="18" xr:uid="{00000000-0005-0000-0000-000022000000}"/>
    <cellStyle name="Normal 7" xfId="19" xr:uid="{00000000-0005-0000-0000-000023000000}"/>
    <cellStyle name="Normal 7 2" xfId="63" xr:uid="{6E7DE208-CEA0-490C-BFCB-BC6D3AE666E6}"/>
    <cellStyle name="Normal 8" xfId="20" xr:uid="{00000000-0005-0000-0000-000024000000}"/>
    <cellStyle name="Normal 9" xfId="21" xr:uid="{00000000-0005-0000-0000-000025000000}"/>
    <cellStyle name="Percent" xfId="77" builtinId="5"/>
    <cellStyle name="Percent 2" xfId="6" xr:uid="{00000000-0005-0000-0000-00002C000000}"/>
    <cellStyle name="Percent 2 2" xfId="49" xr:uid="{2EE5D67F-3EEE-484B-A089-16FC41F9BD30}"/>
    <cellStyle name="Percent 2 3" xfId="61" xr:uid="{95DC136C-B233-4B17-9FB8-BB9422A7F4FB}"/>
    <cellStyle name="Percent 3" xfId="27" xr:uid="{00000000-0005-0000-0000-00002D000000}"/>
    <cellStyle name="Percent 3 2" xfId="30" xr:uid="{00000000-0005-0000-0000-00002E000000}"/>
    <cellStyle name="Percent 3 3" xfId="66" xr:uid="{CEC90409-0487-4809-9B5F-31B1F6BDF925}"/>
    <cellStyle name="Percent 4" xfId="45" xr:uid="{C2D6DD70-EE07-411D-B249-5E2BD51A1A68}"/>
    <cellStyle name="Percent 5" xfId="50" xr:uid="{5B9D46E7-D98F-40D4-B193-B9E2DFBA89F8}"/>
    <cellStyle name="TRANSMISSION RELIABILITY PORTION OF PROJECT" xfId="7" xr:uid="{00000000-0005-0000-0000-00002F000000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34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theme" Target="theme/theme1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sheetMetadata" Target="metadata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Users\p74933\AppData\Local\Microsoft\Windows\INetCache\Content.Outlook\7BA3TAPH\WA%20JAM%202021%20GRC_Settlement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Wy0902\EAST%20Blocking%209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16%20-%20%20old%20method\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4092.000\Local%20Settings\Temporary%20Internet%20Files\OLK1AC\RECOV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Oregon%2099\Portfolio\TOU%20Tariff%20Rates%209-10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305A\Book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F9DD-D0D7-4366-A17B-15C0BE45AB76}">
  <dimension ref="A1:AG79"/>
  <sheetViews>
    <sheetView showGridLines="0" topLeftCell="C7" zoomScale="70" zoomScaleNormal="70" zoomScaleSheetLayoutView="75" workbookViewId="0">
      <selection activeCell="P9" sqref="P9"/>
    </sheetView>
  </sheetViews>
  <sheetFormatPr defaultColWidth="9" defaultRowHeight="15.75"/>
  <cols>
    <col min="1" max="1" width="12.625" style="156" customWidth="1"/>
    <col min="2" max="2" width="20.625" style="156" customWidth="1"/>
    <col min="3" max="3" width="34" style="156" customWidth="1"/>
    <col min="4" max="5" width="11.25" style="156" customWidth="1"/>
    <col min="6" max="9" width="10.25" style="183" customWidth="1"/>
    <col min="10" max="12" width="10.25" style="183" hidden="1" customWidth="1"/>
    <col min="13" max="15" width="10.25" style="156" hidden="1" customWidth="1"/>
    <col min="16" max="16" width="10.25" style="495" customWidth="1"/>
    <col min="17" max="17" width="10.25" style="397" hidden="1" customWidth="1"/>
    <col min="18" max="18" width="12.625" style="397" bestFit="1" customWidth="1"/>
    <col min="19" max="19" width="20.625" style="401" customWidth="1"/>
    <col min="20" max="20" width="11.25" style="156" customWidth="1"/>
    <col min="21" max="21" width="10.25" style="401" customWidth="1"/>
    <col min="22" max="23" width="10.25" style="156" customWidth="1"/>
    <col min="24" max="24" width="0.875" style="156" customWidth="1"/>
    <col min="25" max="25" width="12.75" style="156" bestFit="1" customWidth="1"/>
    <col min="26" max="26" width="20.5" style="156" bestFit="1" customWidth="1"/>
    <col min="27" max="30" width="18" style="156" customWidth="1"/>
    <col min="31" max="31" width="0.875" style="156" customWidth="1"/>
    <col min="32" max="33" width="11.25" style="156" customWidth="1"/>
    <col min="34" max="16384" width="9" style="156"/>
  </cols>
  <sheetData>
    <row r="1" spans="1:33" s="401" customFormat="1" ht="15.75" customHeight="1">
      <c r="A1" s="397"/>
      <c r="B1" s="398" t="s">
        <v>496</v>
      </c>
      <c r="C1" s="399"/>
      <c r="D1" s="399"/>
      <c r="E1" s="399"/>
      <c r="F1" s="352"/>
      <c r="G1" s="352"/>
      <c r="H1" s="352"/>
      <c r="I1" s="539"/>
      <c r="J1" s="352"/>
      <c r="K1" s="352"/>
      <c r="L1" s="352"/>
      <c r="M1" s="399"/>
      <c r="N1" s="399"/>
      <c r="O1" s="400"/>
      <c r="P1" s="495"/>
      <c r="Q1" s="402"/>
      <c r="R1" s="402"/>
      <c r="S1" s="398" t="s">
        <v>585</v>
      </c>
      <c r="T1" s="399"/>
      <c r="U1" s="399"/>
      <c r="V1" s="400"/>
      <c r="W1" s="495"/>
    </row>
    <row r="2" spans="1:33" s="401" customFormat="1" ht="15.75" customHeight="1">
      <c r="A2" s="397"/>
      <c r="B2" s="408" t="s">
        <v>497</v>
      </c>
      <c r="C2" s="409"/>
      <c r="D2" s="409"/>
      <c r="E2" s="409"/>
      <c r="F2" s="354"/>
      <c r="G2" s="354"/>
      <c r="H2" s="354"/>
      <c r="I2" s="443"/>
      <c r="J2" s="354"/>
      <c r="K2" s="354"/>
      <c r="L2" s="354"/>
      <c r="M2" s="409"/>
      <c r="N2" s="409"/>
      <c r="O2" s="410"/>
      <c r="P2" s="495"/>
      <c r="Q2" s="402"/>
      <c r="R2" s="402"/>
      <c r="S2" s="408" t="s">
        <v>587</v>
      </c>
      <c r="T2" s="409"/>
      <c r="U2" s="409"/>
      <c r="V2" s="410"/>
      <c r="W2" s="641" t="s">
        <v>591</v>
      </c>
    </row>
    <row r="3" spans="1:33" s="401" customFormat="1" ht="15.75" customHeight="1">
      <c r="A3" s="247"/>
      <c r="B3" s="249"/>
      <c r="C3" s="619"/>
      <c r="D3" s="434" t="s">
        <v>479</v>
      </c>
      <c r="E3" s="309"/>
      <c r="F3" s="629" t="s">
        <v>599</v>
      </c>
      <c r="G3" s="447"/>
      <c r="H3" s="447"/>
      <c r="I3" s="548"/>
      <c r="J3" s="447"/>
      <c r="K3" s="447"/>
      <c r="L3" s="447"/>
      <c r="M3" s="404"/>
      <c r="N3" s="404"/>
      <c r="O3" s="403"/>
      <c r="P3" s="512"/>
      <c r="S3" s="391"/>
      <c r="T3" s="391"/>
      <c r="U3" s="338" t="s">
        <v>514</v>
      </c>
      <c r="V3" s="391"/>
      <c r="W3" s="427" t="s">
        <v>577</v>
      </c>
      <c r="Y3" s="507" t="s">
        <v>531</v>
      </c>
      <c r="Z3" s="507" t="s">
        <v>224</v>
      </c>
      <c r="AA3" s="507" t="s">
        <v>532</v>
      </c>
      <c r="AB3" s="507" t="s">
        <v>536</v>
      </c>
      <c r="AC3" s="507" t="s">
        <v>537</v>
      </c>
      <c r="AD3" s="507" t="s">
        <v>538</v>
      </c>
    </row>
    <row r="4" spans="1:33" s="401" customFormat="1" ht="15.75" customHeight="1">
      <c r="A4" s="497"/>
      <c r="B4" s="337"/>
      <c r="C4" s="426"/>
      <c r="D4" s="306"/>
      <c r="E4" s="273"/>
      <c r="F4" s="442" t="s">
        <v>435</v>
      </c>
      <c r="G4" s="354"/>
      <c r="H4" s="354"/>
      <c r="I4" s="443"/>
      <c r="J4" s="652" t="s">
        <v>437</v>
      </c>
      <c r="K4" s="354"/>
      <c r="L4" s="354"/>
      <c r="M4" s="410"/>
      <c r="N4" s="408" t="s">
        <v>0</v>
      </c>
      <c r="O4" s="410"/>
      <c r="S4" s="426"/>
      <c r="T4" s="337" t="s">
        <v>597</v>
      </c>
      <c r="U4" s="337" t="s">
        <v>586</v>
      </c>
      <c r="V4" s="426"/>
      <c r="W4" s="427" t="s">
        <v>592</v>
      </c>
      <c r="Y4" s="391"/>
      <c r="Z4" s="498"/>
      <c r="AA4" s="338" t="s">
        <v>348</v>
      </c>
      <c r="AB4" s="338" t="s">
        <v>534</v>
      </c>
      <c r="AC4" s="391"/>
      <c r="AD4" s="338" t="s">
        <v>535</v>
      </c>
    </row>
    <row r="5" spans="1:33" s="401" customFormat="1" ht="15.75" customHeight="1">
      <c r="A5" s="497"/>
      <c r="B5" s="337"/>
      <c r="C5" s="426"/>
      <c r="D5" s="370" t="s">
        <v>410</v>
      </c>
      <c r="E5" s="613" t="s">
        <v>480</v>
      </c>
      <c r="F5" s="387"/>
      <c r="G5" s="385"/>
      <c r="H5" s="385"/>
      <c r="I5" s="385" t="s">
        <v>428</v>
      </c>
      <c r="J5" s="653"/>
      <c r="K5" s="385"/>
      <c r="L5" s="385"/>
      <c r="M5" s="385" t="s">
        <v>428</v>
      </c>
      <c r="N5" s="426"/>
      <c r="O5" s="426" t="s">
        <v>428</v>
      </c>
      <c r="P5" s="631" t="s">
        <v>541</v>
      </c>
      <c r="Q5" s="542"/>
      <c r="R5" s="515"/>
      <c r="S5" s="426"/>
      <c r="T5" s="613" t="s">
        <v>480</v>
      </c>
      <c r="U5" s="337" t="s">
        <v>588</v>
      </c>
      <c r="V5" s="337" t="s">
        <v>584</v>
      </c>
      <c r="W5" s="427" t="s">
        <v>593</v>
      </c>
      <c r="Y5" s="426"/>
      <c r="Z5" s="406"/>
      <c r="AA5" s="337" t="s">
        <v>529</v>
      </c>
      <c r="AB5" s="337" t="s">
        <v>530</v>
      </c>
      <c r="AC5" s="401" t="s">
        <v>346</v>
      </c>
      <c r="AD5" s="337" t="s">
        <v>530</v>
      </c>
    </row>
    <row r="6" spans="1:33" s="401" customFormat="1" ht="15.75" customHeight="1">
      <c r="A6" s="487"/>
      <c r="B6" s="252" t="s">
        <v>352</v>
      </c>
      <c r="C6" s="252" t="s">
        <v>577</v>
      </c>
      <c r="D6" s="371" t="s">
        <v>151</v>
      </c>
      <c r="E6" s="614" t="s">
        <v>481</v>
      </c>
      <c r="F6" s="388" t="s">
        <v>341</v>
      </c>
      <c r="G6" s="388" t="s">
        <v>346</v>
      </c>
      <c r="H6" s="388" t="s">
        <v>348</v>
      </c>
      <c r="I6" s="388" t="s">
        <v>348</v>
      </c>
      <c r="J6" s="654" t="s">
        <v>341</v>
      </c>
      <c r="K6" s="388" t="s">
        <v>346</v>
      </c>
      <c r="L6" s="388" t="s">
        <v>348</v>
      </c>
      <c r="M6" s="388" t="s">
        <v>348</v>
      </c>
      <c r="N6" s="339" t="s">
        <v>348</v>
      </c>
      <c r="O6" s="339" t="s">
        <v>348</v>
      </c>
      <c r="P6" s="632" t="s">
        <v>544</v>
      </c>
      <c r="Q6" s="338" t="s">
        <v>545</v>
      </c>
      <c r="R6" s="516"/>
      <c r="S6" s="252" t="s">
        <v>352</v>
      </c>
      <c r="T6" s="614" t="s">
        <v>481</v>
      </c>
      <c r="U6" s="337" t="s">
        <v>589</v>
      </c>
      <c r="V6" s="620" t="s">
        <v>590</v>
      </c>
      <c r="W6" s="642" t="s">
        <v>428</v>
      </c>
      <c r="Y6" s="426"/>
      <c r="Z6" s="406"/>
      <c r="AA6" s="337" t="s">
        <v>533</v>
      </c>
      <c r="AB6" s="337" t="s">
        <v>539</v>
      </c>
      <c r="AC6" s="426" t="s">
        <v>514</v>
      </c>
      <c r="AD6" s="337" t="s">
        <v>533</v>
      </c>
      <c r="AF6" s="517" t="s">
        <v>520</v>
      </c>
      <c r="AG6" s="254"/>
    </row>
    <row r="7" spans="1:33" s="401" customFormat="1" ht="15.75" customHeight="1">
      <c r="A7" s="487"/>
      <c r="B7" s="248"/>
      <c r="C7" s="248"/>
      <c r="D7" s="407"/>
      <c r="E7" s="414"/>
      <c r="F7" s="251"/>
      <c r="G7" s="251"/>
      <c r="H7" s="251"/>
      <c r="I7" s="251"/>
      <c r="J7" s="658"/>
      <c r="K7" s="251"/>
      <c r="L7" s="251"/>
      <c r="M7" s="251"/>
      <c r="N7" s="251"/>
      <c r="O7" s="251"/>
      <c r="P7" s="633" t="s">
        <v>454</v>
      </c>
      <c r="Q7" s="339" t="s">
        <v>454</v>
      </c>
      <c r="S7" s="277"/>
      <c r="T7" s="277"/>
      <c r="U7" s="391"/>
      <c r="V7" s="391"/>
      <c r="W7" s="643"/>
      <c r="Y7" s="256" t="s">
        <v>352</v>
      </c>
      <c r="Z7" s="229" t="s">
        <v>519</v>
      </c>
      <c r="AA7" s="339" t="s">
        <v>520</v>
      </c>
      <c r="AB7" s="339" t="s">
        <v>520</v>
      </c>
      <c r="AC7" s="337" t="s">
        <v>348</v>
      </c>
      <c r="AD7" s="339" t="s">
        <v>520</v>
      </c>
      <c r="AF7" s="518" t="s">
        <v>431</v>
      </c>
      <c r="AG7" s="518" t="s">
        <v>433</v>
      </c>
    </row>
    <row r="8" spans="1:33" s="401" customFormat="1" ht="15.75" customHeight="1">
      <c r="A8" s="487"/>
      <c r="B8" s="248" t="s">
        <v>356</v>
      </c>
      <c r="C8" s="248" t="s">
        <v>2</v>
      </c>
      <c r="D8" s="237">
        <f t="shared" ref="D8:H13" si="0">SUMIFS(D$32:D$71,$B$32:$B$71,$B8)</f>
        <v>110741.69655913977</v>
      </c>
      <c r="E8" s="237">
        <f t="shared" si="0"/>
        <v>1631466.9598382837</v>
      </c>
      <c r="F8" s="237">
        <f t="shared" si="0"/>
        <v>176071.75485958633</v>
      </c>
      <c r="G8" s="237">
        <f t="shared" ca="1" si="0"/>
        <v>180803.38013831366</v>
      </c>
      <c r="H8" s="237">
        <f t="shared" ca="1" si="0"/>
        <v>4731.6252787273261</v>
      </c>
      <c r="I8" s="444">
        <f t="shared" ref="I8:I25" ca="1" si="1">IFERROR(H8/F8*100,0)</f>
        <v>2.6873278354615717</v>
      </c>
      <c r="J8" s="221">
        <f t="shared" ref="J8:L13" ca="1" si="2">SUMIFS(J$32:J$71,$B$32:$B$71,$B8)</f>
        <v>180803.38013831366</v>
      </c>
      <c r="K8" s="94">
        <f t="shared" ca="1" si="2"/>
        <v>180994.01813831675</v>
      </c>
      <c r="L8" s="94">
        <f t="shared" ca="1" si="2"/>
        <v>190.63800000309129</v>
      </c>
      <c r="M8" s="444">
        <f ca="1">IFERROR(L8/J8*100,0)</f>
        <v>0.1054394004455305</v>
      </c>
      <c r="N8" s="237">
        <f t="shared" ref="N8:N13" ca="1" si="3">SUMIFS(N$32:N$71,$B$32:$B$71,$B8)</f>
        <v>4922.2632787304174</v>
      </c>
      <c r="O8" s="415">
        <f ca="1">IFERROR(N8/F8*100,0)</f>
        <v>2.7956007382648185</v>
      </c>
      <c r="P8" s="634">
        <v>-2.85</v>
      </c>
      <c r="Q8" s="628">
        <v>-2.73</v>
      </c>
      <c r="R8" s="491"/>
      <c r="S8" s="248" t="s">
        <v>356</v>
      </c>
      <c r="T8" s="273">
        <f>SUMIFS(E$33:E$69,B$33:B$69,S8)</f>
        <v>1631466.9598382837</v>
      </c>
      <c r="U8" s="626">
        <f>ROUND(V$22*W8/T8/100,5)</f>
        <v>1E-3</v>
      </c>
      <c r="V8" s="520">
        <f>T8*U8</f>
        <v>1631.4669598382839</v>
      </c>
      <c r="W8" s="634">
        <v>43.930627692172436</v>
      </c>
      <c r="Y8" s="500" t="s">
        <v>521</v>
      </c>
      <c r="Z8" s="231" t="s">
        <v>2</v>
      </c>
      <c r="AA8" s="503">
        <f t="shared" ref="AA8:AA13" ca="1" si="4">AG8/F8-1</f>
        <v>5.3946672137483942E-2</v>
      </c>
      <c r="AB8" s="503">
        <f t="shared" ref="AB8:AB13" si="5">F8/AF8</f>
        <v>0.97549832018597449</v>
      </c>
      <c r="AC8" s="503">
        <f t="shared" ref="AC8:AC13" ca="1" si="6">O8/100</f>
        <v>2.7956007382648185E-2</v>
      </c>
      <c r="AD8" s="503">
        <f t="shared" ref="AD8:AD13" ca="1" si="7">K8/AG8</f>
        <v>0.97533967757389017</v>
      </c>
      <c r="AF8" s="519">
        <f>'Cost of Service and Proposed $'!D128/1000</f>
        <v>180494.16510119569</v>
      </c>
      <c r="AG8" s="519">
        <f ca="1">'Cost of Service and Proposed $'!U128/1000+V8</f>
        <v>185570.24009166789</v>
      </c>
    </row>
    <row r="9" spans="1:33" s="401" customFormat="1" ht="15.75" customHeight="1">
      <c r="A9" s="487"/>
      <c r="B9" s="248" t="s">
        <v>165</v>
      </c>
      <c r="C9" s="248" t="s">
        <v>491</v>
      </c>
      <c r="D9" s="237">
        <f t="shared" si="0"/>
        <v>20813.865258751903</v>
      </c>
      <c r="E9" s="237">
        <f t="shared" si="0"/>
        <v>547764.80929518421</v>
      </c>
      <c r="F9" s="237">
        <f t="shared" si="0"/>
        <v>58004.210238475229</v>
      </c>
      <c r="G9" s="237">
        <f t="shared" ca="1" si="0"/>
        <v>59563.420969525723</v>
      </c>
      <c r="H9" s="237">
        <f t="shared" ca="1" si="0"/>
        <v>1559.2107310504871</v>
      </c>
      <c r="I9" s="444">
        <f t="shared" ca="1" si="1"/>
        <v>2.6880992339004983</v>
      </c>
      <c r="J9" s="221">
        <f t="shared" ca="1" si="2"/>
        <v>59563.420969525723</v>
      </c>
      <c r="K9" s="94">
        <f t="shared" ca="1" si="2"/>
        <v>59477.558423622468</v>
      </c>
      <c r="L9" s="94">
        <f t="shared" ca="1" si="2"/>
        <v>-85.862545903250748</v>
      </c>
      <c r="M9" s="444">
        <f t="shared" ref="M9:M25" ca="1" si="8">IFERROR(L9/J9*100,0)</f>
        <v>-0.14415314719277184</v>
      </c>
      <c r="N9" s="237">
        <f t="shared" ca="1" si="3"/>
        <v>1473.3481851472363</v>
      </c>
      <c r="O9" s="415">
        <f t="shared" ref="O9:O25" ca="1" si="9">IFERROR(N9/F9*100,0)</f>
        <v>2.5400711070623938</v>
      </c>
      <c r="P9" s="634">
        <v>6.29</v>
      </c>
      <c r="Q9" s="628">
        <v>6.13</v>
      </c>
      <c r="R9" s="491"/>
      <c r="S9" s="248" t="s">
        <v>165</v>
      </c>
      <c r="T9" s="273">
        <f t="shared" ref="T9:T13" si="10">SUMIFS(E$33:E$69,B$33:B$69,S9)</f>
        <v>547764.80929518421</v>
      </c>
      <c r="U9" s="626">
        <f>ROUND(V$22*W9/T9/100,5)</f>
        <v>8.4000000000000003E-4</v>
      </c>
      <c r="V9" s="520">
        <f t="shared" ref="V9:V18" si="11">T9*U9</f>
        <v>460.12243980795478</v>
      </c>
      <c r="W9" s="634">
        <v>12.465157834341042</v>
      </c>
      <c r="Y9" s="501" t="s">
        <v>523</v>
      </c>
      <c r="Z9" s="238" t="s">
        <v>491</v>
      </c>
      <c r="AA9" s="504">
        <f t="shared" ca="1" si="4"/>
        <v>-3.2509643074721928E-2</v>
      </c>
      <c r="AB9" s="504">
        <f t="shared" si="5"/>
        <v>1.0609167326486988</v>
      </c>
      <c r="AC9" s="504">
        <f t="shared" ca="1" si="6"/>
        <v>2.5400711070623937E-2</v>
      </c>
      <c r="AD9" s="504">
        <f t="shared" ca="1" si="7"/>
        <v>1.0598562597868026</v>
      </c>
      <c r="AF9" s="520">
        <f>'Cost of Service and Proposed $'!E128/1000</f>
        <v>54673.668963313597</v>
      </c>
      <c r="AG9" s="520">
        <f ca="1">'Cost of Service and Proposed $'!V128/1000+V9</f>
        <v>56118.514066791271</v>
      </c>
    </row>
    <row r="10" spans="1:33" s="401" customFormat="1" ht="15.75" customHeight="1">
      <c r="A10" s="487"/>
      <c r="B10" s="248" t="s">
        <v>215</v>
      </c>
      <c r="C10" s="248" t="s">
        <v>482</v>
      </c>
      <c r="D10" s="237">
        <f t="shared" si="0"/>
        <v>1070.5694444444446</v>
      </c>
      <c r="E10" s="237">
        <f t="shared" si="0"/>
        <v>932596.84183813736</v>
      </c>
      <c r="F10" s="237">
        <f t="shared" si="0"/>
        <v>84757.248952502094</v>
      </c>
      <c r="G10" s="237">
        <f t="shared" ca="1" si="0"/>
        <v>87054.542404052321</v>
      </c>
      <c r="H10" s="237">
        <f t="shared" ca="1" si="0"/>
        <v>2297.2934515502284</v>
      </c>
      <c r="I10" s="444">
        <f t="shared" ca="1" si="1"/>
        <v>2.7104389063378287</v>
      </c>
      <c r="J10" s="221">
        <f t="shared" ca="1" si="2"/>
        <v>87054.542404052321</v>
      </c>
      <c r="K10" s="94">
        <f t="shared" ca="1" si="2"/>
        <v>86976.366196808216</v>
      </c>
      <c r="L10" s="94">
        <f t="shared" ca="1" si="2"/>
        <v>-78.176207244113215</v>
      </c>
      <c r="M10" s="444">
        <f t="shared" ca="1" si="8"/>
        <v>-8.9801410799758771E-2</v>
      </c>
      <c r="N10" s="237">
        <f t="shared" ca="1" si="3"/>
        <v>2219.117244306115</v>
      </c>
      <c r="O10" s="415">
        <f t="shared" ca="1" si="9"/>
        <v>2.6182034831613126</v>
      </c>
      <c r="P10" s="634">
        <v>5.4</v>
      </c>
      <c r="Q10" s="628">
        <v>5.3</v>
      </c>
      <c r="R10" s="491"/>
      <c r="S10" s="248" t="s">
        <v>215</v>
      </c>
      <c r="T10" s="273">
        <f t="shared" si="10"/>
        <v>932596.84183813736</v>
      </c>
      <c r="U10" s="626">
        <f>ROUND(V$22*W10/T10/100,5)</f>
        <v>8.1999999999999998E-4</v>
      </c>
      <c r="V10" s="520">
        <f t="shared" si="11"/>
        <v>764.72941030727259</v>
      </c>
      <c r="W10" s="634">
        <v>20.573393331768962</v>
      </c>
      <c r="Y10" s="501" t="s">
        <v>524</v>
      </c>
      <c r="Z10" s="238" t="s">
        <v>482</v>
      </c>
      <c r="AA10" s="504">
        <f t="shared" ca="1" si="4"/>
        <v>-2.4536398562518102E-2</v>
      </c>
      <c r="AB10" s="504">
        <f t="shared" si="5"/>
        <v>1.0515628845942826</v>
      </c>
      <c r="AC10" s="504">
        <f t="shared" ca="1" si="6"/>
        <v>2.6182034831613125E-2</v>
      </c>
      <c r="AD10" s="504">
        <f t="shared" ca="1" si="7"/>
        <v>1.0519941834009907</v>
      </c>
      <c r="AF10" s="520">
        <f>'Cost of Service and Proposed $'!F128/1000</f>
        <v>80601.217667741672</v>
      </c>
      <c r="AG10" s="520">
        <f ca="1">'Cost of Service and Proposed $'!W128/1000+V10</f>
        <v>82677.611311140936</v>
      </c>
    </row>
    <row r="11" spans="1:33" s="401" customFormat="1" ht="15.75" customHeight="1">
      <c r="A11" s="487"/>
      <c r="B11" s="248" t="s">
        <v>518</v>
      </c>
      <c r="C11" s="248" t="s">
        <v>492</v>
      </c>
      <c r="D11" s="237">
        <f t="shared" si="0"/>
        <v>67.444444444444443</v>
      </c>
      <c r="E11" s="237">
        <f t="shared" si="0"/>
        <v>378385.79511939187</v>
      </c>
      <c r="F11" s="237">
        <f t="shared" si="0"/>
        <v>32092.43848177883</v>
      </c>
      <c r="G11" s="237">
        <f t="shared" ca="1" si="0"/>
        <v>32951.014741212835</v>
      </c>
      <c r="H11" s="237">
        <f t="shared" ca="1" si="0"/>
        <v>858.57625943400672</v>
      </c>
      <c r="I11" s="444">
        <f t="shared" ca="1" si="1"/>
        <v>2.6753225995010688</v>
      </c>
      <c r="J11" s="221">
        <f t="shared" ca="1" si="2"/>
        <v>32951.014741212835</v>
      </c>
      <c r="K11" s="94">
        <f t="shared" ca="1" si="2"/>
        <v>32944.306702242218</v>
      </c>
      <c r="L11" s="94">
        <f t="shared" ca="1" si="2"/>
        <v>-6.7080389706152346</v>
      </c>
      <c r="M11" s="444">
        <f t="shared" ca="1" si="8"/>
        <v>-2.0357609692138817E-2</v>
      </c>
      <c r="N11" s="237">
        <f t="shared" ca="1" si="3"/>
        <v>851.86822046339148</v>
      </c>
      <c r="O11" s="415">
        <f t="shared" ca="1" si="9"/>
        <v>2.6544203580761176</v>
      </c>
      <c r="P11" s="634">
        <v>-0.53</v>
      </c>
      <c r="Q11" s="628">
        <v>-0.6</v>
      </c>
      <c r="R11" s="491"/>
      <c r="S11" s="248" t="s">
        <v>518</v>
      </c>
      <c r="T11" s="273">
        <f t="shared" si="10"/>
        <v>378385.79511939187</v>
      </c>
      <c r="U11" s="626">
        <f>ROUND(V$22*(W11+W12)/(T11+T12)/100,5)</f>
        <v>7.6999999999999996E-4</v>
      </c>
      <c r="V11" s="520">
        <f t="shared" si="11"/>
        <v>291.35706224193171</v>
      </c>
      <c r="W11" s="634">
        <v>8.1526788451186452</v>
      </c>
      <c r="Y11" s="501" t="s">
        <v>525</v>
      </c>
      <c r="Z11" s="238" t="s">
        <v>492</v>
      </c>
      <c r="AA11" s="504">
        <f t="shared" ca="1" si="4"/>
        <v>3.2229041713561113E-2</v>
      </c>
      <c r="AB11" s="504">
        <f t="shared" si="5"/>
        <v>0.99364474011499093</v>
      </c>
      <c r="AC11" s="504">
        <f t="shared" ca="1" si="6"/>
        <v>2.6544203580761178E-2</v>
      </c>
      <c r="AD11" s="504">
        <f t="shared" ca="1" si="7"/>
        <v>0.99449265821530952</v>
      </c>
      <c r="AF11" s="520">
        <f>('Cost of Service and Proposed $'!G128+'Cost of Service and Proposed $'!K128)/1000</f>
        <v>32297.698751029355</v>
      </c>
      <c r="AG11" s="520">
        <f ca="1">('Cost of Service and Proposed $'!X128+'Cost of Service and Proposed $'!AB128)/1000+V11</f>
        <v>33126.747020297975</v>
      </c>
    </row>
    <row r="12" spans="1:33" s="401" customFormat="1" ht="15.75" customHeight="1">
      <c r="A12" s="487"/>
      <c r="B12" s="248" t="s">
        <v>223</v>
      </c>
      <c r="C12" s="248" t="s">
        <v>495</v>
      </c>
      <c r="D12" s="237">
        <f t="shared" si="0"/>
        <v>1</v>
      </c>
      <c r="E12" s="237">
        <f t="shared" si="0"/>
        <v>544168.56528857455</v>
      </c>
      <c r="F12" s="237">
        <f t="shared" si="0"/>
        <v>38671.30532491656</v>
      </c>
      <c r="G12" s="237">
        <f t="shared" ca="1" si="0"/>
        <v>39710.390994167137</v>
      </c>
      <c r="H12" s="237">
        <f t="shared" ca="1" si="0"/>
        <v>1039.0856692505768</v>
      </c>
      <c r="I12" s="444">
        <f t="shared" ca="1" si="1"/>
        <v>2.686968180981149</v>
      </c>
      <c r="J12" s="221">
        <f t="shared" ca="1" si="2"/>
        <v>39710.390994167137</v>
      </c>
      <c r="K12" s="94">
        <f t="shared" ca="1" si="2"/>
        <v>39725.859660096517</v>
      </c>
      <c r="L12" s="94">
        <f t="shared" ca="1" si="2"/>
        <v>15.468665929380222</v>
      </c>
      <c r="M12" s="444">
        <f t="shared" ca="1" si="8"/>
        <v>3.8953698369911131E-2</v>
      </c>
      <c r="N12" s="237">
        <f t="shared" ca="1" si="3"/>
        <v>1054.554335179957</v>
      </c>
      <c r="O12" s="415">
        <f t="shared" ca="1" si="9"/>
        <v>2.726968552831575</v>
      </c>
      <c r="P12" s="634">
        <v>-4.33</v>
      </c>
      <c r="Q12" s="628">
        <v>-4.3</v>
      </c>
      <c r="R12" s="491"/>
      <c r="S12" s="248" t="s">
        <v>223</v>
      </c>
      <c r="T12" s="273">
        <f t="shared" si="10"/>
        <v>544168.56528857455</v>
      </c>
      <c r="U12" s="626">
        <f>ROUND(V$22*(W11+W12)/(T11+T12)/100,5)</f>
        <v>7.6999999999999996E-4</v>
      </c>
      <c r="V12" s="520">
        <f t="shared" si="11"/>
        <v>419.00979527220238</v>
      </c>
      <c r="W12" s="634">
        <v>10.988394050341268</v>
      </c>
      <c r="Y12" s="501" t="s">
        <v>528</v>
      </c>
      <c r="Z12" s="238" t="s">
        <v>492</v>
      </c>
      <c r="AA12" s="504">
        <f t="shared" ca="1" si="4"/>
        <v>7.1734305061362358E-2</v>
      </c>
      <c r="AB12" s="504">
        <f t="shared" si="5"/>
        <v>0.95667159777074895</v>
      </c>
      <c r="AC12" s="504">
        <f t="shared" ca="1" si="6"/>
        <v>2.7269685528315751E-2</v>
      </c>
      <c r="AD12" s="504">
        <f t="shared" ca="1" si="7"/>
        <v>0.95851152722922239</v>
      </c>
      <c r="AF12" s="520">
        <f>'Cost of Service and Proposed $'!H128/1000</f>
        <v>40422.758880925321</v>
      </c>
      <c r="AG12" s="520">
        <f ca="1">'Cost of Service and Proposed $'!Y128/1000+V12</f>
        <v>41445.36453821521</v>
      </c>
    </row>
    <row r="13" spans="1:33" s="401" customFormat="1" ht="15.75" customHeight="1">
      <c r="A13" s="487"/>
      <c r="B13" s="248" t="s">
        <v>89</v>
      </c>
      <c r="C13" s="248" t="s">
        <v>488</v>
      </c>
      <c r="D13" s="237">
        <f t="shared" si="0"/>
        <v>5140.8634747118504</v>
      </c>
      <c r="E13" s="237">
        <f t="shared" si="0"/>
        <v>152841.48716573825</v>
      </c>
      <c r="F13" s="237">
        <f t="shared" si="0"/>
        <v>14475.016400296861</v>
      </c>
      <c r="G13" s="237">
        <f t="shared" ca="1" si="0"/>
        <v>14861.846490647327</v>
      </c>
      <c r="H13" s="237">
        <f t="shared" ca="1" si="0"/>
        <v>386.83009035046598</v>
      </c>
      <c r="I13" s="444">
        <f t="shared" ca="1" si="1"/>
        <v>2.6723982871793681</v>
      </c>
      <c r="J13" s="221">
        <f t="shared" ca="1" si="2"/>
        <v>14861.846490647327</v>
      </c>
      <c r="K13" s="94">
        <f t="shared" ca="1" si="2"/>
        <v>14869.025534952771</v>
      </c>
      <c r="L13" s="94">
        <f t="shared" ca="1" si="2"/>
        <v>7.1790443054433126</v>
      </c>
      <c r="M13" s="444">
        <f t="shared" ca="1" si="8"/>
        <v>4.8305197540299855E-2</v>
      </c>
      <c r="N13" s="237">
        <f t="shared" ca="1" si="3"/>
        <v>394.00913465590929</v>
      </c>
      <c r="O13" s="415">
        <f t="shared" ca="1" si="9"/>
        <v>2.7219943919913536</v>
      </c>
      <c r="P13" s="634">
        <v>-6.05</v>
      </c>
      <c r="Q13" s="628">
        <v>-6.01</v>
      </c>
      <c r="R13" s="491"/>
      <c r="S13" s="248" t="s">
        <v>89</v>
      </c>
      <c r="T13" s="273">
        <f t="shared" si="10"/>
        <v>152841.48716573825</v>
      </c>
      <c r="U13" s="626">
        <f>ROUND(V$22*W13/T13/100,5)</f>
        <v>9.2000000000000003E-4</v>
      </c>
      <c r="V13" s="520">
        <f t="shared" si="11"/>
        <v>140.61416819247918</v>
      </c>
      <c r="W13" s="634">
        <v>3.7775340035184937</v>
      </c>
      <c r="Y13" s="501" t="s">
        <v>526</v>
      </c>
      <c r="Z13" s="238" t="s">
        <v>488</v>
      </c>
      <c r="AA13" s="504">
        <f t="shared" ca="1" si="4"/>
        <v>9.9896739382653532E-2</v>
      </c>
      <c r="AB13" s="504">
        <f t="shared" si="5"/>
        <v>0.934449388687562</v>
      </c>
      <c r="AC13" s="504">
        <f t="shared" ca="1" si="6"/>
        <v>2.7219943919913538E-2</v>
      </c>
      <c r="AD13" s="504">
        <f t="shared" ca="1" si="7"/>
        <v>0.93392398316997316</v>
      </c>
      <c r="AF13" s="520">
        <f>'Cost of Service and Proposed $'!I128/1000</f>
        <v>15490.423104270078</v>
      </c>
      <c r="AG13" s="520">
        <f ca="1">'Cost of Service and Proposed $'!Z128/1000+V13</f>
        <v>15921.023341196951</v>
      </c>
    </row>
    <row r="14" spans="1:33" ht="15.75" customHeight="1">
      <c r="A14" s="487"/>
      <c r="B14" s="248"/>
      <c r="C14" s="248"/>
      <c r="D14" s="237"/>
      <c r="E14" s="237"/>
      <c r="F14" s="237"/>
      <c r="G14" s="237"/>
      <c r="H14" s="237"/>
      <c r="I14" s="444"/>
      <c r="J14" s="221"/>
      <c r="K14" s="94"/>
      <c r="L14" s="94"/>
      <c r="M14" s="444"/>
      <c r="N14" s="237"/>
      <c r="O14" s="415"/>
      <c r="P14" s="634"/>
      <c r="Q14" s="628"/>
      <c r="R14" s="491"/>
      <c r="S14" s="248"/>
      <c r="T14" s="273"/>
      <c r="U14" s="626"/>
      <c r="V14" s="520"/>
      <c r="W14" s="644"/>
      <c r="Y14" s="502" t="s">
        <v>522</v>
      </c>
      <c r="Z14" s="229" t="s">
        <v>104</v>
      </c>
      <c r="AA14" s="505">
        <f ca="1">AG14/F19-1</f>
        <v>0.13252127978943173</v>
      </c>
      <c r="AB14" s="505">
        <f>F19/AF14</f>
        <v>0.90614283904717685</v>
      </c>
      <c r="AC14" s="505">
        <f ca="1">O19/100</f>
        <v>2.0141965053169626E-2</v>
      </c>
      <c r="AD14" s="505">
        <f ca="1">K19/AG14</f>
        <v>0.90077068153884343</v>
      </c>
      <c r="AF14" s="241">
        <f>'Cost of Service and Proposed $'!J128/1000</f>
        <v>980.65857267608283</v>
      </c>
      <c r="AG14" s="241">
        <f ca="1">'Cost of Service and Proposed $'!AA128/1000+V19</f>
        <v>1006.3773712292755</v>
      </c>
    </row>
    <row r="15" spans="1:33" ht="15.75" customHeight="1">
      <c r="A15" s="487"/>
      <c r="B15" s="248" t="s">
        <v>106</v>
      </c>
      <c r="C15" s="248" t="s">
        <v>483</v>
      </c>
      <c r="D15" s="237">
        <f t="shared" ref="D15:H18" si="12">SUMIFS(D$32:D$71,$B$32:$B$71,$B15)</f>
        <v>2208.4166666666665</v>
      </c>
      <c r="E15" s="237">
        <f t="shared" si="12"/>
        <v>2856.7467026120999</v>
      </c>
      <c r="F15" s="237">
        <f t="shared" si="12"/>
        <v>295.39940153675803</v>
      </c>
      <c r="G15" s="237">
        <f t="shared" ca="1" si="12"/>
        <v>302.47444090654727</v>
      </c>
      <c r="H15" s="237">
        <f t="shared" ca="1" si="12"/>
        <v>7.0750393697892147</v>
      </c>
      <c r="I15" s="444">
        <f t="shared" ca="1" si="1"/>
        <v>2.3950757289902063</v>
      </c>
      <c r="J15" s="221">
        <f t="shared" ref="J15:L18" ca="1" si="13">SUMIFS(J$32:J$71,$B$32:$B$71,$B15)</f>
        <v>302.47444090654727</v>
      </c>
      <c r="K15" s="94">
        <f t="shared" ca="1" si="13"/>
        <v>300.49431250327598</v>
      </c>
      <c r="L15" s="94">
        <f t="shared" ca="1" si="13"/>
        <v>-1.9801284032712712</v>
      </c>
      <c r="M15" s="444">
        <f t="shared" ca="1" si="8"/>
        <v>-0.6546432145924862</v>
      </c>
      <c r="N15" s="237">
        <f ca="1">SUMIFS(N$32:N$71,$B$32:$B$71,$B15)</f>
        <v>5.0949109665179435</v>
      </c>
      <c r="O15" s="415">
        <f t="shared" ca="1" si="9"/>
        <v>1.7247533136535345</v>
      </c>
      <c r="P15" s="634"/>
      <c r="Q15" s="628"/>
      <c r="R15" s="491"/>
      <c r="S15" s="248" t="s">
        <v>106</v>
      </c>
      <c r="T15" s="273">
        <f>SUM('Sch.15,51,53,54'!I7:I15)/1000</f>
        <v>724.50580440129693</v>
      </c>
      <c r="U15" s="626">
        <f>ROUND(V$22*(W15+W16)/(T15+T16)/100,5)</f>
        <v>1.1000000000000001E-3</v>
      </c>
      <c r="V15" s="520">
        <f t="shared" si="11"/>
        <v>0.79695638484142672</v>
      </c>
      <c r="W15" s="645">
        <f>E15/E$19*W$19</f>
        <v>4.6105470771140404E-2</v>
      </c>
      <c r="Y15" s="246" t="s">
        <v>132</v>
      </c>
      <c r="Z15" s="499"/>
      <c r="AA15" s="506">
        <f ca="1">AG15/F25-1</f>
        <v>2.6925017367292137E-2</v>
      </c>
      <c r="AB15" s="506">
        <f>F25/AF15</f>
        <v>0.99999999990021549</v>
      </c>
      <c r="AC15" s="506">
        <f ca="1">O25/100</f>
        <v>2.699358645062019E-2</v>
      </c>
      <c r="AD15" s="506">
        <f ca="1">K25/AG15</f>
        <v>1.0000667712658355</v>
      </c>
      <c r="AF15" s="241">
        <f>SUM(AF8:AF14)+SUM(F21:F23)</f>
        <v>405024.3159411517</v>
      </c>
      <c r="AG15" s="241">
        <f ca="1">SUM(AG8:AG14)+SUM(K21:K23)</f>
        <v>415929.60264053947</v>
      </c>
    </row>
    <row r="16" spans="1:33" ht="15.75" customHeight="1">
      <c r="A16" s="487"/>
      <c r="B16" s="248" t="s">
        <v>107</v>
      </c>
      <c r="C16" s="248" t="s">
        <v>484</v>
      </c>
      <c r="D16" s="237">
        <f t="shared" si="12"/>
        <v>225.91666666666666</v>
      </c>
      <c r="E16" s="237">
        <f t="shared" si="12"/>
        <v>1820.2173769310609</v>
      </c>
      <c r="F16" s="237">
        <f t="shared" si="12"/>
        <v>464.27096133082063</v>
      </c>
      <c r="G16" s="237">
        <f t="shared" ca="1" si="12"/>
        <v>476.93142174417028</v>
      </c>
      <c r="H16" s="237">
        <f t="shared" ca="1" si="12"/>
        <v>12.660460413349654</v>
      </c>
      <c r="I16" s="444">
        <f t="shared" ca="1" si="1"/>
        <v>2.7269550473410558</v>
      </c>
      <c r="J16" s="221">
        <f t="shared" ca="1" si="13"/>
        <v>476.93142174417028</v>
      </c>
      <c r="K16" s="94">
        <f t="shared" ca="1" si="13"/>
        <v>473.6869714628026</v>
      </c>
      <c r="L16" s="94">
        <f t="shared" ca="1" si="13"/>
        <v>-3.2444502813676763</v>
      </c>
      <c r="M16" s="444">
        <f t="shared" ca="1" si="8"/>
        <v>-0.68027605929223611</v>
      </c>
      <c r="N16" s="237">
        <f ca="1">SUMIFS(N$32:N$71,$B$32:$B$71,$B16)</f>
        <v>9.4160101319819773</v>
      </c>
      <c r="O16" s="415">
        <f t="shared" ca="1" si="9"/>
        <v>2.0281281657140973</v>
      </c>
      <c r="P16" s="634"/>
      <c r="Q16" s="628"/>
      <c r="R16" s="491"/>
      <c r="S16" s="248" t="s">
        <v>107</v>
      </c>
      <c r="T16" s="273">
        <f>SUM('Sch.15,51,53,54'!I16:I27)/1000</f>
        <v>1815.5898653939805</v>
      </c>
      <c r="U16" s="626">
        <f>ROUND(V$22*(W15+W16)/(T15+T16)/100,5)</f>
        <v>1.1000000000000001E-3</v>
      </c>
      <c r="V16" s="520">
        <f t="shared" si="11"/>
        <v>1.9971488519333787</v>
      </c>
      <c r="W16" s="645">
        <f>E16/E$19*W$19</f>
        <v>2.9376765882842128E-2</v>
      </c>
      <c r="Y16" s="411" t="s">
        <v>527</v>
      </c>
    </row>
    <row r="17" spans="1:28" ht="15.75" customHeight="1">
      <c r="A17" s="487"/>
      <c r="B17" s="248" t="s">
        <v>163</v>
      </c>
      <c r="C17" s="248" t="s">
        <v>486</v>
      </c>
      <c r="D17" s="237">
        <f t="shared" si="12"/>
        <v>232.58333333333334</v>
      </c>
      <c r="E17" s="237">
        <f t="shared" si="12"/>
        <v>1961.4729048762861</v>
      </c>
      <c r="F17" s="237">
        <f t="shared" si="12"/>
        <v>107.67492750922015</v>
      </c>
      <c r="G17" s="237">
        <f t="shared" ca="1" si="12"/>
        <v>111.32272139986051</v>
      </c>
      <c r="H17" s="237">
        <f t="shared" ca="1" si="12"/>
        <v>3.647793890640358</v>
      </c>
      <c r="I17" s="444">
        <f t="shared" ca="1" si="1"/>
        <v>3.387783929854979</v>
      </c>
      <c r="J17" s="221">
        <f t="shared" ca="1" si="13"/>
        <v>111.32272139986051</v>
      </c>
      <c r="K17" s="94">
        <f t="shared" ca="1" si="13"/>
        <v>110.56244135440987</v>
      </c>
      <c r="L17" s="94">
        <f t="shared" ca="1" si="13"/>
        <v>-0.76028004545064221</v>
      </c>
      <c r="M17" s="444">
        <f t="shared" ca="1" si="8"/>
        <v>-0.68295136508547016</v>
      </c>
      <c r="N17" s="237">
        <f ca="1">SUMIFS(N$32:N$71,$B$32:$B$71,$B17)</f>
        <v>2.8875138451897158</v>
      </c>
      <c r="O17" s="415">
        <f t="shared" ca="1" si="9"/>
        <v>2.6816956481744176</v>
      </c>
      <c r="P17" s="634"/>
      <c r="Q17" s="628"/>
      <c r="R17" s="491"/>
      <c r="S17" s="248" t="s">
        <v>163</v>
      </c>
      <c r="T17" s="273">
        <f t="shared" ref="T17:T18" si="14">SUMIFS(E$33:E$69,B$33:B$69,S17)</f>
        <v>1961.4729048762861</v>
      </c>
      <c r="U17" s="626">
        <f>ROUND(V$22*W17/T17/100,5)</f>
        <v>5.9999999999999995E-4</v>
      </c>
      <c r="V17" s="520">
        <f t="shared" si="11"/>
        <v>1.1768837429257715</v>
      </c>
      <c r="W17" s="645">
        <f>E17/E$19*W$19</f>
        <v>3.1656510393962299E-2</v>
      </c>
      <c r="Y17" s="411"/>
    </row>
    <row r="18" spans="1:28" ht="15.75" customHeight="1">
      <c r="A18" s="487"/>
      <c r="B18" s="252" t="s">
        <v>108</v>
      </c>
      <c r="C18" s="252" t="s">
        <v>493</v>
      </c>
      <c r="D18" s="237">
        <f t="shared" si="12"/>
        <v>25.575035561877666</v>
      </c>
      <c r="E18" s="237">
        <f t="shared" si="12"/>
        <v>314.48340809632003</v>
      </c>
      <c r="F18" s="237">
        <f t="shared" si="12"/>
        <v>21.271452803859034</v>
      </c>
      <c r="G18" s="237">
        <f t="shared" ca="1" si="12"/>
        <v>21.910607791985832</v>
      </c>
      <c r="H18" s="237">
        <f t="shared" ca="1" si="12"/>
        <v>0.63915498812679772</v>
      </c>
      <c r="I18" s="444">
        <f t="shared" ca="1" si="1"/>
        <v>3.0047547481610808</v>
      </c>
      <c r="J18" s="221">
        <f t="shared" ca="1" si="13"/>
        <v>21.910607791985832</v>
      </c>
      <c r="K18" s="94">
        <f t="shared" ca="1" si="13"/>
        <v>21.771505246975618</v>
      </c>
      <c r="L18" s="94">
        <f t="shared" ca="1" si="13"/>
        <v>-0.13910254501021413</v>
      </c>
      <c r="M18" s="444">
        <f t="shared" ca="1" si="8"/>
        <v>-0.63486392678295844</v>
      </c>
      <c r="N18" s="237">
        <f ca="1">SUMIFS(N$32:N$71,$B$32:$B$71,$B18)</f>
        <v>0.50005244311658359</v>
      </c>
      <c r="O18" s="415">
        <f t="shared" ca="1" si="9"/>
        <v>2.3508147173937495</v>
      </c>
      <c r="P18" s="634"/>
      <c r="Q18" s="628"/>
      <c r="R18" s="491"/>
      <c r="S18" s="252" t="s">
        <v>108</v>
      </c>
      <c r="T18" s="273">
        <f t="shared" si="14"/>
        <v>314.48340809632003</v>
      </c>
      <c r="U18" s="627">
        <f>ROUND(V$22*W18/T18/100,5)</f>
        <v>5.9999999999999995E-4</v>
      </c>
      <c r="V18" s="520">
        <f t="shared" si="11"/>
        <v>0.18869004485779201</v>
      </c>
      <c r="W18" s="645">
        <f>E18/E$19*W$19</f>
        <v>5.0754956912125952E-3</v>
      </c>
      <c r="Y18" s="411"/>
    </row>
    <row r="19" spans="1:28" ht="15.75" customHeight="1">
      <c r="A19" s="487"/>
      <c r="B19" s="365" t="s">
        <v>267</v>
      </c>
      <c r="C19" s="365" t="s">
        <v>487</v>
      </c>
      <c r="D19" s="160">
        <f>D15+D16+D17+D18</f>
        <v>2692.491702228544</v>
      </c>
      <c r="E19" s="160">
        <f t="shared" ref="E19:N19" si="15">E15+E16+E17+E18</f>
        <v>6952.9203925157663</v>
      </c>
      <c r="F19" s="285">
        <f t="shared" si="15"/>
        <v>888.61674318065786</v>
      </c>
      <c r="G19" s="285">
        <f t="shared" ca="1" si="15"/>
        <v>912.63919184256395</v>
      </c>
      <c r="H19" s="285">
        <f t="shared" ca="1" si="15"/>
        <v>24.022448661906026</v>
      </c>
      <c r="I19" s="446">
        <f t="shared" ca="1" si="1"/>
        <v>2.7033531436647942</v>
      </c>
      <c r="J19" s="375">
        <f t="shared" ca="1" si="15"/>
        <v>912.63919184256395</v>
      </c>
      <c r="K19" s="285">
        <f t="shared" ca="1" si="15"/>
        <v>906.51523056746407</v>
      </c>
      <c r="L19" s="285">
        <f t="shared" ca="1" si="15"/>
        <v>-6.1239612750998038</v>
      </c>
      <c r="M19" s="446">
        <f t="shared" ca="1" si="8"/>
        <v>-0.6710166876283159</v>
      </c>
      <c r="N19" s="285">
        <f t="shared" ca="1" si="15"/>
        <v>17.89848738680622</v>
      </c>
      <c r="O19" s="446">
        <f t="shared" ca="1" si="9"/>
        <v>2.0141965053169626</v>
      </c>
      <c r="P19" s="635">
        <v>-9.0500000000000007</v>
      </c>
      <c r="Q19" s="630">
        <v>-9.6300000000000008</v>
      </c>
      <c r="R19" s="491"/>
      <c r="S19" s="365" t="s">
        <v>267</v>
      </c>
      <c r="T19" s="160">
        <f>T15+T16+T17+T18</f>
        <v>4816.0519827678836</v>
      </c>
      <c r="U19" s="391"/>
      <c r="V19" s="160">
        <f t="shared" ref="V19" si="16">V15+V16+V17+V18</f>
        <v>4.1596790245583692</v>
      </c>
      <c r="W19" s="646">
        <v>0.11221424273915742</v>
      </c>
    </row>
    <row r="20" spans="1:28" ht="15.75" customHeight="1">
      <c r="A20" s="411"/>
      <c r="B20" s="277"/>
      <c r="C20" s="248"/>
      <c r="D20" s="237"/>
      <c r="E20" s="237"/>
      <c r="F20" s="94"/>
      <c r="G20" s="94"/>
      <c r="H20" s="94"/>
      <c r="I20" s="444"/>
      <c r="J20" s="221"/>
      <c r="K20" s="94"/>
      <c r="L20" s="94"/>
      <c r="M20" s="444"/>
      <c r="N20" s="94"/>
      <c r="O20" s="444"/>
      <c r="P20" s="401"/>
      <c r="Q20" s="156"/>
      <c r="R20" s="401"/>
      <c r="S20" s="426"/>
      <c r="T20" s="603"/>
      <c r="U20" s="615"/>
      <c r="V20" s="603"/>
    </row>
    <row r="21" spans="1:28" ht="15.75" customHeight="1">
      <c r="A21" s="411"/>
      <c r="B21" s="57" t="s">
        <v>490</v>
      </c>
      <c r="C21" s="57" t="s">
        <v>305</v>
      </c>
      <c r="D21" s="237">
        <f t="shared" ref="D21:H23" si="17">SUMIFS(D$32:D$71,$C$32:$C$71,$C21)</f>
        <v>0</v>
      </c>
      <c r="E21" s="237">
        <f t="shared" si="17"/>
        <v>0</v>
      </c>
      <c r="F21" s="237">
        <f t="shared" si="17"/>
        <v>-294.83800000000002</v>
      </c>
      <c r="G21" s="237">
        <f t="shared" si="17"/>
        <v>-294.83800000000002</v>
      </c>
      <c r="H21" s="237">
        <f t="shared" si="17"/>
        <v>0</v>
      </c>
      <c r="I21" s="415">
        <f t="shared" si="1"/>
        <v>0</v>
      </c>
      <c r="J21" s="245">
        <f t="shared" ref="J21:L23" si="18">SUMIFS(J$32:J$71,$C$32:$C$71,$C21)</f>
        <v>-294.83800000000002</v>
      </c>
      <c r="K21" s="237">
        <f t="shared" si="18"/>
        <v>-294.83800000000002</v>
      </c>
      <c r="L21" s="237">
        <f t="shared" si="18"/>
        <v>0</v>
      </c>
      <c r="M21" s="415">
        <f t="shared" si="8"/>
        <v>0</v>
      </c>
      <c r="N21" s="237">
        <f>SUMIFS(N$32:N$71,$C$32:$C$71,$C21)</f>
        <v>0</v>
      </c>
      <c r="O21" s="415">
        <f t="shared" si="9"/>
        <v>0</v>
      </c>
      <c r="P21" s="636" t="s">
        <v>441</v>
      </c>
      <c r="Q21" s="403"/>
      <c r="R21" s="495"/>
      <c r="S21" s="365" t="s">
        <v>132</v>
      </c>
      <c r="T21" s="256">
        <f>SUM(T8:T18)</f>
        <v>4192040.5105280778</v>
      </c>
      <c r="U21" s="365"/>
      <c r="V21" s="256">
        <f>SUM(V8:V18)</f>
        <v>3711.4595146846827</v>
      </c>
      <c r="AA21" s="492"/>
      <c r="AB21" s="493"/>
    </row>
    <row r="22" spans="1:28" ht="15.75" customHeight="1">
      <c r="A22" s="411"/>
      <c r="B22" s="57" t="s">
        <v>490</v>
      </c>
      <c r="C22" s="57" t="s">
        <v>306</v>
      </c>
      <c r="D22" s="237">
        <f t="shared" si="17"/>
        <v>0</v>
      </c>
      <c r="E22" s="237">
        <f t="shared" si="17"/>
        <v>0</v>
      </c>
      <c r="F22" s="237">
        <f t="shared" si="17"/>
        <v>-267.67099999999999</v>
      </c>
      <c r="G22" s="237">
        <f t="shared" si="17"/>
        <v>-267.67099999999999</v>
      </c>
      <c r="H22" s="237">
        <f t="shared" si="17"/>
        <v>0</v>
      </c>
      <c r="I22" s="415">
        <f t="shared" si="1"/>
        <v>0</v>
      </c>
      <c r="J22" s="245">
        <f t="shared" si="18"/>
        <v>-267.67099999999999</v>
      </c>
      <c r="K22" s="237">
        <f t="shared" si="18"/>
        <v>-267.67099999999999</v>
      </c>
      <c r="L22" s="237">
        <f t="shared" si="18"/>
        <v>0</v>
      </c>
      <c r="M22" s="415">
        <f t="shared" si="8"/>
        <v>0</v>
      </c>
      <c r="N22" s="237">
        <f>SUMIFS(N$32:N$71,$C$32:$C$71,$C22)</f>
        <v>0</v>
      </c>
      <c r="O22" s="415">
        <f t="shared" si="9"/>
        <v>0</v>
      </c>
      <c r="P22" s="637">
        <f>'Cost of Service and Proposed $'!T10/1000+V22</f>
        <v>10896.959749436468</v>
      </c>
      <c r="Q22" s="160">
        <f>'Cost of Service and Proposed $'!AC10/1000</f>
        <v>0</v>
      </c>
      <c r="R22" s="543" t="s">
        <v>550</v>
      </c>
      <c r="V22" s="621">
        <v>3703.13256472996</v>
      </c>
      <c r="Y22" s="543"/>
      <c r="AA22" s="490"/>
      <c r="AB22" s="401"/>
    </row>
    <row r="23" spans="1:28" ht="15.75" customHeight="1">
      <c r="A23" s="411"/>
      <c r="B23" s="57" t="s">
        <v>490</v>
      </c>
      <c r="C23" s="248" t="s">
        <v>288</v>
      </c>
      <c r="D23" s="237">
        <f t="shared" si="17"/>
        <v>0</v>
      </c>
      <c r="E23" s="237">
        <f t="shared" si="17"/>
        <v>0</v>
      </c>
      <c r="F23" s="237">
        <f t="shared" si="17"/>
        <v>626.23389999999995</v>
      </c>
      <c r="G23" s="237">
        <f t="shared" si="17"/>
        <v>626.23389999999995</v>
      </c>
      <c r="H23" s="237">
        <f t="shared" si="17"/>
        <v>0</v>
      </c>
      <c r="I23" s="415">
        <f t="shared" si="1"/>
        <v>0</v>
      </c>
      <c r="J23" s="245">
        <f t="shared" si="18"/>
        <v>626.23389999999995</v>
      </c>
      <c r="K23" s="237">
        <f t="shared" si="18"/>
        <v>626.23389999999995</v>
      </c>
      <c r="L23" s="237">
        <f t="shared" si="18"/>
        <v>0</v>
      </c>
      <c r="M23" s="415">
        <f t="shared" si="8"/>
        <v>0</v>
      </c>
      <c r="N23" s="237">
        <f>SUMIFS(N$32:N$71,$C$32:$C$71,$C23)</f>
        <v>0</v>
      </c>
      <c r="O23" s="415">
        <f t="shared" si="9"/>
        <v>0</v>
      </c>
      <c r="P23" s="637">
        <f ca="1">H25</f>
        <v>10896.643929024996</v>
      </c>
      <c r="Q23" s="160">
        <f ca="1">L25</f>
        <v>36.414956844835807</v>
      </c>
      <c r="R23" s="543" t="s">
        <v>551</v>
      </c>
      <c r="S23" s="49"/>
      <c r="T23" s="49"/>
      <c r="U23" s="495"/>
      <c r="V23" s="397"/>
      <c r="W23" s="495"/>
      <c r="Y23" s="543"/>
      <c r="AA23" s="490"/>
      <c r="AB23" s="401"/>
    </row>
    <row r="24" spans="1:28" ht="15.75" customHeight="1">
      <c r="A24" s="411"/>
      <c r="B24" s="252"/>
      <c r="C24" s="252"/>
      <c r="D24" s="241"/>
      <c r="E24" s="241"/>
      <c r="F24" s="95"/>
      <c r="G24" s="95"/>
      <c r="H24" s="95"/>
      <c r="I24" s="445"/>
      <c r="J24" s="267"/>
      <c r="K24" s="95"/>
      <c r="L24" s="95"/>
      <c r="M24" s="445"/>
      <c r="N24" s="95"/>
      <c r="O24" s="445"/>
      <c r="P24" s="637">
        <f ca="1">P22-P23</f>
        <v>0.31582041147157724</v>
      </c>
      <c r="Q24" s="494">
        <f ca="1">Q22-Q23</f>
        <v>-36.414956844835807</v>
      </c>
      <c r="R24" s="543" t="s">
        <v>598</v>
      </c>
      <c r="S24" s="411"/>
      <c r="T24" s="411"/>
      <c r="U24" s="495"/>
      <c r="V24" s="397"/>
      <c r="W24" s="495"/>
      <c r="Y24" s="543"/>
      <c r="AA24" s="490"/>
      <c r="AB24" s="401"/>
    </row>
    <row r="25" spans="1:28" ht="15.75" customHeight="1">
      <c r="A25" s="411"/>
      <c r="B25" s="365" t="s">
        <v>132</v>
      </c>
      <c r="C25" s="365" t="s">
        <v>132</v>
      </c>
      <c r="D25" s="160">
        <f>SUMIFS(D$32:D$71,$B$32:$B$71,$B25)</f>
        <v>140527.93088372098</v>
      </c>
      <c r="E25" s="160">
        <f>SUMIFS(E$32:E$71,$B$32:$B$71,$B25)</f>
        <v>4194177.378937826</v>
      </c>
      <c r="F25" s="285">
        <f>SUMIFS(F$32:F$71,$B$32:$B$71,$B25)</f>
        <v>405024.31590073655</v>
      </c>
      <c r="G25" s="285">
        <f ca="1">SUMIFS(G$32:G$71,$B$32:$B$71,$B25)</f>
        <v>415920.95982976153</v>
      </c>
      <c r="H25" s="661">
        <f ca="1">SUMIFS(H$32:H$71,$B$32:$B$71,$B25)</f>
        <v>10896.643929024996</v>
      </c>
      <c r="I25" s="662">
        <f t="shared" ca="1" si="1"/>
        <v>2.6903678374943665</v>
      </c>
      <c r="J25" s="375">
        <f ca="1">SUMIFS(J$32:J$71,$B$32:$B$71,$B25)</f>
        <v>415920.95982976153</v>
      </c>
      <c r="K25" s="375">
        <f ca="1">SUMIFS(K$32:K$71,$B$32:$B$71,$B25)</f>
        <v>415957.37478660629</v>
      </c>
      <c r="L25" s="285">
        <f ca="1">SUMIFS(L$32:L$71,$B$32:$B$71,$B25)</f>
        <v>36.414956844835807</v>
      </c>
      <c r="M25" s="446">
        <f t="shared" ca="1" si="8"/>
        <v>8.7552588981667633E-3</v>
      </c>
      <c r="N25" s="285">
        <f ca="1">SUMIFS(N$32:N$71,$B$32:$B$71,$B25)</f>
        <v>10933.058885869834</v>
      </c>
      <c r="O25" s="446">
        <f t="shared" ca="1" si="9"/>
        <v>2.6993586450620191</v>
      </c>
      <c r="P25" s="514"/>
      <c r="Q25" s="455"/>
      <c r="R25" s="402"/>
      <c r="S25" s="402"/>
      <c r="T25" s="402"/>
      <c r="U25" s="495"/>
    </row>
    <row r="26" spans="1:28" ht="15.75" customHeight="1">
      <c r="A26" s="398" t="s">
        <v>496</v>
      </c>
      <c r="B26" s="431"/>
      <c r="C26" s="432"/>
      <c r="D26" s="308"/>
      <c r="E26" s="308"/>
      <c r="F26" s="327"/>
      <c r="G26" s="327"/>
      <c r="H26" s="327"/>
      <c r="I26" s="656"/>
      <c r="J26" s="327"/>
      <c r="K26" s="327"/>
      <c r="L26" s="327"/>
      <c r="M26" s="433"/>
      <c r="N26" s="308"/>
      <c r="O26" s="638"/>
      <c r="P26" s="513"/>
      <c r="Q26" s="617"/>
      <c r="AA26" s="489"/>
    </row>
    <row r="27" spans="1:28" ht="15.75" customHeight="1">
      <c r="A27" s="408" t="s">
        <v>497</v>
      </c>
      <c r="B27" s="409"/>
      <c r="C27" s="409"/>
      <c r="D27" s="409"/>
      <c r="E27" s="409"/>
      <c r="F27" s="353"/>
      <c r="G27" s="353"/>
      <c r="H27" s="353"/>
      <c r="I27" s="657"/>
      <c r="J27" s="353"/>
      <c r="K27" s="353"/>
      <c r="L27" s="353"/>
      <c r="M27" s="402"/>
      <c r="N27" s="402"/>
      <c r="O27" s="639"/>
      <c r="Q27" s="402"/>
      <c r="R27" s="398" t="s">
        <v>583</v>
      </c>
      <c r="S27" s="399"/>
      <c r="T27" s="399"/>
      <c r="U27" s="400"/>
      <c r="AA27" s="489"/>
    </row>
    <row r="28" spans="1:28" ht="15.75" customHeight="1">
      <c r="A28" s="249"/>
      <c r="B28" s="427"/>
      <c r="C28" s="427"/>
      <c r="D28" s="434" t="s">
        <v>479</v>
      </c>
      <c r="E28" s="307"/>
      <c r="F28" s="290" t="s">
        <v>599</v>
      </c>
      <c r="G28" s="447"/>
      <c r="H28" s="447"/>
      <c r="I28" s="548"/>
      <c r="J28" s="447"/>
      <c r="K28" s="447"/>
      <c r="L28" s="447"/>
      <c r="M28" s="404"/>
      <c r="N28" s="404"/>
      <c r="O28" s="403"/>
      <c r="Q28" s="402"/>
      <c r="R28" s="408" t="s">
        <v>587</v>
      </c>
      <c r="S28" s="409"/>
      <c r="T28" s="409"/>
      <c r="U28" s="410"/>
      <c r="AA28" s="489"/>
    </row>
    <row r="29" spans="1:28" ht="15.75" customHeight="1">
      <c r="A29" s="405"/>
      <c r="B29" s="430"/>
      <c r="C29" s="428"/>
      <c r="D29" s="306"/>
      <c r="E29" s="273"/>
      <c r="F29" s="442" t="s">
        <v>435</v>
      </c>
      <c r="G29" s="354"/>
      <c r="H29" s="354"/>
      <c r="I29" s="443"/>
      <c r="J29" s="652" t="s">
        <v>437</v>
      </c>
      <c r="K29" s="354"/>
      <c r="L29" s="354"/>
      <c r="M29" s="410"/>
      <c r="N29" s="408" t="s">
        <v>0</v>
      </c>
      <c r="O29" s="410"/>
      <c r="Q29" s="402"/>
      <c r="R29" s="619"/>
      <c r="S29" s="391"/>
      <c r="T29" s="337" t="s">
        <v>597</v>
      </c>
      <c r="U29" s="391"/>
      <c r="AA29" s="489"/>
    </row>
    <row r="30" spans="1:28" ht="15.75" customHeight="1">
      <c r="A30" s="405"/>
      <c r="B30" s="430"/>
      <c r="C30" s="428"/>
      <c r="D30" s="370" t="s">
        <v>410</v>
      </c>
      <c r="E30" s="613" t="s">
        <v>480</v>
      </c>
      <c r="F30" s="387"/>
      <c r="G30" s="385"/>
      <c r="H30" s="385"/>
      <c r="I30" s="385" t="s">
        <v>428</v>
      </c>
      <c r="J30" s="653"/>
      <c r="K30" s="385"/>
      <c r="L30" s="385"/>
      <c r="M30" s="426" t="s">
        <v>428</v>
      </c>
      <c r="N30" s="426"/>
      <c r="O30" s="426" t="s">
        <v>428</v>
      </c>
      <c r="Q30" s="495"/>
      <c r="R30" s="249"/>
      <c r="S30" s="426"/>
      <c r="T30" s="613" t="s">
        <v>480</v>
      </c>
      <c r="U30" s="337" t="s">
        <v>584</v>
      </c>
    </row>
    <row r="31" spans="1:28" s="401" customFormat="1" ht="15.75" customHeight="1">
      <c r="A31" s="252" t="s">
        <v>90</v>
      </c>
      <c r="B31" s="429" t="s">
        <v>352</v>
      </c>
      <c r="C31" s="429" t="s">
        <v>577</v>
      </c>
      <c r="D31" s="371" t="s">
        <v>151</v>
      </c>
      <c r="E31" s="614" t="s">
        <v>481</v>
      </c>
      <c r="F31" s="388" t="s">
        <v>341</v>
      </c>
      <c r="G31" s="388" t="s">
        <v>346</v>
      </c>
      <c r="H31" s="388" t="s">
        <v>348</v>
      </c>
      <c r="I31" s="388" t="s">
        <v>348</v>
      </c>
      <c r="J31" s="654" t="s">
        <v>341</v>
      </c>
      <c r="K31" s="388" t="s">
        <v>346</v>
      </c>
      <c r="L31" s="388" t="s">
        <v>348</v>
      </c>
      <c r="M31" s="339" t="s">
        <v>348</v>
      </c>
      <c r="N31" s="339" t="s">
        <v>348</v>
      </c>
      <c r="O31" s="339" t="s">
        <v>348</v>
      </c>
      <c r="P31" s="496"/>
      <c r="Q31" s="496"/>
      <c r="R31" s="252" t="s">
        <v>90</v>
      </c>
      <c r="S31" s="252" t="s">
        <v>352</v>
      </c>
      <c r="T31" s="614" t="s">
        <v>481</v>
      </c>
      <c r="U31" s="620" t="s">
        <v>590</v>
      </c>
    </row>
    <row r="32" spans="1:28" s="401" customFormat="1" ht="15.75" customHeight="1">
      <c r="A32" s="413"/>
      <c r="B32" s="248"/>
      <c r="C32" s="248"/>
      <c r="D32" s="424"/>
      <c r="E32" s="420"/>
      <c r="F32" s="356"/>
      <c r="G32" s="356"/>
      <c r="H32" s="356"/>
      <c r="I32" s="356"/>
      <c r="J32" s="655"/>
      <c r="K32" s="356"/>
      <c r="L32" s="356"/>
      <c r="M32" s="421"/>
      <c r="N32" s="419"/>
      <c r="O32" s="419"/>
      <c r="P32" s="496"/>
      <c r="Q32" s="618"/>
      <c r="R32" s="413"/>
      <c r="S32" s="248"/>
      <c r="T32" s="520"/>
      <c r="U32" s="426"/>
    </row>
    <row r="33" spans="1:21" s="401" customFormat="1" ht="15.75" customHeight="1">
      <c r="A33" s="413" t="s">
        <v>2</v>
      </c>
      <c r="B33" s="248" t="s">
        <v>106</v>
      </c>
      <c r="C33" s="248" t="s">
        <v>483</v>
      </c>
      <c r="D33" s="245" cm="1">
        <f t="array" ref="D33">IF(OR(B33={"Schedule 15","Schedule 51","Schedule 53"}),SUMIFS(RVN!H:H,RVN!A:A,A33,RVN!J:J,B33)/12,SUMIFS('Normalized Units'!I:I,'Normalized Units'!H:H,"Bill",'Normalized Units'!C:C,B33,'Normalized Units'!D:D,A33)/12+SUM(SUMIFS('Normalized Units'!I:I,'Normalized Units'!H:H,{"Annual Bill","Load Size","Load Size Minimum"},'Normalized Units'!C:C,B33,'Normalized Units'!D:D,A33)))</f>
        <v>967.33333333333337</v>
      </c>
      <c r="E33" s="237">
        <f>SUMIFS('Normalized Units'!I:I,'Normalized Units'!B:B,"Normalized Billing Units",'Normalized Units'!C:C,B33,'Normalized Units'!D:D,A33,'Normalized Units'!H:H,"kWh*")/1000</f>
        <v>884.81882939996137</v>
      </c>
      <c r="F33" s="94">
        <f>SUMIFS('Sch.15,51,53,54'!$G:$G,'Sch.15,51,53,54'!$A:$A,F$75&amp;F$31,'Sch.15,51,53,54'!$B:$B,"$",'Sch.15,51,53,54'!$C:$C,$B33,'Sch.15,51,53,54'!$D:$D,$A33)/1000</f>
        <v>108.03040631504476</v>
      </c>
      <c r="G33" s="94">
        <f ca="1">SUMIFS('Sch.15,51,53,54'!$G:$G,'Sch.15,51,53,54'!$A:$A,G$75&amp;G$31,'Sch.15,51,53,54'!$B:$B,"$",'Sch.15,51,53,54'!$C:$C,$B33,'Sch.15,51,53,54'!$D:$D,$A33)/1000+U33</f>
        <v>110.56947284754982</v>
      </c>
      <c r="H33" s="94">
        <f ca="1">G33-F33</f>
        <v>2.5390665325050605</v>
      </c>
      <c r="I33" s="444">
        <f ca="1">IFERROR(H33/F33*100,0)</f>
        <v>2.350325819473901</v>
      </c>
      <c r="J33" s="221">
        <f ca="1">G33</f>
        <v>110.56947284754982</v>
      </c>
      <c r="K33" s="94">
        <f ca="1">SUMIFS('Sch.15,51,53,54'!$G:$G,'Sch.15,51,53,54'!$A:$A,K$75&amp;K$31,'Sch.15,51,53,54'!$B:$B,"$",'Sch.15,51,53,54'!$C:$C,$B33,'Sch.15,51,53,54'!$D:$D,$A33)/1000+U33</f>
        <v>109.8491722381267</v>
      </c>
      <c r="L33" s="94">
        <f ca="1">K33-J33</f>
        <v>-0.72030060942311991</v>
      </c>
      <c r="M33" s="415">
        <f ca="1">IFERROR(L33/J33*100,0)</f>
        <v>-0.65144618209064886</v>
      </c>
      <c r="N33" s="237">
        <f ca="1">K33-F33</f>
        <v>1.8187659230819406</v>
      </c>
      <c r="O33" s="415">
        <f ca="1">IFERROR(N33/F33*100,0)</f>
        <v>1.6835685295655984</v>
      </c>
      <c r="P33" s="513"/>
      <c r="Q33" s="616"/>
      <c r="R33" s="413" t="s">
        <v>2</v>
      </c>
      <c r="S33" s="248" t="s">
        <v>106</v>
      </c>
      <c r="T33" s="520">
        <f>SUM('Sch.15,51,53,54'!I7:I9)/1000</f>
        <v>235.08347477881401</v>
      </c>
      <c r="U33" s="520">
        <f>SUMIFS(U$8:U$18,S$8:S$18,S33)*T33</f>
        <v>0.25859182225669541</v>
      </c>
    </row>
    <row r="34" spans="1:21" s="401" customFormat="1" ht="15.75" customHeight="1">
      <c r="A34" s="413" t="s">
        <v>2</v>
      </c>
      <c r="B34" s="248" t="s">
        <v>356</v>
      </c>
      <c r="C34" s="248" t="s">
        <v>2</v>
      </c>
      <c r="D34" s="245" cm="1">
        <f t="array" ref="D34">IF(OR(B34={"Schedule 15","Schedule 51","Schedule 53"}),SUMIFS(RVN!H:H,RVN!A:A,A34,RVN!J:J,B34)/12,SUMIFS('Normalized Units'!I:I,'Normalized Units'!H:H,"Bill",'Normalized Units'!C:C,B34,'Normalized Units'!D:D,A34)/12+SUM(SUMIFS('Normalized Units'!I:I,'Normalized Units'!H:H,{"Annual Bill","Load Size","Load Size Minimum"},'Normalized Units'!C:C,B34,'Normalized Units'!D:D,A34)))</f>
        <v>110741.69655913977</v>
      </c>
      <c r="E34" s="237">
        <f>SUMIFS('Normalized Units'!I:I,'Normalized Units'!B:B,"Normalized Billing Units",'Normalized Units'!C:C,B34,'Normalized Units'!D:D,A34,'Normalized Units'!H:H,"kWh*")/1000</f>
        <v>1631466.9598382837</v>
      </c>
      <c r="F34" s="94">
        <f>SUMIFS('Sch.16,17,19'!$Q:$Q,'Sch.16,17,19'!$L:$L,F$75&amp;F$31,'Sch.16,17,19'!$M:$M,"$")/1000</f>
        <v>176071.75485958633</v>
      </c>
      <c r="G34" s="94">
        <f ca="1">SUMIFS('Sch.16,17,19'!$Q:$Q,'Sch.16,17,19'!$L:$L,G$75&amp;G$31,'Sch.16,17,19'!$M:$M,"$")/1000+U34</f>
        <v>180803.38013831366</v>
      </c>
      <c r="H34" s="94">
        <f t="shared" ref="H34:H39" ca="1" si="19">G34-F34</f>
        <v>4731.6252787273261</v>
      </c>
      <c r="I34" s="444">
        <f t="shared" ref="I34:I39" ca="1" si="20">IFERROR(H34/F34*100,0)</f>
        <v>2.6873278354615717</v>
      </c>
      <c r="J34" s="221">
        <f t="shared" ref="J34:J39" ca="1" si="21">G34</f>
        <v>180803.38013831366</v>
      </c>
      <c r="K34" s="94">
        <f ca="1">SUMIFS('Sch.16,17,19'!$Q:$Q,'Sch.16,17,19'!$L:$L,K$75&amp;K$31,'Sch.16,17,19'!$M:$M,"$")/1000+U34</f>
        <v>180994.01813831675</v>
      </c>
      <c r="L34" s="94">
        <f t="shared" ref="L34:L39" ca="1" si="22">K34-J34</f>
        <v>190.63800000309129</v>
      </c>
      <c r="M34" s="415">
        <f t="shared" ref="M34:M39" ca="1" si="23">IFERROR(L34/J34*100,0)</f>
        <v>0.1054394004455305</v>
      </c>
      <c r="N34" s="237">
        <f t="shared" ref="N34:N39" ca="1" si="24">K34-F34</f>
        <v>4922.2632787304174</v>
      </c>
      <c r="O34" s="415">
        <f t="shared" ref="O34:O73" ca="1" si="25">IFERROR(N34/F34*100,0)</f>
        <v>2.7956007382648185</v>
      </c>
      <c r="P34" s="513"/>
      <c r="Q34" s="616"/>
      <c r="R34" s="413" t="s">
        <v>2</v>
      </c>
      <c r="S34" s="248" t="s">
        <v>356</v>
      </c>
      <c r="T34" s="520">
        <f>E34</f>
        <v>1631466.9598382837</v>
      </c>
      <c r="U34" s="520">
        <f t="shared" ref="U34:U57" si="26">SUMIFS(U$8:U$18,S$8:S$18,S34)*T34</f>
        <v>1631.4669598382839</v>
      </c>
    </row>
    <row r="35" spans="1:21" s="401" customFormat="1" ht="15.75" customHeight="1">
      <c r="A35" s="413" t="s">
        <v>2</v>
      </c>
      <c r="B35" s="248" t="s">
        <v>165</v>
      </c>
      <c r="C35" s="248" t="s">
        <v>491</v>
      </c>
      <c r="D35" s="245" cm="1">
        <f t="array" ref="D35">IF(OR(B35={"Schedule 15","Schedule 51","Schedule 53"}),SUMIFS(RVN!H:H,RVN!A:A,A35,RVN!J:J,B35)/12,SUMIFS('Normalized Units'!I:I,'Normalized Units'!H:H,"Bill",'Normalized Units'!C:C,B35,'Normalized Units'!D:D,A35)/12+SUM(SUMIFS('Normalized Units'!I:I,'Normalized Units'!H:H,{"Annual Bill","Load Size","Load Size Minimum"},'Normalized Units'!C:C,B35,'Normalized Units'!D:D,A35)))</f>
        <v>3498.2472222222223</v>
      </c>
      <c r="E35" s="237">
        <f>SUMIFS('Normalized Units'!I:I,'Normalized Units'!B:B,"Normalized Billing Units",'Normalized Units'!C:C,B35,'Normalized Units'!D:D,A35,'Normalized Units'!H:H,"kWh*")/1000</f>
        <v>21789.340397497937</v>
      </c>
      <c r="F35" s="94">
        <f>SUMIFS(Sch.24!$S:$S,Sch.24!$N:$N,F$75&amp;F$31,Sch.24!$O:$O,"$",Sch.24!$P:$P,$A35)/1000</f>
        <v>2884.7623063942024</v>
      </c>
      <c r="G35" s="94">
        <f ca="1">SUMIFS(Sch.24!$S:$S,Sch.24!$N:$N,G$75&amp;G$31,Sch.24!$O:$O,"$",Sch.24!$P:$P,$A35)/1000+U35</f>
        <v>2953.5401546754492</v>
      </c>
      <c r="H35" s="94">
        <f t="shared" ca="1" si="19"/>
        <v>68.777848281246861</v>
      </c>
      <c r="I35" s="444">
        <f t="shared" ca="1" si="20"/>
        <v>2.3841773073919379</v>
      </c>
      <c r="J35" s="221">
        <f t="shared" ca="1" si="21"/>
        <v>2953.5401546754492</v>
      </c>
      <c r="K35" s="94">
        <f ca="1">SUMIFS(Sch.24!$S:$S,Sch.24!$N:$N,K$75&amp;K$31,Sch.24!$O:$O,"$",Sch.24!$P:$P,$A35)/1000+U35</f>
        <v>2953.1744462590364</v>
      </c>
      <c r="L35" s="94">
        <f t="shared" ca="1" si="22"/>
        <v>-0.36570841641287188</v>
      </c>
      <c r="M35" s="415">
        <f t="shared" ca="1" si="23"/>
        <v>-1.2382036378748941E-2</v>
      </c>
      <c r="N35" s="237">
        <f t="shared" ca="1" si="24"/>
        <v>68.412139864833989</v>
      </c>
      <c r="O35" s="415">
        <f t="shared" ca="1" si="25"/>
        <v>2.3715000613116541</v>
      </c>
      <c r="P35" s="513"/>
      <c r="Q35" s="616"/>
      <c r="R35" s="413" t="s">
        <v>2</v>
      </c>
      <c r="S35" s="248" t="s">
        <v>165</v>
      </c>
      <c r="T35" s="520">
        <f t="shared" ref="T35:T36" si="27">E35</f>
        <v>21789.340397497937</v>
      </c>
      <c r="U35" s="520">
        <f t="shared" si="26"/>
        <v>18.303045933898268</v>
      </c>
    </row>
    <row r="36" spans="1:21" s="401" customFormat="1" ht="15.75" customHeight="1">
      <c r="A36" s="413" t="s">
        <v>2</v>
      </c>
      <c r="B36" s="248" t="s">
        <v>215</v>
      </c>
      <c r="C36" s="248" t="s">
        <v>482</v>
      </c>
      <c r="D36" s="245" cm="1">
        <f t="array" ref="D36">IF(OR(B36={"Schedule 15","Schedule 51","Schedule 53"}),SUMIFS(RVN!H:H,RVN!A:A,A36,RVN!J:J,B36)/12,SUMIFS('Normalized Units'!I:I,'Normalized Units'!H:H,"Bill",'Normalized Units'!C:C,B36,'Normalized Units'!D:D,A36)/12+SUM(SUMIFS('Normalized Units'!I:I,'Normalized Units'!H:H,{"Annual Bill","Load Size","Load Size Minimum"},'Normalized Units'!C:C,B36,'Normalized Units'!D:D,A36)))</f>
        <v>3.8333333333333335</v>
      </c>
      <c r="E36" s="237">
        <f>SUMIFS('Normalized Units'!I:I,'Normalized Units'!B:B,"Normalized Billing Units",'Normalized Units'!C:C,B36,'Normalized Units'!D:D,A36,'Normalized Units'!H:H,"kWh*")/1000</f>
        <v>2310.7143548278609</v>
      </c>
      <c r="F36" s="94">
        <f>SUMIFS('Sch.29,36'!$S:$S,'Sch.29,36'!$M:$M,F$75&amp;F$31,'Sch.29,36'!$N:$N,"$",'Sch.29,36'!$P:$P,$A36)/1000</f>
        <v>212.47435128449121</v>
      </c>
      <c r="G36" s="94">
        <f ca="1">SUMIFS('Sch.29,36'!$S:$S,'Sch.29,36'!$M:$M,G$75&amp;G$31,'Sch.29,36'!$N:$N,"$",'Sch.29,36'!$P:$P,$A36)/1000+U36</f>
        <v>215.30197603651092</v>
      </c>
      <c r="H36" s="94">
        <f t="shared" ca="1" si="19"/>
        <v>2.827624752019716</v>
      </c>
      <c r="I36" s="444">
        <f t="shared" ca="1" si="20"/>
        <v>1.3308075703846651</v>
      </c>
      <c r="J36" s="221">
        <f t="shared" ca="1" si="21"/>
        <v>215.30197603651092</v>
      </c>
      <c r="K36" s="94">
        <f ca="1">SUMIFS('Sch.29,36'!$S:$S,'Sch.29,36'!$M:$M,K$75&amp;K$31,'Sch.29,36'!$N:$N,"$",'Sch.29,36'!$P:$P,$A36)/1000+U36</f>
        <v>214.75040266288545</v>
      </c>
      <c r="L36" s="94">
        <f t="shared" ca="1" si="22"/>
        <v>-0.5515733736254731</v>
      </c>
      <c r="M36" s="415">
        <f t="shared" ca="1" si="23"/>
        <v>-0.25618593186155303</v>
      </c>
      <c r="N36" s="237">
        <f t="shared" ca="1" si="24"/>
        <v>2.2760513783942429</v>
      </c>
      <c r="O36" s="415">
        <f t="shared" ca="1" si="25"/>
        <v>1.0712122967476381</v>
      </c>
      <c r="P36" s="513"/>
      <c r="Q36" s="616"/>
      <c r="R36" s="413" t="s">
        <v>2</v>
      </c>
      <c r="S36" s="248" t="s">
        <v>215</v>
      </c>
      <c r="T36" s="520">
        <f t="shared" si="27"/>
        <v>2310.7143548278609</v>
      </c>
      <c r="U36" s="520">
        <f t="shared" si="26"/>
        <v>1.8947857709588458</v>
      </c>
    </row>
    <row r="37" spans="1:21" s="401" customFormat="1" ht="15.75" customHeight="1">
      <c r="A37" s="413" t="s">
        <v>2</v>
      </c>
      <c r="B37" s="57" t="s">
        <v>490</v>
      </c>
      <c r="C37" s="57" t="s">
        <v>305</v>
      </c>
      <c r="D37" s="245" cm="1">
        <f t="array" ref="D37">IF(OR(B37={"Schedule 15","Schedule 51","Schedule 53"}),SUMIFS(RVN!H:H,RVN!A:A,A37,RVN!J:J,B37)/12,SUMIFS('Normalized Units'!I:I,'Normalized Units'!H:H,"Bill",'Normalized Units'!C:C,B37,'Normalized Units'!D:D,A37)/12+SUM(SUMIFS('Normalized Units'!I:I,'Normalized Units'!H:H,{"Annual Bill","Load Size","Load Size Minimum"},'Normalized Units'!C:C,B37,'Normalized Units'!D:D,A37)))</f>
        <v>0</v>
      </c>
      <c r="E37" s="237">
        <f>SUMIFS('Normalized Units'!I:I,'Normalized Units'!B:B,"Normalized Billing Units",'Normalized Units'!C:C,B37,'Normalized Units'!D:D,A37,'Normalized Units'!H:H,"kWh*")/1000</f>
        <v>0</v>
      </c>
      <c r="F37" s="94">
        <f>SUMIFS('AutoPay&amp;Paperless'!$F:$F,'AutoPay&amp;Paperless'!$C:$C,"$",'AutoPay&amp;Paperless'!$D:$D,$A37,'AutoPay&amp;Paperless'!$E:$E,$C37)/1000</f>
        <v>-256.07100000000003</v>
      </c>
      <c r="G37" s="94">
        <f>SUMIFS('AutoPay&amp;Paperless'!$F:$F,'AutoPay&amp;Paperless'!$C:$C,"$",'AutoPay&amp;Paperless'!$D:$D,$A37,'AutoPay&amp;Paperless'!$E:$E,$C37)/1000</f>
        <v>-256.07100000000003</v>
      </c>
      <c r="H37" s="94">
        <f t="shared" si="19"/>
        <v>0</v>
      </c>
      <c r="I37" s="444">
        <f t="shared" si="20"/>
        <v>0</v>
      </c>
      <c r="J37" s="221">
        <f t="shared" si="21"/>
        <v>-256.07100000000003</v>
      </c>
      <c r="K37" s="94">
        <f>SUMIFS('AutoPay&amp;Paperless'!$F:$F,'AutoPay&amp;Paperless'!$C:$C,"$",'AutoPay&amp;Paperless'!$D:$D,$A37,'AutoPay&amp;Paperless'!$E:$E,$C37)/1000</f>
        <v>-256.07100000000003</v>
      </c>
      <c r="L37" s="94">
        <f t="shared" si="22"/>
        <v>0</v>
      </c>
      <c r="M37" s="415">
        <f t="shared" si="23"/>
        <v>0</v>
      </c>
      <c r="N37" s="237">
        <f t="shared" si="24"/>
        <v>0</v>
      </c>
      <c r="O37" s="415">
        <f t="shared" si="25"/>
        <v>0</v>
      </c>
      <c r="P37" s="513"/>
      <c r="Q37" s="616"/>
      <c r="R37" s="417" t="s">
        <v>2</v>
      </c>
      <c r="S37" s="365" t="s">
        <v>132</v>
      </c>
      <c r="T37" s="494">
        <f>SUM(T33:T36)</f>
        <v>1655802.0980653882</v>
      </c>
      <c r="U37" s="494">
        <f>SUM(U33:U36)</f>
        <v>1651.9233833653977</v>
      </c>
    </row>
    <row r="38" spans="1:21" s="401" customFormat="1" ht="15.75" customHeight="1">
      <c r="A38" s="413" t="s">
        <v>2</v>
      </c>
      <c r="B38" s="57" t="s">
        <v>490</v>
      </c>
      <c r="C38" s="57" t="s">
        <v>306</v>
      </c>
      <c r="D38" s="245" cm="1">
        <f t="array" ref="D38">IF(OR(B38={"Schedule 15","Schedule 51","Schedule 53"}),SUMIFS(RVN!H:H,RVN!A:A,A38,RVN!J:J,B38)/12,SUMIFS('Normalized Units'!I:I,'Normalized Units'!H:H,"Bill",'Normalized Units'!C:C,B38,'Normalized Units'!D:D,A38)/12+SUM(SUMIFS('Normalized Units'!I:I,'Normalized Units'!H:H,{"Annual Bill","Load Size","Load Size Minimum"},'Normalized Units'!C:C,B38,'Normalized Units'!D:D,A38)))</f>
        <v>0</v>
      </c>
      <c r="E38" s="237">
        <f>SUMIFS('Normalized Units'!I:I,'Normalized Units'!B:B,"Normalized Billing Units",'Normalized Units'!C:C,B38,'Normalized Units'!D:D,A38,'Normalized Units'!H:H,"kWh*")/1000</f>
        <v>0</v>
      </c>
      <c r="F38" s="94">
        <f>SUMIFS('AutoPay&amp;Paperless'!$F:$F,'AutoPay&amp;Paperless'!$C:$C,"$",'AutoPay&amp;Paperless'!$D:$D,$A38,'AutoPay&amp;Paperless'!$E:$E,$C38)/1000</f>
        <v>-231.7765</v>
      </c>
      <c r="G38" s="94">
        <f>SUMIFS('AutoPay&amp;Paperless'!$F:$F,'AutoPay&amp;Paperless'!$C:$C,"$",'AutoPay&amp;Paperless'!$D:$D,$A38,'AutoPay&amp;Paperless'!$E:$E,$C38)/1000</f>
        <v>-231.7765</v>
      </c>
      <c r="H38" s="94">
        <f t="shared" si="19"/>
        <v>0</v>
      </c>
      <c r="I38" s="444">
        <f t="shared" si="20"/>
        <v>0</v>
      </c>
      <c r="J38" s="221">
        <f t="shared" si="21"/>
        <v>-231.7765</v>
      </c>
      <c r="K38" s="94">
        <f>SUMIFS('AutoPay&amp;Paperless'!$F:$F,'AutoPay&amp;Paperless'!$C:$C,"$",'AutoPay&amp;Paperless'!$D:$D,$A38,'AutoPay&amp;Paperless'!$E:$E,$C38)/1000</f>
        <v>-231.7765</v>
      </c>
      <c r="L38" s="94">
        <f t="shared" si="22"/>
        <v>0</v>
      </c>
      <c r="M38" s="415">
        <f t="shared" si="23"/>
        <v>0</v>
      </c>
      <c r="N38" s="237">
        <f t="shared" si="24"/>
        <v>0</v>
      </c>
      <c r="O38" s="415">
        <f t="shared" si="25"/>
        <v>0</v>
      </c>
      <c r="P38" s="513"/>
      <c r="Q38" s="616"/>
      <c r="R38" s="423"/>
      <c r="S38" s="277"/>
      <c r="T38" s="519"/>
      <c r="U38" s="519"/>
    </row>
    <row r="39" spans="1:21" s="401" customFormat="1" ht="15.75" customHeight="1">
      <c r="A39" s="412" t="s">
        <v>2</v>
      </c>
      <c r="B39" s="57" t="s">
        <v>490</v>
      </c>
      <c r="C39" s="248" t="s">
        <v>288</v>
      </c>
      <c r="D39" s="245" cm="1">
        <f t="array" ref="D39">IF(OR(B39={"Schedule 15","Schedule 51","Schedule 53"}),SUMIFS(RVN!H:H,RVN!A:A,A39,RVN!J:J,B39)/12,SUMIFS('Normalized Units'!I:I,'Normalized Units'!H:H,"Bill",'Normalized Units'!C:C,B39,'Normalized Units'!D:D,A39)/12+SUM(SUMIFS('Normalized Units'!I:I,'Normalized Units'!H:H,{"Annual Bill","Load Size","Load Size Minimum"},'Normalized Units'!C:C,B39,'Normalized Units'!D:D,A39)))</f>
        <v>0</v>
      </c>
      <c r="E39" s="237">
        <f>SUMIFS('Normalized Units'!I:I,'Normalized Units'!B:B,"Normalized Billing Units",'Normalized Units'!C:C,B39,'Normalized Units'!D:D,A39,'Normalized Units'!H:H,"kWh*")/1000</f>
        <v>0</v>
      </c>
      <c r="F39" s="95">
        <f>SUMIFS(RVN!$F:$F,RVN!$A:$A,$A39,RVN!$J:$J,$C39)/1000</f>
        <v>1.15594</v>
      </c>
      <c r="G39" s="95">
        <f>SUMIFS(RVN!$F:$F,RVN!$A:$A,$A39,RVN!$J:$J,$C39)/1000</f>
        <v>1.15594</v>
      </c>
      <c r="H39" s="94">
        <f t="shared" si="19"/>
        <v>0</v>
      </c>
      <c r="I39" s="444">
        <f t="shared" si="20"/>
        <v>0</v>
      </c>
      <c r="J39" s="221">
        <f t="shared" si="21"/>
        <v>1.15594</v>
      </c>
      <c r="K39" s="95">
        <f>SUMIFS(RVN!$F:$F,RVN!$A:$A,$A39,RVN!$J:$J,$C39)/1000</f>
        <v>1.15594</v>
      </c>
      <c r="L39" s="94">
        <f t="shared" si="22"/>
        <v>0</v>
      </c>
      <c r="M39" s="415">
        <f t="shared" si="23"/>
        <v>0</v>
      </c>
      <c r="N39" s="237">
        <f t="shared" si="24"/>
        <v>0</v>
      </c>
      <c r="O39" s="415">
        <f t="shared" si="25"/>
        <v>0</v>
      </c>
      <c r="P39" s="513"/>
      <c r="Q39" s="616"/>
      <c r="R39" s="413" t="s">
        <v>3</v>
      </c>
      <c r="S39" s="248" t="s">
        <v>106</v>
      </c>
      <c r="T39" s="520">
        <f>SUM('Sch.15,51,53,54'!I10:I12)/1000</f>
        <v>462.16051342510104</v>
      </c>
      <c r="U39" s="520">
        <f t="shared" si="26"/>
        <v>0.50837656476761117</v>
      </c>
    </row>
    <row r="40" spans="1:21" s="401" customFormat="1" ht="15.75" customHeight="1">
      <c r="A40" s="417" t="s">
        <v>2</v>
      </c>
      <c r="B40" s="365" t="s">
        <v>132</v>
      </c>
      <c r="C40" s="365" t="s">
        <v>132</v>
      </c>
      <c r="D40" s="425">
        <f>SUM(D33:D39)</f>
        <v>115211.11044802866</v>
      </c>
      <c r="E40" s="425">
        <f t="shared" ref="E40:H40" si="28">SUM(E33:E39)</f>
        <v>1656451.8334200094</v>
      </c>
      <c r="F40" s="425">
        <f t="shared" si="28"/>
        <v>178790.33036358008</v>
      </c>
      <c r="G40" s="425">
        <f t="shared" ca="1" si="28"/>
        <v>183596.10018187316</v>
      </c>
      <c r="H40" s="425">
        <f t="shared" ca="1" si="28"/>
        <v>4805.7698182930972</v>
      </c>
      <c r="I40" s="446">
        <f ca="1">IFERROR(H40/F40*100,0)</f>
        <v>2.6879360916892412</v>
      </c>
      <c r="J40" s="425">
        <f t="shared" ref="J40" ca="1" si="29">SUM(J33:J39)</f>
        <v>183596.10018187316</v>
      </c>
      <c r="K40" s="425">
        <f t="shared" ref="K40" ca="1" si="30">SUM(K33:K39)</f>
        <v>183785.10059947678</v>
      </c>
      <c r="L40" s="425">
        <f t="shared" ref="L40:N40" ca="1" si="31">SUM(L33:L39)</f>
        <v>189.00041760362981</v>
      </c>
      <c r="M40" s="418">
        <f ca="1">IFERROR(L40/J40*100,0)</f>
        <v>0.1029435905318267</v>
      </c>
      <c r="N40" s="425">
        <f t="shared" ca="1" si="31"/>
        <v>4994.7702358967272</v>
      </c>
      <c r="O40" s="640">
        <f t="shared" ca="1" si="25"/>
        <v>2.7936467401450535</v>
      </c>
      <c r="P40" s="513"/>
      <c r="Q40" s="616"/>
      <c r="R40" s="413" t="s">
        <v>3</v>
      </c>
      <c r="S40" s="248" t="s">
        <v>165</v>
      </c>
      <c r="T40" s="520">
        <f>E43</f>
        <v>510763.11130107107</v>
      </c>
      <c r="U40" s="520">
        <f t="shared" si="26"/>
        <v>429.04101349289971</v>
      </c>
    </row>
    <row r="41" spans="1:21" s="401" customFormat="1" ht="15.75" customHeight="1">
      <c r="A41" s="423"/>
      <c r="B41" s="277"/>
      <c r="C41" s="277"/>
      <c r="D41" s="244"/>
      <c r="E41" s="228"/>
      <c r="F41" s="214"/>
      <c r="G41" s="214"/>
      <c r="H41" s="214"/>
      <c r="I41" s="448"/>
      <c r="J41" s="266"/>
      <c r="K41" s="214"/>
      <c r="L41" s="214"/>
      <c r="M41" s="422"/>
      <c r="N41" s="228"/>
      <c r="O41" s="422">
        <f t="shared" si="25"/>
        <v>0</v>
      </c>
      <c r="P41" s="513"/>
      <c r="Q41" s="616"/>
      <c r="R41" s="413" t="s">
        <v>3</v>
      </c>
      <c r="S41" s="248" t="s">
        <v>215</v>
      </c>
      <c r="T41" s="520">
        <f>E44</f>
        <v>842220.37803557958</v>
      </c>
      <c r="U41" s="520">
        <f t="shared" si="26"/>
        <v>690.62070998917523</v>
      </c>
    </row>
    <row r="42" spans="1:21" s="401" customFormat="1" ht="15.75" customHeight="1">
      <c r="A42" s="413" t="s">
        <v>3</v>
      </c>
      <c r="B42" s="248" t="s">
        <v>106</v>
      </c>
      <c r="C42" s="248" t="s">
        <v>483</v>
      </c>
      <c r="D42" s="245" cm="1">
        <f t="array" ref="D42">IF(OR(B42={"Schedule 15","Schedule 51","Schedule 53"}),SUMIFS(RVN!H:H,RVN!A:A,A42,RVN!J:J,B42)/12,SUMIFS('Normalized Units'!I:I,'Normalized Units'!H:H,"Bill",'Normalized Units'!C:C,B42,'Normalized Units'!D:D,A42)/12+SUM(SUMIFS('Normalized Units'!I:I,'Normalized Units'!H:H,{"Annual Bill","Load Size","Load Size Minimum"},'Normalized Units'!C:C,B42,'Normalized Units'!D:D,A42)))</f>
        <v>1190.9166666666667</v>
      </c>
      <c r="E42" s="237">
        <f>SUMIFS('Normalized Units'!I:I,'Normalized Units'!B:B,"Normalized Billing Units",'Normalized Units'!C:C,B42,'Normalized Units'!D:D,A42,'Normalized Units'!H:H,"kWh*")/1000</f>
        <v>1849.1404231953695</v>
      </c>
      <c r="F42" s="94">
        <f>SUMIFS('Sch.15,51,53,54'!$G:$G,'Sch.15,51,53,54'!$A:$A,F$75&amp;F$31,'Sch.15,51,53,54'!$B:$B,"$",'Sch.15,51,53,54'!$C:$C,$B42,'Sch.15,51,53,54'!$D:$D,$A42)/1000</f>
        <v>177.44817202000706</v>
      </c>
      <c r="G42" s="94">
        <f ca="1">SUMIFS('Sch.15,51,53,54'!$G:$G,'Sch.15,51,53,54'!$A:$A,G$75&amp;G$31,'Sch.15,51,53,54'!$B:$B,"$",'Sch.15,51,53,54'!$C:$C,$B42,'Sch.15,51,53,54'!$D:$D,$A42)/1000+U39</f>
        <v>181.74417919593228</v>
      </c>
      <c r="H42" s="94">
        <f ca="1">G42-F42</f>
        <v>4.2960071759252116</v>
      </c>
      <c r="I42" s="444">
        <f ca="1">IFERROR(H42/F42*100,0)</f>
        <v>2.4209926352134201</v>
      </c>
      <c r="J42" s="221">
        <f ca="1">G42</f>
        <v>181.74417919593228</v>
      </c>
      <c r="K42" s="94">
        <f ca="1">SUMIFS('Sch.15,51,53,54'!$G:$G,'Sch.15,51,53,54'!$A:$A,K$75&amp;K$31,'Sch.15,51,53,54'!$B:$B,"$",'Sch.15,51,53,54'!$C:$C,$B42,'Sch.15,51,53,54'!$D:$D,$A42)/1000+U39</f>
        <v>180.55069802860771</v>
      </c>
      <c r="L42" s="94">
        <f ca="1">K42-J42</f>
        <v>-1.1934811673245633</v>
      </c>
      <c r="M42" s="415">
        <f ca="1">IFERROR(L42/J42*100,0)</f>
        <v>-0.65668192104128498</v>
      </c>
      <c r="N42" s="237">
        <f ca="1">K42-F42</f>
        <v>3.1025260086006483</v>
      </c>
      <c r="O42" s="415">
        <f t="shared" ca="1" si="25"/>
        <v>1.7484124932269478</v>
      </c>
      <c r="P42" s="513"/>
      <c r="Q42" s="616"/>
      <c r="R42" s="413" t="s">
        <v>3</v>
      </c>
      <c r="S42" s="248" t="s">
        <v>518</v>
      </c>
      <c r="T42" s="520">
        <f>E45</f>
        <v>176021.17293894291</v>
      </c>
      <c r="U42" s="520">
        <f t="shared" si="26"/>
        <v>135.53630316298603</v>
      </c>
    </row>
    <row r="43" spans="1:21" s="401" customFormat="1" ht="15.75" customHeight="1">
      <c r="A43" s="413" t="s">
        <v>3</v>
      </c>
      <c r="B43" s="248" t="s">
        <v>165</v>
      </c>
      <c r="C43" s="248" t="s">
        <v>491</v>
      </c>
      <c r="D43" s="245" cm="1">
        <f t="array" ref="D43">IF(OR(B43={"Schedule 15","Schedule 51","Schedule 53"}),SUMIFS(RVN!H:H,RVN!A:A,A43,RVN!J:J,B43)/12,SUMIFS('Normalized Units'!I:I,'Normalized Units'!H:H,"Bill",'Normalized Units'!C:C,B43,'Normalized Units'!D:D,A43)/12+SUM(SUMIFS('Normalized Units'!I:I,'Normalized Units'!H:H,{"Annual Bill","Load Size","Load Size Minimum"},'Normalized Units'!C:C,B43,'Normalized Units'!D:D,A43)))</f>
        <v>16907.901369863011</v>
      </c>
      <c r="E43" s="237">
        <f>SUMIFS('Normalized Units'!I:I,'Normalized Units'!B:B,"Normalized Billing Units",'Normalized Units'!C:C,B43,'Normalized Units'!D:D,A43,'Normalized Units'!H:H,"kWh*")/1000</f>
        <v>510763.11130107107</v>
      </c>
      <c r="F43" s="94">
        <f>SUMIFS(Sch.24!$S:$S,Sch.24!$N:$N,F$75&amp;F$31,Sch.24!$O:$O,"$",Sch.24!$P:$P,$A43)/1000</f>
        <v>53487.352817815001</v>
      </c>
      <c r="G43" s="94">
        <f ca="1">SUMIFS(Sch.24!$S:$S,Sch.24!$N:$N,G$75&amp;G$31,Sch.24!$O:$O,"$",Sch.24!$P:$P,$A43)/1000+U40</f>
        <v>54933.949978755707</v>
      </c>
      <c r="H43" s="94">
        <f t="shared" ref="H43:H48" ca="1" si="32">G43-F43</f>
        <v>1446.5971609407061</v>
      </c>
      <c r="I43" s="444">
        <f t="shared" ref="I43:I48" ca="1" si="33">IFERROR(H43/F43*100,0)</f>
        <v>2.7045592737932038</v>
      </c>
      <c r="J43" s="221">
        <f t="shared" ref="J43:J48" ca="1" si="34">G43</f>
        <v>54933.949978755707</v>
      </c>
      <c r="K43" s="94">
        <f ca="1">SUMIFS(Sch.24!$S:$S,Sch.24!$N:$N,K$75&amp;K$31,Sch.24!$O:$O,"$",Sch.24!$P:$P,$A43)/1000+U40</f>
        <v>54851.05546647108</v>
      </c>
      <c r="L43" s="94">
        <f t="shared" ref="L43:L48" ca="1" si="35">K43-J43</f>
        <v>-82.894512284627126</v>
      </c>
      <c r="M43" s="415">
        <f t="shared" ref="M43:M48" ca="1" si="36">IFERROR(L43/J43*100,0)</f>
        <v>-0.15089851051432573</v>
      </c>
      <c r="N43" s="237">
        <f t="shared" ref="N43:N48" ca="1" si="37">K43-F43</f>
        <v>1363.702648656079</v>
      </c>
      <c r="O43" s="415">
        <f t="shared" ca="1" si="25"/>
        <v>2.5495796236187469</v>
      </c>
      <c r="P43" s="513"/>
      <c r="Q43" s="616"/>
      <c r="R43" s="413" t="s">
        <v>3</v>
      </c>
      <c r="S43" s="248" t="s">
        <v>108</v>
      </c>
      <c r="T43" s="520">
        <f>E46</f>
        <v>314.48340809632003</v>
      </c>
      <c r="U43" s="520">
        <f t="shared" si="26"/>
        <v>0.18869004485779201</v>
      </c>
    </row>
    <row r="44" spans="1:21" s="401" customFormat="1" ht="15.75" customHeight="1">
      <c r="A44" s="413" t="s">
        <v>3</v>
      </c>
      <c r="B44" s="248" t="s">
        <v>215</v>
      </c>
      <c r="C44" s="248" t="s">
        <v>482</v>
      </c>
      <c r="D44" s="245" cm="1">
        <f t="array" ref="D44">IF(OR(B44={"Schedule 15","Schedule 51","Schedule 53"}),SUMIFS(RVN!H:H,RVN!A:A,A44,RVN!J:J,B44)/12,SUMIFS('Normalized Units'!I:I,'Normalized Units'!H:H,"Bill",'Normalized Units'!C:C,B44,'Normalized Units'!D:D,A44)/12+SUM(SUMIFS('Normalized Units'!I:I,'Normalized Units'!H:H,{"Annual Bill","Load Size","Load Size Minimum"},'Normalized Units'!C:C,B44,'Normalized Units'!D:D,A44)))</f>
        <v>971.03888888888889</v>
      </c>
      <c r="E44" s="237">
        <f>SUMIFS('Normalized Units'!I:I,'Normalized Units'!B:B,"Normalized Billing Units",'Normalized Units'!C:C,B44,'Normalized Units'!D:D,A44,'Normalized Units'!H:H,"kWh*")/1000</f>
        <v>842220.37803557958</v>
      </c>
      <c r="F44" s="94">
        <f>SUMIFS('Sch.29,36'!$S:$S,'Sch.29,36'!$M:$M,F$75&amp;F$31,'Sch.29,36'!$N:$N,"$",'Sch.29,36'!$P:$P,$A44)/1000</f>
        <v>76153.664727651412</v>
      </c>
      <c r="G44" s="94">
        <f ca="1">SUMIFS('Sch.29,36'!$S:$S,'Sch.29,36'!$M:$M,G$75&amp;G$31,'Sch.29,36'!$N:$N,"$",'Sch.29,36'!$P:$P,$A44)/1000+U41</f>
        <v>78196.965425193397</v>
      </c>
      <c r="H44" s="94">
        <f t="shared" ca="1" si="32"/>
        <v>2043.3006975419848</v>
      </c>
      <c r="I44" s="444">
        <f t="shared" ca="1" si="33"/>
        <v>2.683128520274694</v>
      </c>
      <c r="J44" s="221">
        <f t="shared" ca="1" si="34"/>
        <v>78196.965425193397</v>
      </c>
      <c r="K44" s="94">
        <f ca="1">SUMIFS('Sch.29,36'!$S:$S,'Sch.29,36'!$M:$M,K$75&amp;K$31,'Sch.29,36'!$N:$N,"$",'Sch.29,36'!$P:$P,$A44)/1000+U41</f>
        <v>78119.535067658406</v>
      </c>
      <c r="L44" s="94">
        <f t="shared" ca="1" si="35"/>
        <v>-77.430357534991344</v>
      </c>
      <c r="M44" s="415">
        <f t="shared" ca="1" si="36"/>
        <v>-9.9019644961881009E-2</v>
      </c>
      <c r="N44" s="237">
        <f t="shared" ca="1" si="37"/>
        <v>1965.8703400069935</v>
      </c>
      <c r="O44" s="415">
        <f t="shared" ca="1" si="25"/>
        <v>2.5814520509781658</v>
      </c>
      <c r="P44" s="513"/>
      <c r="Q44" s="616"/>
      <c r="R44" s="417" t="s">
        <v>3</v>
      </c>
      <c r="S44" s="365" t="s">
        <v>132</v>
      </c>
      <c r="T44" s="494">
        <f>SUM(T39:T43)</f>
        <v>1529781.306197115</v>
      </c>
      <c r="U44" s="494">
        <f>SUM(U39:U43)</f>
        <v>1255.8950932546863</v>
      </c>
    </row>
    <row r="45" spans="1:21" s="401" customFormat="1" ht="15.75" customHeight="1">
      <c r="A45" s="413" t="s">
        <v>3</v>
      </c>
      <c r="B45" s="248" t="s">
        <v>518</v>
      </c>
      <c r="C45" s="248" t="s">
        <v>492</v>
      </c>
      <c r="D45" s="245">
        <f>('Normalized Units'!I97+'Normalized Units'!I101+'Normalized Units'!I102)/12</f>
        <v>37.444444444444443</v>
      </c>
      <c r="E45" s="237" cm="1">
        <f t="array" ref="E45">SUM(SUMIFS('Normalized Units'!I:I,'Normalized Units'!B:B,"Normalized Billing Units",'Normalized Units'!C:C,{"Schedule 47T","Schedule 48T"},'Normalized Units'!D:D,A45,'Normalized Units'!H:H,"kWh*"))/1000</f>
        <v>176021.17293894291</v>
      </c>
      <c r="F45" s="94">
        <f>SUMIFS(Sch.48T!$T:$T,Sch.48T!$N:$N,F$75&amp;F$31,Sch.48T!$O:$O,"$",Sch.48T!$P:$P,$A45)/1000</f>
        <v>15035.759922384723</v>
      </c>
      <c r="G45" s="94">
        <f ca="1">SUMIFS(Sch.48T!$T:$T,Sch.48T!$N:$N,G$75&amp;G$31,Sch.48T!$O:$O,"$",Sch.48T!$P:$P,$A45)/1000+U42</f>
        <v>15434.090300977346</v>
      </c>
      <c r="H45" s="94">
        <f t="shared" ca="1" si="32"/>
        <v>398.33037859262367</v>
      </c>
      <c r="I45" s="444">
        <f t="shared" ca="1" si="33"/>
        <v>2.649220130201754</v>
      </c>
      <c r="J45" s="221">
        <f t="shared" ca="1" si="34"/>
        <v>15434.090300977346</v>
      </c>
      <c r="K45" s="94">
        <f ca="1">SUMIFS(Sch.48T!$T:$T,Sch.48T!$N:$N,K$75&amp;K$31,Sch.48T!$O:$O,"$",Sch.48T!$P:$P,$A45)/1000+U42</f>
        <v>15426.98220800797</v>
      </c>
      <c r="L45" s="94">
        <f t="shared" ca="1" si="35"/>
        <v>-7.10809296937623</v>
      </c>
      <c r="M45" s="415">
        <f t="shared" ca="1" si="36"/>
        <v>-4.605449903922175E-2</v>
      </c>
      <c r="N45" s="237">
        <f t="shared" ca="1" si="37"/>
        <v>391.22228562324744</v>
      </c>
      <c r="O45" s="415">
        <f t="shared" ca="1" si="25"/>
        <v>2.6019455461031216</v>
      </c>
      <c r="P45" s="513"/>
      <c r="Q45" s="616"/>
      <c r="R45" s="423"/>
      <c r="S45" s="277"/>
      <c r="T45" s="519"/>
      <c r="U45" s="519"/>
    </row>
    <row r="46" spans="1:21" s="401" customFormat="1" ht="15.75" customHeight="1">
      <c r="A46" s="413" t="s">
        <v>3</v>
      </c>
      <c r="B46" s="248" t="s">
        <v>108</v>
      </c>
      <c r="C46" s="248" t="s">
        <v>493</v>
      </c>
      <c r="D46" s="245" cm="1">
        <f t="array" ref="D46">IF(OR(B46={"Schedule 15","Schedule 51","Schedule 53"}),SUMIFS(RVN!H:H,RVN!A:A,A46,RVN!J:J,B46)/12,SUMIFS('Normalized Units'!I:I,'Normalized Units'!H:H,"Bill",'Normalized Units'!C:C,B46,'Normalized Units'!D:D,A46)/12+SUM(SUMIFS('Normalized Units'!I:I,'Normalized Units'!H:H,{"Annual Bill","Load Size","Load Size Minimum"},'Normalized Units'!C:C,B46,'Normalized Units'!D:D,A46)))</f>
        <v>25.575035561877666</v>
      </c>
      <c r="E46" s="237">
        <f>SUMIFS('Normalized Units'!I:I,'Normalized Units'!B:B,"Normalized Billing Units",'Normalized Units'!C:C,B46,'Normalized Units'!D:D,A46,'Normalized Units'!H:H,"kWh*")/1000</f>
        <v>314.48340809632003</v>
      </c>
      <c r="F46" s="94">
        <f>SUMIFS('Sch.15,51,53,54'!$G:$G,'Sch.15,51,53,54'!$A:$A,F$75&amp;F$31,'Sch.15,51,53,54'!$B:$B,"$",'Sch.15,51,53,54'!$C:$C,$B46,'Sch.15,51,53,54'!$D:$D,$A46)/1000</f>
        <v>21.271452803859034</v>
      </c>
      <c r="G46" s="94">
        <f ca="1">SUMIFS('Sch.15,51,53,54'!$G:$G,'Sch.15,51,53,54'!$A:$A,G$75&amp;G$31,'Sch.15,51,53,54'!$B:$B,"$",'Sch.15,51,53,54'!$C:$C,$B46,'Sch.15,51,53,54'!$D:$D,$A46)/1000+U43</f>
        <v>21.910607791985832</v>
      </c>
      <c r="H46" s="94">
        <f t="shared" ca="1" si="32"/>
        <v>0.63915498812679772</v>
      </c>
      <c r="I46" s="444">
        <f t="shared" ca="1" si="33"/>
        <v>3.0047547481610808</v>
      </c>
      <c r="J46" s="221">
        <f t="shared" ca="1" si="34"/>
        <v>21.910607791985832</v>
      </c>
      <c r="K46" s="94">
        <f ca="1">SUMIFS('Sch.15,51,53,54'!$G:$G,'Sch.15,51,53,54'!$A:$A,K$75&amp;K$31,'Sch.15,51,53,54'!$B:$B,"$",'Sch.15,51,53,54'!$C:$C,$B46,'Sch.15,51,53,54'!$D:$D,$A46)/1000+U43</f>
        <v>21.771505246975618</v>
      </c>
      <c r="L46" s="94">
        <f t="shared" ca="1" si="35"/>
        <v>-0.13910254501021413</v>
      </c>
      <c r="M46" s="415">
        <f t="shared" ca="1" si="36"/>
        <v>-0.63486392678295844</v>
      </c>
      <c r="N46" s="237">
        <f t="shared" ca="1" si="37"/>
        <v>0.50005244311658359</v>
      </c>
      <c r="O46" s="415">
        <f t="shared" ca="1" si="25"/>
        <v>2.3508147173937495</v>
      </c>
      <c r="P46" s="513"/>
      <c r="Q46" s="616"/>
      <c r="R46" s="413" t="s">
        <v>5</v>
      </c>
      <c r="S46" s="248" t="s">
        <v>106</v>
      </c>
      <c r="T46" s="520">
        <f>SUM('Sch.15,51,53,54'!I13:I15)/1000</f>
        <v>27.261816197381783</v>
      </c>
      <c r="U46" s="520">
        <f t="shared" si="26"/>
        <v>2.9987997817119964E-2</v>
      </c>
    </row>
    <row r="47" spans="1:21" s="401" customFormat="1" ht="15.75" customHeight="1">
      <c r="A47" s="413" t="s">
        <v>3</v>
      </c>
      <c r="B47" s="57" t="s">
        <v>490</v>
      </c>
      <c r="C47" s="57" t="s">
        <v>305</v>
      </c>
      <c r="D47" s="245" cm="1">
        <f t="array" ref="D47">IF(OR(B47={"Schedule 15","Schedule 51","Schedule 53"}),SUMIFS(RVN!H:H,RVN!A:A,A47,RVN!J:J,B47)/12,SUMIFS('Normalized Units'!I:I,'Normalized Units'!H:H,"Bill",'Normalized Units'!C:C,B47,'Normalized Units'!D:D,A47)/12+SUM(SUMIFS('Normalized Units'!I:I,'Normalized Units'!H:H,{"Annual Bill","Load Size","Load Size Minimum"},'Normalized Units'!C:C,B47,'Normalized Units'!D:D,A47)))</f>
        <v>0</v>
      </c>
      <c r="E47" s="237">
        <f>SUMIFS('Normalized Units'!I:I,'Normalized Units'!B:B,"Normalized Billing Units",'Normalized Units'!C:C,B47,'Normalized Units'!D:D,A47,'Normalized Units'!H:H,"kWh*")/1000</f>
        <v>0</v>
      </c>
      <c r="F47" s="94">
        <f>SUMIFS('AutoPay&amp;Paperless'!$F:$F,'AutoPay&amp;Paperless'!$C:$C,"$",'AutoPay&amp;Paperless'!$D:$D,$A47,'AutoPay&amp;Paperless'!$E:$E,$C47)/1000</f>
        <v>-31.087</v>
      </c>
      <c r="G47" s="94">
        <f>SUMIFS('AutoPay&amp;Paperless'!$F:$F,'AutoPay&amp;Paperless'!$C:$C,"$",'AutoPay&amp;Paperless'!$D:$D,$A47,'AutoPay&amp;Paperless'!$E:$E,$C47)/1000</f>
        <v>-31.087</v>
      </c>
      <c r="H47" s="94">
        <f t="shared" si="32"/>
        <v>0</v>
      </c>
      <c r="I47" s="444">
        <f t="shared" si="33"/>
        <v>0</v>
      </c>
      <c r="J47" s="221">
        <f t="shared" si="34"/>
        <v>-31.087</v>
      </c>
      <c r="K47" s="94">
        <f>SUMIFS('AutoPay&amp;Paperless'!$F:$F,'AutoPay&amp;Paperless'!$C:$C,"$",'AutoPay&amp;Paperless'!$D:$D,$A47,'AutoPay&amp;Paperless'!$E:$E,$C47)/1000</f>
        <v>-31.087</v>
      </c>
      <c r="L47" s="94">
        <f t="shared" si="35"/>
        <v>0</v>
      </c>
      <c r="M47" s="415">
        <f t="shared" si="36"/>
        <v>0</v>
      </c>
      <c r="N47" s="237">
        <f t="shared" si="37"/>
        <v>0</v>
      </c>
      <c r="O47" s="415">
        <f t="shared" si="25"/>
        <v>0</v>
      </c>
      <c r="P47" s="513"/>
      <c r="Q47" s="616"/>
      <c r="R47" s="413" t="s">
        <v>5</v>
      </c>
      <c r="S47" s="248" t="s">
        <v>165</v>
      </c>
      <c r="T47" s="520">
        <f>E53</f>
        <v>15212.35759661524</v>
      </c>
      <c r="U47" s="520">
        <f t="shared" si="26"/>
        <v>12.778380381156802</v>
      </c>
    </row>
    <row r="48" spans="1:21" s="401" customFormat="1" ht="15.75" customHeight="1">
      <c r="A48" s="413" t="s">
        <v>3</v>
      </c>
      <c r="B48" s="57" t="s">
        <v>490</v>
      </c>
      <c r="C48" s="57" t="s">
        <v>306</v>
      </c>
      <c r="D48" s="245" cm="1">
        <f t="array" ref="D48">IF(OR(B48={"Schedule 15","Schedule 51","Schedule 53"}),SUMIFS(RVN!H:H,RVN!A:A,A48,RVN!J:J,B48)/12,SUMIFS('Normalized Units'!I:I,'Normalized Units'!H:H,"Bill",'Normalized Units'!C:C,B48,'Normalized Units'!D:D,A48)/12+SUM(SUMIFS('Normalized Units'!I:I,'Normalized Units'!H:H,{"Annual Bill","Load Size","Load Size Minimum"},'Normalized Units'!C:C,B48,'Normalized Units'!D:D,A48)))</f>
        <v>0</v>
      </c>
      <c r="E48" s="237">
        <f>SUMIFS('Normalized Units'!I:I,'Normalized Units'!B:B,"Normalized Billing Units",'Normalized Units'!C:C,B48,'Normalized Units'!D:D,A48,'Normalized Units'!H:H,"kWh*")/1000</f>
        <v>0</v>
      </c>
      <c r="F48" s="94">
        <f>SUMIFS('AutoPay&amp;Paperless'!$F:$F,'AutoPay&amp;Paperless'!$C:$C,"$",'AutoPay&amp;Paperless'!$D:$D,$A48,'AutoPay&amp;Paperless'!$E:$E,$C48)/1000</f>
        <v>-28.762</v>
      </c>
      <c r="G48" s="94">
        <f>SUMIFS('AutoPay&amp;Paperless'!$F:$F,'AutoPay&amp;Paperless'!$C:$C,"$",'AutoPay&amp;Paperless'!$D:$D,$A48,'AutoPay&amp;Paperless'!$E:$E,$C48)/1000</f>
        <v>-28.762</v>
      </c>
      <c r="H48" s="94">
        <f t="shared" si="32"/>
        <v>0</v>
      </c>
      <c r="I48" s="444">
        <f t="shared" si="33"/>
        <v>0</v>
      </c>
      <c r="J48" s="221">
        <f t="shared" si="34"/>
        <v>-28.762</v>
      </c>
      <c r="K48" s="94">
        <f>SUMIFS('AutoPay&amp;Paperless'!$F:$F,'AutoPay&amp;Paperless'!$C:$C,"$",'AutoPay&amp;Paperless'!$D:$D,$A48,'AutoPay&amp;Paperless'!$E:$E,$C48)/1000</f>
        <v>-28.762</v>
      </c>
      <c r="L48" s="94">
        <f t="shared" si="35"/>
        <v>0</v>
      </c>
      <c r="M48" s="415">
        <f t="shared" si="36"/>
        <v>0</v>
      </c>
      <c r="N48" s="237">
        <f t="shared" si="37"/>
        <v>0</v>
      </c>
      <c r="O48" s="415">
        <f t="shared" si="25"/>
        <v>0</v>
      </c>
      <c r="P48" s="513"/>
      <c r="Q48" s="616"/>
      <c r="R48" s="413" t="s">
        <v>5</v>
      </c>
      <c r="S48" s="248" t="s">
        <v>215</v>
      </c>
      <c r="T48" s="520">
        <f>E54</f>
        <v>88065.749447729948</v>
      </c>
      <c r="U48" s="520">
        <f t="shared" si="26"/>
        <v>72.213914547138558</v>
      </c>
    </row>
    <row r="49" spans="1:21" s="401" customFormat="1" ht="15.75" customHeight="1">
      <c r="A49" s="412" t="s">
        <v>3</v>
      </c>
      <c r="B49" s="57" t="s">
        <v>490</v>
      </c>
      <c r="C49" s="248" t="s">
        <v>288</v>
      </c>
      <c r="D49" s="245" cm="1">
        <f t="array" ref="D49">IF(OR(B49={"Schedule 15","Schedule 51","Schedule 53"}),SUMIFS(RVN!H:H,RVN!A:A,A49,RVN!J:J,B49)/12,SUMIFS('Normalized Units'!I:I,'Normalized Units'!H:H,"Bill",'Normalized Units'!C:C,B49,'Normalized Units'!D:D,A49)/12+SUM(SUMIFS('Normalized Units'!I:I,'Normalized Units'!H:H,{"Annual Bill","Load Size","Load Size Minimum"},'Normalized Units'!C:C,B49,'Normalized Units'!D:D,A49)))</f>
        <v>0</v>
      </c>
      <c r="E49" s="237">
        <f>SUMIFS('Normalized Units'!I:I,'Normalized Units'!B:B,"Normalized Billing Units",'Normalized Units'!C:C,B49,'Normalized Units'!D:D,A49,'Normalized Units'!H:H,"kWh*")/1000</f>
        <v>0</v>
      </c>
      <c r="F49" s="95">
        <f>SUMIFS(RVN!$F:$F,RVN!$A:$A,$A49,RVN!$J:$J,$C49)/1000</f>
        <v>473.08967000000007</v>
      </c>
      <c r="G49" s="95">
        <f>SUMIFS(RVN!$F:$F,RVN!$A:$A,$A49,RVN!$J:$J,$C49)/1000</f>
        <v>473.08967000000007</v>
      </c>
      <c r="H49" s="94">
        <f>G49-F49</f>
        <v>0</v>
      </c>
      <c r="I49" s="444">
        <f>IFERROR(H49/F49*100,0)</f>
        <v>0</v>
      </c>
      <c r="J49" s="221">
        <f>G49</f>
        <v>473.08967000000007</v>
      </c>
      <c r="K49" s="95">
        <f>SUMIFS(RVN!$F:$F,RVN!$A:$A,$A49,RVN!$J:$J,$C49)/1000</f>
        <v>473.08967000000007</v>
      </c>
      <c r="L49" s="94">
        <f>K49-J49</f>
        <v>0</v>
      </c>
      <c r="M49" s="415">
        <f>IFERROR(L49/J49*100,0)</f>
        <v>0</v>
      </c>
      <c r="N49" s="237">
        <f>K49-F49</f>
        <v>0</v>
      </c>
      <c r="O49" s="415">
        <f t="shared" si="25"/>
        <v>0</v>
      </c>
      <c r="P49" s="513"/>
      <c r="Q49" s="616"/>
      <c r="R49" s="413" t="s">
        <v>5</v>
      </c>
      <c r="S49" s="248" t="s">
        <v>518</v>
      </c>
      <c r="T49" s="520">
        <f>E55</f>
        <v>202364.62218044893</v>
      </c>
      <c r="U49" s="520">
        <f t="shared" si="26"/>
        <v>155.82075907894566</v>
      </c>
    </row>
    <row r="50" spans="1:21" s="401" customFormat="1" ht="15.75" customHeight="1">
      <c r="A50" s="417" t="s">
        <v>3</v>
      </c>
      <c r="B50" s="365" t="s">
        <v>132</v>
      </c>
      <c r="C50" s="365" t="s">
        <v>132</v>
      </c>
      <c r="D50" s="425">
        <f>SUM(D42:D49)</f>
        <v>19132.87640542489</v>
      </c>
      <c r="E50" s="425">
        <f t="shared" ref="E50:H50" si="38">SUM(E42:E49)</f>
        <v>1531168.2861068852</v>
      </c>
      <c r="F50" s="425">
        <f t="shared" si="38"/>
        <v>145288.73776267501</v>
      </c>
      <c r="G50" s="425">
        <f t="shared" ca="1" si="38"/>
        <v>149181.90116191437</v>
      </c>
      <c r="H50" s="425">
        <f t="shared" ca="1" si="38"/>
        <v>3893.1633992393668</v>
      </c>
      <c r="I50" s="446">
        <f ca="1">IFERROR(H50/F50*100,0)</f>
        <v>2.6796043927360276</v>
      </c>
      <c r="J50" s="425">
        <f t="shared" ref="J50" ca="1" si="39">SUM(J42:J49)</f>
        <v>149181.90116191437</v>
      </c>
      <c r="K50" s="425">
        <f t="shared" ref="K50" ca="1" si="40">SUM(K42:K49)</f>
        <v>149013.13561541305</v>
      </c>
      <c r="L50" s="425">
        <f t="shared" ref="L50:N50" ca="1" si="41">SUM(L42:L49)</f>
        <v>-168.76554650132948</v>
      </c>
      <c r="M50" s="418">
        <f ca="1">IFERROR(L50/J50*100,0)</f>
        <v>-0.11312736007979951</v>
      </c>
      <c r="N50" s="425">
        <f t="shared" ca="1" si="41"/>
        <v>3724.3978527380373</v>
      </c>
      <c r="O50" s="640">
        <f t="shared" ca="1" si="25"/>
        <v>2.563445666946143</v>
      </c>
      <c r="P50" s="513"/>
      <c r="Q50" s="616"/>
      <c r="R50" s="413" t="s">
        <v>5</v>
      </c>
      <c r="S50" s="248" t="s">
        <v>223</v>
      </c>
      <c r="T50" s="520">
        <f>E56</f>
        <v>544168.56528857455</v>
      </c>
      <c r="U50" s="520">
        <f t="shared" si="26"/>
        <v>419.00979527220238</v>
      </c>
    </row>
    <row r="51" spans="1:21" s="401" customFormat="1" ht="15.75" customHeight="1">
      <c r="A51" s="423"/>
      <c r="B51" s="277"/>
      <c r="C51" s="277"/>
      <c r="D51" s="244"/>
      <c r="E51" s="228"/>
      <c r="F51" s="214"/>
      <c r="G51" s="214"/>
      <c r="H51" s="214"/>
      <c r="I51" s="448"/>
      <c r="J51" s="266"/>
      <c r="K51" s="214"/>
      <c r="L51" s="214"/>
      <c r="M51" s="422"/>
      <c r="N51" s="228"/>
      <c r="O51" s="422">
        <f t="shared" si="25"/>
        <v>0</v>
      </c>
      <c r="P51" s="513"/>
      <c r="Q51" s="616"/>
      <c r="R51" s="417" t="s">
        <v>5</v>
      </c>
      <c r="S51" s="365" t="s">
        <v>132</v>
      </c>
      <c r="T51" s="494">
        <f>SUM(T46:T50)</f>
        <v>849838.55632956605</v>
      </c>
      <c r="U51" s="494">
        <f>SUM(U46:U50)</f>
        <v>659.85283727726051</v>
      </c>
    </row>
    <row r="52" spans="1:21" s="401" customFormat="1" ht="15.75" customHeight="1">
      <c r="A52" s="413" t="s">
        <v>5</v>
      </c>
      <c r="B52" s="248" t="s">
        <v>106</v>
      </c>
      <c r="C52" s="248" t="s">
        <v>483</v>
      </c>
      <c r="D52" s="245" cm="1">
        <f t="array" ref="D52">IF(OR(B52={"Schedule 15","Schedule 51","Schedule 53"}),SUMIFS(RVN!H:H,RVN!A:A,A52,RVN!J:J,B52)/12,SUMIFS('Normalized Units'!I:I,'Normalized Units'!H:H,"Bill",'Normalized Units'!C:C,B52,'Normalized Units'!D:D,A52)/12+SUM(SUMIFS('Normalized Units'!I:I,'Normalized Units'!H:H,{"Annual Bill","Load Size","Load Size Minimum"},'Normalized Units'!C:C,B52,'Normalized Units'!D:D,A52)))</f>
        <v>50.166666666666664</v>
      </c>
      <c r="E52" s="237">
        <f>SUMIFS('Normalized Units'!I:I,'Normalized Units'!B:B,"Normalized Billing Units",'Normalized Units'!C:C,B52,'Normalized Units'!D:D,A52,'Normalized Units'!H:H,"kWh*")/1000</f>
        <v>122.7874500167689</v>
      </c>
      <c r="F52" s="94">
        <f>SUMIFS('Sch.15,51,53,54'!$G:$G,'Sch.15,51,53,54'!$A:$A,F$75&amp;F$31,'Sch.15,51,53,54'!$B:$B,"$",'Sch.15,51,53,54'!$C:$C,$B52,'Sch.15,51,53,54'!$D:$D,$A52)/1000</f>
        <v>9.9208232017062361</v>
      </c>
      <c r="G52" s="94">
        <f ca="1">SUMIFS('Sch.15,51,53,54'!$G:$G,'Sch.15,51,53,54'!$A:$A,G$75&amp;G$31,'Sch.15,51,53,54'!$B:$B,"$",'Sch.15,51,53,54'!$C:$C,$B52,'Sch.15,51,53,54'!$D:$D,$A52)/1000+U46</f>
        <v>10.160788863065179</v>
      </c>
      <c r="H52" s="94">
        <f ca="1">G52-F52</f>
        <v>0.23996566135894248</v>
      </c>
      <c r="I52" s="444">
        <f ca="1">IFERROR(H52/F52*100,0)</f>
        <v>2.4188079605901245</v>
      </c>
      <c r="J52" s="221">
        <f ca="1">G52</f>
        <v>10.160788863065179</v>
      </c>
      <c r="K52" s="94">
        <f ca="1">SUMIFS('Sch.15,51,53,54'!$G:$G,'Sch.15,51,53,54'!$A:$A,K$75&amp;K$31,'Sch.15,51,53,54'!$B:$B,"$",'Sch.15,51,53,54'!$C:$C,$B52,'Sch.15,51,53,54'!$D:$D,$A52)/1000+U46</f>
        <v>10.094442236541591</v>
      </c>
      <c r="L52" s="94">
        <f ca="1">K52-J52</f>
        <v>-6.6346626523587915E-2</v>
      </c>
      <c r="M52" s="415">
        <f ca="1">IFERROR(L52/J52*100,0)</f>
        <v>-0.65296727860137138</v>
      </c>
      <c r="N52" s="237">
        <f ca="1">K52-F52</f>
        <v>0.17361903483535457</v>
      </c>
      <c r="O52" s="415">
        <f t="shared" ca="1" si="25"/>
        <v>1.7500466574738942</v>
      </c>
      <c r="P52" s="513"/>
      <c r="Q52" s="616"/>
      <c r="R52" s="423"/>
      <c r="S52" s="277"/>
      <c r="T52" s="519"/>
      <c r="U52" s="519"/>
    </row>
    <row r="53" spans="1:21" s="401" customFormat="1" ht="15.75" customHeight="1">
      <c r="A53" s="413" t="s">
        <v>5</v>
      </c>
      <c r="B53" s="248" t="s">
        <v>165</v>
      </c>
      <c r="C53" s="248" t="s">
        <v>491</v>
      </c>
      <c r="D53" s="245" cm="1">
        <f t="array" ref="D53">IF(OR(B53={"Schedule 15","Schedule 51","Schedule 53"}),SUMIFS(RVN!H:H,RVN!A:A,A53,RVN!J:J,B53)/12,SUMIFS('Normalized Units'!I:I,'Normalized Units'!H:H,"Bill",'Normalized Units'!C:C,B53,'Normalized Units'!D:D,A53)/12+SUM(SUMIFS('Normalized Units'!I:I,'Normalized Units'!H:H,{"Annual Bill","Load Size","Load Size Minimum"},'Normalized Units'!C:C,B53,'Normalized Units'!D:D,A53)))</f>
        <v>407.7166666666667</v>
      </c>
      <c r="E53" s="237">
        <f>SUMIFS('Normalized Units'!I:I,'Normalized Units'!B:B,"Normalized Billing Units",'Normalized Units'!C:C,B53,'Normalized Units'!D:D,A53,'Normalized Units'!H:H,"kWh*")/1000</f>
        <v>15212.35759661524</v>
      </c>
      <c r="F53" s="94">
        <f>SUMIFS(Sch.24!$S:$S,Sch.24!$N:$N,F$75&amp;F$31,Sch.24!$O:$O,"$",Sch.24!$P:$P,$A53)/1000</f>
        <v>1632.0951142660285</v>
      </c>
      <c r="G53" s="94">
        <f ca="1">SUMIFS(Sch.24!$S:$S,Sch.24!$N:$N,G$75&amp;G$31,Sch.24!$O:$O,"$",Sch.24!$P:$P,$A53)/1000+U47</f>
        <v>1675.9308360945627</v>
      </c>
      <c r="H53" s="94">
        <f t="shared" ref="H53:H57" ca="1" si="42">G53-F53</f>
        <v>43.835721828534133</v>
      </c>
      <c r="I53" s="444">
        <f t="shared" ref="I53:I57" ca="1" si="43">IFERROR(H53/F53*100,0)</f>
        <v>2.6858558331171496</v>
      </c>
      <c r="J53" s="221">
        <f t="shared" ref="J53:J57" ca="1" si="44">G53</f>
        <v>1675.9308360945627</v>
      </c>
      <c r="K53" s="94">
        <f ca="1">SUMIFS(Sch.24!$S:$S,Sch.24!$N:$N,K$75&amp;K$31,Sch.24!$O:$O,"$",Sch.24!$P:$P,$A53)/1000+U47</f>
        <v>1673.3285108923519</v>
      </c>
      <c r="L53" s="94">
        <f t="shared" ref="L53:L57" ca="1" si="45">K53-J53</f>
        <v>-2.6023252022107499</v>
      </c>
      <c r="M53" s="415">
        <f t="shared" ref="M53:M57" ca="1" si="46">IFERROR(L53/J53*100,0)</f>
        <v>-0.15527640796173742</v>
      </c>
      <c r="N53" s="237">
        <f t="shared" ref="N53:N57" ca="1" si="47">K53-F53</f>
        <v>41.233396626323383</v>
      </c>
      <c r="O53" s="415">
        <f t="shared" ca="1" si="25"/>
        <v>2.5264089246947172</v>
      </c>
      <c r="P53" s="513"/>
      <c r="Q53" s="616"/>
      <c r="R53" s="413" t="s">
        <v>116</v>
      </c>
      <c r="S53" s="248" t="s">
        <v>89</v>
      </c>
      <c r="T53" s="520">
        <f>E62</f>
        <v>152841.48716573825</v>
      </c>
      <c r="U53" s="520">
        <f t="shared" si="26"/>
        <v>140.61416819247918</v>
      </c>
    </row>
    <row r="54" spans="1:21" s="401" customFormat="1" ht="15.75" customHeight="1">
      <c r="A54" s="413" t="s">
        <v>5</v>
      </c>
      <c r="B54" s="248" t="s">
        <v>215</v>
      </c>
      <c r="C54" s="248" t="s">
        <v>482</v>
      </c>
      <c r="D54" s="245" cm="1">
        <f t="array" ref="D54">IF(OR(B54={"Schedule 15","Schedule 51","Schedule 53"}),SUMIFS(RVN!H:H,RVN!A:A,A54,RVN!J:J,B54)/12,SUMIFS('Normalized Units'!I:I,'Normalized Units'!H:H,"Bill",'Normalized Units'!C:C,B54,'Normalized Units'!D:D,A54)/12+SUM(SUMIFS('Normalized Units'!I:I,'Normalized Units'!H:H,{"Annual Bill","Load Size","Load Size Minimum"},'Normalized Units'!C:C,B54,'Normalized Units'!D:D,A54)))</f>
        <v>95.697222222222237</v>
      </c>
      <c r="E54" s="237">
        <f>SUMIFS('Normalized Units'!I:I,'Normalized Units'!B:B,"Normalized Billing Units",'Normalized Units'!C:C,B54,'Normalized Units'!D:D,A54,'Normalized Units'!H:H,"kWh*")/1000</f>
        <v>88065.749447729948</v>
      </c>
      <c r="F54" s="94">
        <f>SUMIFS('Sch.29,36'!$S:$S,'Sch.29,36'!$M:$M,F$75&amp;F$31,'Sch.29,36'!$N:$N,"$",'Sch.29,36'!$P:$P,$A54)/1000</f>
        <v>8391.109873566189</v>
      </c>
      <c r="G54" s="94">
        <f ca="1">SUMIFS('Sch.29,36'!$S:$S,'Sch.29,36'!$M:$M,G$75&amp;G$31,'Sch.29,36'!$N:$N,"$",'Sch.29,36'!$P:$P,$A54)/1000+U48</f>
        <v>8642.2750028224127</v>
      </c>
      <c r="H54" s="94">
        <f t="shared" ca="1" si="42"/>
        <v>251.16512925622374</v>
      </c>
      <c r="I54" s="444">
        <f t="shared" ca="1" si="43"/>
        <v>2.9932289415902922</v>
      </c>
      <c r="J54" s="221">
        <f t="shared" ca="1" si="44"/>
        <v>8642.2750028224127</v>
      </c>
      <c r="K54" s="94">
        <f ca="1">SUMIFS('Sch.29,36'!$S:$S,'Sch.29,36'!$M:$M,K$75&amp;K$31,'Sch.29,36'!$N:$N,"$",'Sch.29,36'!$P:$P,$A54)/1000+U48</f>
        <v>8642.0807264869163</v>
      </c>
      <c r="L54" s="94">
        <f t="shared" ca="1" si="45"/>
        <v>-0.19427633549639722</v>
      </c>
      <c r="M54" s="415">
        <f t="shared" ca="1" si="46"/>
        <v>-2.2479767819578761E-3</v>
      </c>
      <c r="N54" s="237">
        <f t="shared" ca="1" si="47"/>
        <v>250.97085292072734</v>
      </c>
      <c r="O54" s="415">
        <f t="shared" ca="1" si="25"/>
        <v>2.9909136777166965</v>
      </c>
      <c r="P54" s="513"/>
      <c r="Q54" s="616"/>
      <c r="R54" s="417" t="s">
        <v>116</v>
      </c>
      <c r="S54" s="365" t="s">
        <v>132</v>
      </c>
      <c r="T54" s="494">
        <f>SUM(T53)</f>
        <v>152841.48716573825</v>
      </c>
      <c r="U54" s="494">
        <f>SUM(U53)</f>
        <v>140.61416819247918</v>
      </c>
    </row>
    <row r="55" spans="1:21" s="401" customFormat="1" ht="15.75" customHeight="1">
      <c r="A55" s="413" t="s">
        <v>5</v>
      </c>
      <c r="B55" s="248" t="s">
        <v>518</v>
      </c>
      <c r="C55" s="248" t="s">
        <v>492</v>
      </c>
      <c r="D55" s="245">
        <f>('Normalized Units'!I91+'Normalized Units'!I108+'Normalized Units'!I109+'Normalized Units'!I114)/12</f>
        <v>30</v>
      </c>
      <c r="E55" s="237" cm="1">
        <f t="array" ref="E55">SUM(SUMIFS('Normalized Units'!I:I,'Normalized Units'!B:B,"Normalized Billing Units",'Normalized Units'!C:C,{"Schedule 47T","Schedule 48T"},'Normalized Units'!D:D,A55,'Normalized Units'!H:H,"kWh*"))/1000</f>
        <v>202364.62218044893</v>
      </c>
      <c r="F55" s="94">
        <f>SUM(SUMIFS(Sch.48T!$T:$T,Sch.48T!$N:$N,F$75&amp;F$31,Sch.48T!$O:$O,"$",Sch.48T!$P:$P,$A55),SUMIFS(Sch.47T!$F:$F,Sch.47T!$A:$A,F$75&amp;F$31,Sch.47T!$B:$B,"$"))/1000</f>
        <v>17056.678559394106</v>
      </c>
      <c r="G55" s="94">
        <f ca="1">SUM(SUMIFS(Sch.48T!$T:$T,Sch.48T!$N:$N,G$75&amp;G$31,Sch.48T!$O:$O,"$",Sch.48T!$P:$P,$A55),SUMIFS(Sch.47T!$F:$F,Sch.47T!$A:$A,G$75&amp;G$31,Sch.47T!$B:$B,"$"))/1000+U49</f>
        <v>17516.924440235489</v>
      </c>
      <c r="H55" s="94">
        <f t="shared" ca="1" si="42"/>
        <v>460.24588084138304</v>
      </c>
      <c r="I55" s="444">
        <f t="shared" ca="1" si="43"/>
        <v>2.6983323818804035</v>
      </c>
      <c r="J55" s="221">
        <f t="shared" ca="1" si="44"/>
        <v>17516.924440235489</v>
      </c>
      <c r="K55" s="94">
        <f ca="1">SUM(SUMIFS(Sch.48T!$T:$T,Sch.48T!$N:$N,K$75&amp;K$31,Sch.48T!$O:$O,"$",Sch.48T!$P:$P,$A55),SUMIFS(Sch.47T!$F:$F,Sch.47T!$A:$A,K$75&amp;K$31,Sch.47T!$B:$B,"$"))/1000+U49</f>
        <v>17517.32449423425</v>
      </c>
      <c r="L55" s="94">
        <f t="shared" ca="1" si="45"/>
        <v>0.40005399876099546</v>
      </c>
      <c r="M55" s="415">
        <f t="shared" ca="1" si="46"/>
        <v>2.2838141485733176E-3</v>
      </c>
      <c r="N55" s="237">
        <f t="shared" ca="1" si="47"/>
        <v>460.64593484014404</v>
      </c>
      <c r="O55" s="415">
        <f t="shared" ca="1" si="25"/>
        <v>2.7006778209256894</v>
      </c>
      <c r="P55" s="513"/>
      <c r="Q55" s="616"/>
      <c r="R55" s="423"/>
      <c r="S55" s="277"/>
      <c r="T55" s="519"/>
      <c r="U55" s="519"/>
    </row>
    <row r="56" spans="1:21" s="401" customFormat="1" ht="15.75" customHeight="1">
      <c r="A56" s="413" t="s">
        <v>5</v>
      </c>
      <c r="B56" s="248" t="s">
        <v>223</v>
      </c>
      <c r="C56" s="248" t="s">
        <v>495</v>
      </c>
      <c r="D56" s="245" cm="1">
        <f t="array" ref="D56">IF(OR(B56={"Schedule 15","Schedule 51","Schedule 53"}),SUMIFS(RVN!H:H,RVN!A:A,A56,RVN!J:J,B56)/12,SUMIFS('Normalized Units'!I:I,'Normalized Units'!H:H,"Bill",'Normalized Units'!C:C,B56,'Normalized Units'!D:D,A56)/12+SUM(SUMIFS('Normalized Units'!I:I,'Normalized Units'!H:H,{"Annual Bill","Load Size","Load Size Minimum"},'Normalized Units'!C:C,B56,'Normalized Units'!D:D,A56)))</f>
        <v>1</v>
      </c>
      <c r="E56" s="237">
        <f>SUMIFS('Normalized Units'!I:I,'Normalized Units'!B:B,"Normalized Billing Units",'Normalized Units'!C:C,B56,'Normalized Units'!D:D,A56,'Normalized Units'!H:H,"kWh*")/1000</f>
        <v>544168.56528857455</v>
      </c>
      <c r="F56" s="94">
        <f>SUMIFS('Sch.48T-DF'!$O:$O,'Sch.48T-DF'!$L:$L,F$75&amp;F$31,'Sch.48T-DF'!$M:$M,"$")/1000</f>
        <v>38671.30532491656</v>
      </c>
      <c r="G56" s="94">
        <f ca="1">SUMIFS('Sch.48T-DF'!$O:$O,'Sch.48T-DF'!$L:$L,G$75&amp;G$31,'Sch.48T-DF'!$M:$M,"$")/1000+U50</f>
        <v>39710.390994167137</v>
      </c>
      <c r="H56" s="94">
        <f t="shared" ca="1" si="42"/>
        <v>1039.0856692505768</v>
      </c>
      <c r="I56" s="444">
        <f t="shared" ca="1" si="43"/>
        <v>2.686968180981149</v>
      </c>
      <c r="J56" s="221">
        <f t="shared" ca="1" si="44"/>
        <v>39710.390994167137</v>
      </c>
      <c r="K56" s="94">
        <f ca="1">SUMIFS('Sch.48T-DF'!$O:$O,'Sch.48T-DF'!$L:$L,K$75&amp;K$31,'Sch.48T-DF'!$M:$M,"$")/1000+U50</f>
        <v>39725.859660096517</v>
      </c>
      <c r="L56" s="94">
        <f t="shared" ca="1" si="45"/>
        <v>15.468665929380222</v>
      </c>
      <c r="M56" s="415">
        <f t="shared" ca="1" si="46"/>
        <v>3.8953698369911131E-2</v>
      </c>
      <c r="N56" s="237">
        <f t="shared" ca="1" si="47"/>
        <v>1054.554335179957</v>
      </c>
      <c r="O56" s="415">
        <f t="shared" ca="1" si="25"/>
        <v>2.726968552831575</v>
      </c>
      <c r="P56" s="513"/>
      <c r="Q56" s="616"/>
      <c r="R56" s="413" t="s">
        <v>104</v>
      </c>
      <c r="S56" s="248" t="s">
        <v>107</v>
      </c>
      <c r="T56" s="237">
        <f>SUM('Sch.15,51,53,54'!I16:I27)/1000</f>
        <v>1815.5898653939805</v>
      </c>
      <c r="U56" s="237">
        <f t="shared" si="26"/>
        <v>1.9971488519333787</v>
      </c>
    </row>
    <row r="57" spans="1:21" s="401" customFormat="1" ht="15.75" customHeight="1">
      <c r="A57" s="413" t="s">
        <v>5</v>
      </c>
      <c r="B57" s="57" t="s">
        <v>490</v>
      </c>
      <c r="C57" s="57" t="s">
        <v>305</v>
      </c>
      <c r="D57" s="245" cm="1">
        <f t="array" ref="D57">IF(OR(B57={"Schedule 15","Schedule 51","Schedule 53"}),SUMIFS(RVN!H:H,RVN!A:A,A57,RVN!J:J,B57)/12,SUMIFS('Normalized Units'!I:I,'Normalized Units'!H:H,"Bill",'Normalized Units'!C:C,B57,'Normalized Units'!D:D,A57)/12+SUM(SUMIFS('Normalized Units'!I:I,'Normalized Units'!H:H,{"Annual Bill","Load Size","Load Size Minimum"},'Normalized Units'!C:C,B57,'Normalized Units'!D:D,A57)))</f>
        <v>0</v>
      </c>
      <c r="E57" s="237">
        <f>SUMIFS('Normalized Units'!I:I,'Normalized Units'!B:B,"Normalized Billing Units",'Normalized Units'!C:C,B57,'Normalized Units'!D:D,A57,'Normalized Units'!H:H,"kWh*")/1000</f>
        <v>0</v>
      </c>
      <c r="F57" s="94">
        <f>SUMIFS('AutoPay&amp;Paperless'!$F:$F,'AutoPay&amp;Paperless'!$C:$C,"$",'AutoPay&amp;Paperless'!$D:$D,$A57,'AutoPay&amp;Paperless'!$E:$E,$C57)/1000</f>
        <v>-0.42599999999999999</v>
      </c>
      <c r="G57" s="94">
        <f>SUMIFS('AutoPay&amp;Paperless'!$F:$F,'AutoPay&amp;Paperless'!$C:$C,"$",'AutoPay&amp;Paperless'!$D:$D,$A57,'AutoPay&amp;Paperless'!$E:$E,$C57)/1000</f>
        <v>-0.42599999999999999</v>
      </c>
      <c r="H57" s="94">
        <f t="shared" si="42"/>
        <v>0</v>
      </c>
      <c r="I57" s="444">
        <f t="shared" si="43"/>
        <v>0</v>
      </c>
      <c r="J57" s="221">
        <f t="shared" si="44"/>
        <v>-0.42599999999999999</v>
      </c>
      <c r="K57" s="94">
        <f>SUMIFS('AutoPay&amp;Paperless'!$F:$F,'AutoPay&amp;Paperless'!$C:$C,"$",'AutoPay&amp;Paperless'!$D:$D,$A57,'AutoPay&amp;Paperless'!$E:$E,$C57)/1000</f>
        <v>-0.42599999999999999</v>
      </c>
      <c r="L57" s="94">
        <f t="shared" si="45"/>
        <v>0</v>
      </c>
      <c r="M57" s="415">
        <f t="shared" si="46"/>
        <v>0</v>
      </c>
      <c r="N57" s="237">
        <f t="shared" si="47"/>
        <v>0</v>
      </c>
      <c r="O57" s="415">
        <f t="shared" si="25"/>
        <v>0</v>
      </c>
      <c r="P57" s="513"/>
      <c r="Q57" s="616"/>
      <c r="R57" s="413" t="s">
        <v>104</v>
      </c>
      <c r="S57" s="248" t="s">
        <v>163</v>
      </c>
      <c r="T57" s="520">
        <f>E69</f>
        <v>1961.4729048762861</v>
      </c>
      <c r="U57" s="520">
        <f t="shared" si="26"/>
        <v>1.1768837429257715</v>
      </c>
    </row>
    <row r="58" spans="1:21" s="401" customFormat="1" ht="15.75" customHeight="1">
      <c r="A58" s="413" t="s">
        <v>5</v>
      </c>
      <c r="B58" s="57" t="s">
        <v>490</v>
      </c>
      <c r="C58" s="57" t="s">
        <v>306</v>
      </c>
      <c r="D58" s="245" cm="1">
        <f t="array" ref="D58">IF(OR(B58={"Schedule 15","Schedule 51","Schedule 53"}),SUMIFS(RVN!H:H,RVN!A:A,A58,RVN!J:J,B58)/12,SUMIFS('Normalized Units'!I:I,'Normalized Units'!H:H,"Bill",'Normalized Units'!C:C,B58,'Normalized Units'!D:D,A58)/12+SUM(SUMIFS('Normalized Units'!I:I,'Normalized Units'!H:H,{"Annual Bill","Load Size","Load Size Minimum"},'Normalized Units'!C:C,B58,'Normalized Units'!D:D,A58)))</f>
        <v>0</v>
      </c>
      <c r="E58" s="237">
        <f>SUMIFS('Normalized Units'!I:I,'Normalized Units'!B:B,"Normalized Billing Units",'Normalized Units'!C:C,B58,'Normalized Units'!D:D,A58,'Normalized Units'!H:H,"kWh*")/1000</f>
        <v>0</v>
      </c>
      <c r="F58" s="94">
        <f>SUMIFS('AutoPay&amp;Paperless'!$F:$F,'AutoPay&amp;Paperless'!$C:$C,"$",'AutoPay&amp;Paperless'!$D:$D,$A58,'AutoPay&amp;Paperless'!$E:$E,$C58)/1000</f>
        <v>-0.748</v>
      </c>
      <c r="G58" s="94">
        <f>SUMIFS('AutoPay&amp;Paperless'!$F:$F,'AutoPay&amp;Paperless'!$C:$C,"$",'AutoPay&amp;Paperless'!$D:$D,$A58,'AutoPay&amp;Paperless'!$E:$E,$C58)/1000</f>
        <v>-0.748</v>
      </c>
      <c r="H58" s="94">
        <f>G58-F58</f>
        <v>0</v>
      </c>
      <c r="I58" s="444">
        <f>IFERROR(H58/F58*100,0)</f>
        <v>0</v>
      </c>
      <c r="J58" s="221">
        <f>G58</f>
        <v>-0.748</v>
      </c>
      <c r="K58" s="94">
        <f>SUMIFS('AutoPay&amp;Paperless'!$F:$F,'AutoPay&amp;Paperless'!$C:$C,"$",'AutoPay&amp;Paperless'!$D:$D,$A58,'AutoPay&amp;Paperless'!$E:$E,$C58)/1000</f>
        <v>-0.748</v>
      </c>
      <c r="L58" s="94">
        <f>K58-J58</f>
        <v>0</v>
      </c>
      <c r="M58" s="415">
        <f>IFERROR(L58/J58*100,0)</f>
        <v>0</v>
      </c>
      <c r="N58" s="237">
        <f>K58-F58</f>
        <v>0</v>
      </c>
      <c r="O58" s="415">
        <f t="shared" si="25"/>
        <v>0</v>
      </c>
      <c r="P58" s="513"/>
      <c r="Q58" s="616"/>
      <c r="R58" s="417" t="s">
        <v>104</v>
      </c>
      <c r="S58" s="365" t="s">
        <v>132</v>
      </c>
      <c r="T58" s="160">
        <f>SUM(T56:T57)</f>
        <v>3777.0627702702668</v>
      </c>
      <c r="U58" s="160">
        <f>SUM(U56:U57)</f>
        <v>3.1740325948591499</v>
      </c>
    </row>
    <row r="59" spans="1:21" s="401" customFormat="1" ht="15.75" customHeight="1">
      <c r="A59" s="412" t="s">
        <v>5</v>
      </c>
      <c r="B59" s="57" t="s">
        <v>490</v>
      </c>
      <c r="C59" s="248" t="s">
        <v>288</v>
      </c>
      <c r="D59" s="245" cm="1">
        <f t="array" ref="D59">IF(OR(B59={"Schedule 15","Schedule 51","Schedule 53"}),SUMIFS(RVN!H:H,RVN!A:A,A59,RVN!J:J,B59)/12,SUMIFS('Normalized Units'!I:I,'Normalized Units'!H:H,"Bill",'Normalized Units'!C:C,B59,'Normalized Units'!D:D,A59)/12+SUM(SUMIFS('Normalized Units'!I:I,'Normalized Units'!H:H,{"Annual Bill","Load Size","Load Size Minimum"},'Normalized Units'!C:C,B59,'Normalized Units'!D:D,A59)))</f>
        <v>0</v>
      </c>
      <c r="E59" s="237">
        <f>SUMIFS('Normalized Units'!I:I,'Normalized Units'!B:B,"Normalized Billing Units",'Normalized Units'!C:C,B59,'Normalized Units'!D:D,A59,'Normalized Units'!H:H,"kWh*")/1000</f>
        <v>0</v>
      </c>
      <c r="F59" s="95">
        <f>SUMIFS(RVN!$F:$F,RVN!$A:$A,$A59,RVN!$J:$J,$C59)/1000</f>
        <v>11.579079999999999</v>
      </c>
      <c r="G59" s="95">
        <f>SUMIFS(RVN!$F:$F,RVN!$A:$A,$A59,RVN!$J:$J,$C59)/1000</f>
        <v>11.579079999999999</v>
      </c>
      <c r="H59" s="94">
        <f>G59-F59</f>
        <v>0</v>
      </c>
      <c r="I59" s="444">
        <f>IFERROR(H59/F59*100,0)</f>
        <v>0</v>
      </c>
      <c r="J59" s="221">
        <f>G59</f>
        <v>11.579079999999999</v>
      </c>
      <c r="K59" s="95">
        <f>SUMIFS(RVN!$F:$F,RVN!$A:$A,$A59,RVN!$J:$J,$C59)/1000</f>
        <v>11.579079999999999</v>
      </c>
      <c r="L59" s="94">
        <f>K59-J59</f>
        <v>0</v>
      </c>
      <c r="M59" s="415">
        <f>IFERROR(L59/J59*100,0)</f>
        <v>0</v>
      </c>
      <c r="N59" s="237">
        <f>K59-F59</f>
        <v>0</v>
      </c>
      <c r="O59" s="415">
        <f t="shared" si="25"/>
        <v>0</v>
      </c>
      <c r="P59" s="513"/>
      <c r="Q59" s="616"/>
      <c r="R59" s="417"/>
      <c r="S59" s="365"/>
      <c r="T59" s="160"/>
      <c r="U59" s="603"/>
    </row>
    <row r="60" spans="1:21" s="401" customFormat="1" ht="15.75" customHeight="1">
      <c r="A60" s="417" t="s">
        <v>5</v>
      </c>
      <c r="B60" s="365" t="s">
        <v>132</v>
      </c>
      <c r="C60" s="365" t="s">
        <v>132</v>
      </c>
      <c r="D60" s="425">
        <f>SUM(D52:D59)</f>
        <v>584.58055555555563</v>
      </c>
      <c r="E60" s="425">
        <f t="shared" ref="E60:H60" si="48">SUM(E52:E59)</f>
        <v>849934.08196338546</v>
      </c>
      <c r="F60" s="425">
        <f t="shared" si="48"/>
        <v>65771.514775344564</v>
      </c>
      <c r="G60" s="425">
        <f t="shared" ca="1" si="48"/>
        <v>67566.087142182645</v>
      </c>
      <c r="H60" s="425">
        <f t="shared" ca="1" si="48"/>
        <v>1794.5723668380765</v>
      </c>
      <c r="I60" s="446">
        <f ca="1">IFERROR(H60/F60*100,0)</f>
        <v>2.7284948095962038</v>
      </c>
      <c r="J60" s="425">
        <f t="shared" ref="J60:N60" ca="1" si="49">SUM(J52:J59)</f>
        <v>67566.087142182645</v>
      </c>
      <c r="K60" s="425">
        <f t="shared" ca="1" si="49"/>
        <v>67579.092913946559</v>
      </c>
      <c r="L60" s="425">
        <f t="shared" ca="1" si="49"/>
        <v>13.005771763910483</v>
      </c>
      <c r="M60" s="418">
        <f ca="1">IFERROR(L60/J60*100,0)</f>
        <v>1.9248963961079758E-2</v>
      </c>
      <c r="N60" s="425">
        <f t="shared" ca="1" si="49"/>
        <v>1807.5781386019871</v>
      </c>
      <c r="O60" s="640">
        <f t="shared" ca="1" si="25"/>
        <v>2.7482689805398626</v>
      </c>
      <c r="P60" s="513"/>
      <c r="Q60" s="616"/>
      <c r="R60" s="417" t="s">
        <v>132</v>
      </c>
      <c r="S60" s="365" t="s">
        <v>132</v>
      </c>
      <c r="T60" s="160">
        <f>T37+T44+T51+T54+T58</f>
        <v>4192040.5105280778</v>
      </c>
      <c r="U60" s="160">
        <f>U37+U44+U51+U54+U58</f>
        <v>3711.4595146846827</v>
      </c>
    </row>
    <row r="61" spans="1:21" s="401" customFormat="1" ht="15.75" customHeight="1">
      <c r="A61" s="423"/>
      <c r="B61" s="277"/>
      <c r="C61" s="277"/>
      <c r="D61" s="244"/>
      <c r="E61" s="228"/>
      <c r="F61" s="214"/>
      <c r="G61" s="214"/>
      <c r="H61" s="214"/>
      <c r="I61" s="448"/>
      <c r="J61" s="266"/>
      <c r="K61" s="214"/>
      <c r="L61" s="214"/>
      <c r="M61" s="422"/>
      <c r="N61" s="228"/>
      <c r="O61" s="422">
        <f t="shared" si="25"/>
        <v>0</v>
      </c>
      <c r="P61" s="513"/>
      <c r="Q61" s="616"/>
    </row>
    <row r="62" spans="1:21" s="401" customFormat="1" ht="15.75" customHeight="1">
      <c r="A62" s="413" t="s">
        <v>116</v>
      </c>
      <c r="B62" s="248" t="s">
        <v>89</v>
      </c>
      <c r="C62" s="248" t="s">
        <v>488</v>
      </c>
      <c r="D62" s="245" cm="1">
        <f t="array" ref="D62">IF(OR(B62={"Schedule 15","Schedule 51","Schedule 53"}),SUMIFS(RVN!H:H,RVN!A:A,A62,RVN!J:J,B62)/12,SUMIFS('Normalized Units'!I:I,'Normalized Units'!H:H,"Bill",'Normalized Units'!C:C,B62,'Normalized Units'!D:D,A62)/12+SUM(SUMIFS('Normalized Units'!I:I,'Normalized Units'!H:H,{"Annual Bill","Load Size","Load Size Minimum"},'Normalized Units'!C:C,B62,'Normalized Units'!D:D,A62)))</f>
        <v>5140.8634747118504</v>
      </c>
      <c r="E62" s="237">
        <f>SUMIFS('Normalized Units'!I:I,'Normalized Units'!B:B,"Normalized Billing Units",'Normalized Units'!C:C,B62,'Normalized Units'!D:D,A62,'Normalized Units'!H:H,"kWh*")/1000</f>
        <v>152841.48716573825</v>
      </c>
      <c r="F62" s="94">
        <f>SUMIFS(Sch.40!$S:$S,Sch.40!$N:$N,F$75&amp;F$31,Sch.40!$O:$O,"$")/1000</f>
        <v>14475.016400296861</v>
      </c>
      <c r="G62" s="94">
        <f ca="1">SUMIFS(Sch.40!$S:$S,Sch.40!$N:$N,G$75&amp;G$31,Sch.40!$O:$O,"$")/1000+U53</f>
        <v>14861.846490647327</v>
      </c>
      <c r="H62" s="94">
        <f ca="1">G62-F62</f>
        <v>386.83009035046598</v>
      </c>
      <c r="I62" s="444">
        <f ca="1">IFERROR(H62/F62*100,0)</f>
        <v>2.6723982871793681</v>
      </c>
      <c r="J62" s="221">
        <f ca="1">G62</f>
        <v>14861.846490647327</v>
      </c>
      <c r="K62" s="94">
        <f ca="1">SUMIFS(Sch.40!$S:$S,Sch.40!$N:$N,K$75&amp;K$31,Sch.40!$O:$O,"$")/1000+U53</f>
        <v>14869.025534952771</v>
      </c>
      <c r="L62" s="94">
        <f ca="1">K62-J62</f>
        <v>7.1790443054433126</v>
      </c>
      <c r="M62" s="415">
        <f ca="1">IFERROR(L62/J62*100,0)</f>
        <v>4.8305197540299855E-2</v>
      </c>
      <c r="N62" s="237">
        <f ca="1">K62-F62</f>
        <v>394.00913465590929</v>
      </c>
      <c r="O62" s="415">
        <f t="shared" ca="1" si="25"/>
        <v>2.7219943919913536</v>
      </c>
      <c r="P62" s="513"/>
      <c r="Q62" s="616"/>
    </row>
    <row r="63" spans="1:21" s="401" customFormat="1" ht="15.75" customHeight="1">
      <c r="A63" s="413" t="s">
        <v>116</v>
      </c>
      <c r="B63" s="57" t="s">
        <v>490</v>
      </c>
      <c r="C63" s="57" t="s">
        <v>305</v>
      </c>
      <c r="D63" s="245" cm="1">
        <f t="array" ref="D63">IF(OR(B63={"Schedule 15","Schedule 51","Schedule 53"}),SUMIFS(RVN!H:H,RVN!A:A,A63,RVN!J:J,B63)/12,SUMIFS('Normalized Units'!I:I,'Normalized Units'!H:H,"Bill",'Normalized Units'!C:C,B63,'Normalized Units'!D:D,A63)/12+SUM(SUMIFS('Normalized Units'!I:I,'Normalized Units'!H:H,{"Annual Bill","Load Size","Load Size Minimum"},'Normalized Units'!C:C,B63,'Normalized Units'!D:D,A63)))</f>
        <v>0</v>
      </c>
      <c r="E63" s="237">
        <f>SUMIFS('Normalized Units'!I:I,'Normalized Units'!B:B,"Normalized Billing Units",'Normalized Units'!C:C,B63,'Normalized Units'!D:D,A63,'Normalized Units'!H:H,"kWh*")/1000</f>
        <v>0</v>
      </c>
      <c r="F63" s="94">
        <f>SUMIFS('AutoPay&amp;Paperless'!$F:$F,'AutoPay&amp;Paperless'!$C:$C,"$",'AutoPay&amp;Paperless'!$D:$D,$A63,'AutoPay&amp;Paperless'!$E:$E,$C63)/1000</f>
        <v>-7.2539999999999996</v>
      </c>
      <c r="G63" s="94">
        <f>SUMIFS('AutoPay&amp;Paperless'!$F:$F,'AutoPay&amp;Paperless'!$C:$C,"$",'AutoPay&amp;Paperless'!$D:$D,$A63,'AutoPay&amp;Paperless'!$E:$E,$C63)/1000</f>
        <v>-7.2539999999999996</v>
      </c>
      <c r="H63" s="94">
        <f t="shared" ref="H63:H65" si="50">G63-F63</f>
        <v>0</v>
      </c>
      <c r="I63" s="444">
        <f t="shared" ref="I63:I65" si="51">IFERROR(H63/F63*100,0)</f>
        <v>0</v>
      </c>
      <c r="J63" s="221">
        <f t="shared" ref="J63:J65" si="52">G63</f>
        <v>-7.2539999999999996</v>
      </c>
      <c r="K63" s="94">
        <f>SUMIFS('AutoPay&amp;Paperless'!$F:$F,'AutoPay&amp;Paperless'!$C:$C,"$",'AutoPay&amp;Paperless'!$D:$D,$A63,'AutoPay&amp;Paperless'!$E:$E,$C63)/1000</f>
        <v>-7.2539999999999996</v>
      </c>
      <c r="L63" s="94">
        <f t="shared" ref="L63:L65" si="53">K63-J63</f>
        <v>0</v>
      </c>
      <c r="M63" s="415">
        <f t="shared" ref="M63:M65" si="54">IFERROR(L63/J63*100,0)</f>
        <v>0</v>
      </c>
      <c r="N63" s="237">
        <f t="shared" ref="N63:N65" si="55">K63-F63</f>
        <v>0</v>
      </c>
      <c r="O63" s="415">
        <f t="shared" si="25"/>
        <v>0</v>
      </c>
      <c r="P63" s="513"/>
      <c r="Q63" s="616"/>
    </row>
    <row r="64" spans="1:21" s="401" customFormat="1" ht="15.75" customHeight="1">
      <c r="A64" s="413" t="s">
        <v>116</v>
      </c>
      <c r="B64" s="57" t="s">
        <v>490</v>
      </c>
      <c r="C64" s="57" t="s">
        <v>306</v>
      </c>
      <c r="D64" s="245" cm="1">
        <f t="array" ref="D64">IF(OR(B64={"Schedule 15","Schedule 51","Schedule 53"}),SUMIFS(RVN!H:H,RVN!A:A,A64,RVN!J:J,B64)/12,SUMIFS('Normalized Units'!I:I,'Normalized Units'!H:H,"Bill",'Normalized Units'!C:C,B64,'Normalized Units'!D:D,A64)/12+SUM(SUMIFS('Normalized Units'!I:I,'Normalized Units'!H:H,{"Annual Bill","Load Size","Load Size Minimum"},'Normalized Units'!C:C,B64,'Normalized Units'!D:D,A64)))</f>
        <v>0</v>
      </c>
      <c r="E64" s="237">
        <f>SUMIFS('Normalized Units'!I:I,'Normalized Units'!B:B,"Normalized Billing Units",'Normalized Units'!C:C,B64,'Normalized Units'!D:D,A64,'Normalized Units'!H:H,"kWh*")/1000</f>
        <v>0</v>
      </c>
      <c r="F64" s="94">
        <f>SUMIFS('AutoPay&amp;Paperless'!$F:$F,'AutoPay&amp;Paperless'!$C:$C,"$",'AutoPay&amp;Paperless'!$D:$D,$A64,'AutoPay&amp;Paperless'!$E:$E,$C64)/1000</f>
        <v>-6.3845000000000001</v>
      </c>
      <c r="G64" s="94">
        <f>SUMIFS('AutoPay&amp;Paperless'!$F:$F,'AutoPay&amp;Paperless'!$C:$C,"$",'AutoPay&amp;Paperless'!$D:$D,$A64,'AutoPay&amp;Paperless'!$E:$E,$C64)/1000</f>
        <v>-6.3845000000000001</v>
      </c>
      <c r="H64" s="94">
        <f t="shared" si="50"/>
        <v>0</v>
      </c>
      <c r="I64" s="444">
        <f t="shared" si="51"/>
        <v>0</v>
      </c>
      <c r="J64" s="221">
        <f t="shared" si="52"/>
        <v>-6.3845000000000001</v>
      </c>
      <c r="K64" s="94">
        <f>SUMIFS('AutoPay&amp;Paperless'!$F:$F,'AutoPay&amp;Paperless'!$C:$C,"$",'AutoPay&amp;Paperless'!$D:$D,$A64,'AutoPay&amp;Paperless'!$E:$E,$C64)/1000</f>
        <v>-6.3845000000000001</v>
      </c>
      <c r="L64" s="94">
        <f t="shared" si="53"/>
        <v>0</v>
      </c>
      <c r="M64" s="415">
        <f t="shared" si="54"/>
        <v>0</v>
      </c>
      <c r="N64" s="237">
        <f t="shared" si="55"/>
        <v>0</v>
      </c>
      <c r="O64" s="415">
        <f t="shared" si="25"/>
        <v>0</v>
      </c>
      <c r="P64" s="513"/>
      <c r="Q64" s="616"/>
    </row>
    <row r="65" spans="1:17" s="401" customFormat="1" ht="15.75" customHeight="1">
      <c r="A65" s="412" t="s">
        <v>116</v>
      </c>
      <c r="B65" s="57" t="s">
        <v>490</v>
      </c>
      <c r="C65" s="248" t="s">
        <v>288</v>
      </c>
      <c r="D65" s="245" cm="1">
        <f t="array" ref="D65">IF(OR(B65={"Schedule 15","Schedule 51","Schedule 53"}),SUMIFS(RVN!H:H,RVN!A:A,A65,RVN!J:J,B65)/12,SUMIFS('Normalized Units'!I:I,'Normalized Units'!H:H,"Bill",'Normalized Units'!C:C,B65,'Normalized Units'!D:D,A65)/12+SUM(SUMIFS('Normalized Units'!I:I,'Normalized Units'!H:H,{"Annual Bill","Load Size","Load Size Minimum"},'Normalized Units'!C:C,B65,'Normalized Units'!D:D,A65)))</f>
        <v>0</v>
      </c>
      <c r="E65" s="237">
        <f>SUMIFS('Normalized Units'!I:I,'Normalized Units'!B:B,"Normalized Billing Units",'Normalized Units'!C:C,B65,'Normalized Units'!D:D,A65,'Normalized Units'!H:H,"kWh*")/1000</f>
        <v>0</v>
      </c>
      <c r="F65" s="95">
        <f>SUMIFS(RVN!$F:$F,RVN!$A:$A,$A65,RVN!$J:$J,$C65)/1000</f>
        <v>140.31836999999999</v>
      </c>
      <c r="G65" s="95">
        <f>SUMIFS(RVN!$F:$F,RVN!$A:$A,$A65,RVN!$J:$J,$C65)/1000</f>
        <v>140.31836999999999</v>
      </c>
      <c r="H65" s="94">
        <f t="shared" si="50"/>
        <v>0</v>
      </c>
      <c r="I65" s="444">
        <f t="shared" si="51"/>
        <v>0</v>
      </c>
      <c r="J65" s="221">
        <f t="shared" si="52"/>
        <v>140.31836999999999</v>
      </c>
      <c r="K65" s="95">
        <f>SUMIFS(RVN!$F:$F,RVN!$A:$A,$A65,RVN!$J:$J,$C65)/1000</f>
        <v>140.31836999999999</v>
      </c>
      <c r="L65" s="94">
        <f t="shared" si="53"/>
        <v>0</v>
      </c>
      <c r="M65" s="415">
        <f t="shared" si="54"/>
        <v>0</v>
      </c>
      <c r="N65" s="237">
        <f t="shared" si="55"/>
        <v>0</v>
      </c>
      <c r="O65" s="415">
        <f t="shared" si="25"/>
        <v>0</v>
      </c>
      <c r="P65" s="513"/>
      <c r="Q65" s="616"/>
    </row>
    <row r="66" spans="1:17" s="401" customFormat="1" ht="15.75" customHeight="1">
      <c r="A66" s="417" t="s">
        <v>116</v>
      </c>
      <c r="B66" s="365" t="s">
        <v>132</v>
      </c>
      <c r="C66" s="365" t="s">
        <v>132</v>
      </c>
      <c r="D66" s="425">
        <f>SUM(D62:D65)</f>
        <v>5140.8634747118504</v>
      </c>
      <c r="E66" s="425">
        <f t="shared" ref="E66:H66" si="56">SUM(E62:E65)</f>
        <v>152841.48716573825</v>
      </c>
      <c r="F66" s="425">
        <f t="shared" si="56"/>
        <v>14601.696270296861</v>
      </c>
      <c r="G66" s="425">
        <f t="shared" ca="1" si="56"/>
        <v>14988.526360647327</v>
      </c>
      <c r="H66" s="425">
        <f t="shared" ca="1" si="56"/>
        <v>386.83009035046598</v>
      </c>
      <c r="I66" s="446">
        <f ca="1">IFERROR(H66/F66*100,0)</f>
        <v>2.6492133734993892</v>
      </c>
      <c r="J66" s="425">
        <f ca="1">SUM(J62:J65)</f>
        <v>14988.526360647327</v>
      </c>
      <c r="K66" s="425">
        <f ca="1">SUM(K62:K65)</f>
        <v>14995.705404952771</v>
      </c>
      <c r="L66" s="425">
        <f ca="1">SUM(L62:L65)</f>
        <v>7.1790443054433126</v>
      </c>
      <c r="M66" s="418">
        <f ca="1">IFERROR(L66/J66*100,0)</f>
        <v>4.7896932178016084E-2</v>
      </c>
      <c r="N66" s="425">
        <f ca="1">SUM(N62:N65)</f>
        <v>394.00913465590929</v>
      </c>
      <c r="O66" s="640">
        <f t="shared" ca="1" si="25"/>
        <v>2.6983791976101612</v>
      </c>
      <c r="P66" s="513"/>
      <c r="Q66" s="616"/>
    </row>
    <row r="67" spans="1:17" s="401" customFormat="1" ht="15.75" customHeight="1">
      <c r="A67" s="423"/>
      <c r="B67" s="277"/>
      <c r="C67" s="277"/>
      <c r="D67" s="244"/>
      <c r="E67" s="228"/>
      <c r="F67" s="214"/>
      <c r="G67" s="214"/>
      <c r="H67" s="214"/>
      <c r="I67" s="448"/>
      <c r="J67" s="266"/>
      <c r="K67" s="214"/>
      <c r="L67" s="214"/>
      <c r="M67" s="422"/>
      <c r="N67" s="228"/>
      <c r="O67" s="422">
        <f t="shared" si="25"/>
        <v>0</v>
      </c>
      <c r="P67" s="513"/>
      <c r="Q67" s="616"/>
    </row>
    <row r="68" spans="1:17" ht="15.75" customHeight="1">
      <c r="A68" s="413" t="s">
        <v>104</v>
      </c>
      <c r="B68" s="248" t="s">
        <v>107</v>
      </c>
      <c r="C68" s="248" t="s">
        <v>484</v>
      </c>
      <c r="D68" s="245" cm="1">
        <f t="array" ref="D68">IF(OR(B68={"Schedule 15","Schedule 51","Schedule 53"}),SUMIFS(RVN!H:H,RVN!A:A,A68,RVN!J:J,B68)/12,SUMIFS('Normalized Units'!I:I,'Normalized Units'!H:H,"Bill",'Normalized Units'!C:C,B68,'Normalized Units'!D:D,A68)/12+SUM(SUMIFS('Normalized Units'!I:I,'Normalized Units'!H:H,{"Annual Bill","Load Size","Load Size Minimum"},'Normalized Units'!C:C,B68,'Normalized Units'!D:D,A68)))</f>
        <v>225.91666666666666</v>
      </c>
      <c r="E68" s="237">
        <f>SUMIFS('Normalized Units'!I:I,'Normalized Units'!B:B,"Normalized Billing Units",'Normalized Units'!C:C,B68,'Normalized Units'!D:D,A68,'Normalized Units'!H:H,"kWh*")/1000</f>
        <v>1820.2173769310609</v>
      </c>
      <c r="F68" s="94">
        <f>SUMIFS('Sch.15,51,53,54'!$G:$G,'Sch.15,51,53,54'!$A:$A,F$75&amp;F$31,'Sch.15,51,53,54'!$B:$B,"$",'Sch.15,51,53,54'!$C:$C,$B68,'Sch.15,51,53,54'!$D:$D,$A68)/1000</f>
        <v>464.27096133082063</v>
      </c>
      <c r="G68" s="94">
        <f ca="1">SUMIFS('Sch.15,51,53,54'!$G:$G,'Sch.15,51,53,54'!$A:$A,G$75&amp;G$31,'Sch.15,51,53,54'!$B:$B,"$",'Sch.15,51,53,54'!$C:$C,$B68,'Sch.15,51,53,54'!$D:$D,$A68)/1000+U56</f>
        <v>476.93142174417028</v>
      </c>
      <c r="H68" s="94">
        <f ca="1">G68-F68</f>
        <v>12.660460413349654</v>
      </c>
      <c r="I68" s="444">
        <f ca="1">IFERROR(H68/F68*100,0)</f>
        <v>2.7269550473410558</v>
      </c>
      <c r="J68" s="221">
        <f ca="1">G68</f>
        <v>476.93142174417028</v>
      </c>
      <c r="K68" s="94">
        <f ca="1">SUMIFS('Sch.15,51,53,54'!$G:$G,'Sch.15,51,53,54'!$A:$A,K$75&amp;K$31,'Sch.15,51,53,54'!$B:$B,"$",'Sch.15,51,53,54'!$C:$C,$B68,'Sch.15,51,53,54'!$D:$D,$A68)/1000+U56</f>
        <v>473.6869714628026</v>
      </c>
      <c r="L68" s="94">
        <f ca="1">K68-J68</f>
        <v>-3.2444502813676763</v>
      </c>
      <c r="M68" s="415">
        <f ca="1">IFERROR(L68/J68*100,0)</f>
        <v>-0.68027605929223611</v>
      </c>
      <c r="N68" s="237">
        <f ca="1">K68-F68</f>
        <v>9.4160101319819773</v>
      </c>
      <c r="O68" s="415">
        <f t="shared" ca="1" si="25"/>
        <v>2.0281281657140973</v>
      </c>
      <c r="P68" s="513"/>
      <c r="Q68" s="616"/>
    </row>
    <row r="69" spans="1:17" ht="15.75" customHeight="1">
      <c r="A69" s="413" t="s">
        <v>104</v>
      </c>
      <c r="B69" s="248" t="s">
        <v>163</v>
      </c>
      <c r="C69" s="248" t="s">
        <v>485</v>
      </c>
      <c r="D69" s="245" cm="1">
        <f t="array" ref="D69">IF(OR(B69={"Schedule 15","Schedule 51","Schedule 53"}),SUMIFS(RVN!H:H,RVN!A:A,A69,RVN!J:J,B69)/12,SUMIFS('Normalized Units'!I:I,'Normalized Units'!H:H,"Bill",'Normalized Units'!C:C,B69,'Normalized Units'!D:D,A69)/12+SUM(SUMIFS('Normalized Units'!I:I,'Normalized Units'!H:H,{"Annual Bill","Load Size","Load Size Minimum"},'Normalized Units'!C:C,B69,'Normalized Units'!D:D,A69)))</f>
        <v>232.58333333333334</v>
      </c>
      <c r="E69" s="237">
        <f>SUMIFS('Normalized Units'!I:I,'Normalized Units'!B:B,"Normalized Billing Units",'Normalized Units'!C:C,B69,'Normalized Units'!D:D,A69,'Normalized Units'!H:H,"kWh*")/1000</f>
        <v>1961.4729048762861</v>
      </c>
      <c r="F69" s="94">
        <f>SUMIFS('Sch.15,51,53,54'!$G:$G,'Sch.15,51,53,54'!$A:$A,F$75&amp;F$31,'Sch.15,51,53,54'!$B:$B,"$",'Sch.15,51,53,54'!$C:$C,$B69,'Sch.15,51,53,54'!$D:$D,$A69)/1000</f>
        <v>107.67492750922015</v>
      </c>
      <c r="G69" s="94">
        <f ca="1">SUMIFS('Sch.15,51,53,54'!$G:$G,'Sch.15,51,53,54'!$A:$A,G$75&amp;G$31,'Sch.15,51,53,54'!$B:$B,"$",'Sch.15,51,53,54'!$C:$C,$B69,'Sch.15,51,53,54'!$D:$D,$A69)/1000+U57</f>
        <v>111.32272139986051</v>
      </c>
      <c r="H69" s="94">
        <f t="shared" ref="H69:H70" ca="1" si="57">G69-F69</f>
        <v>3.647793890640358</v>
      </c>
      <c r="I69" s="444">
        <f t="shared" ref="I69:I70" ca="1" si="58">IFERROR(H69/F69*100,0)</f>
        <v>3.387783929854979</v>
      </c>
      <c r="J69" s="221">
        <f t="shared" ref="J69:J70" ca="1" si="59">G69</f>
        <v>111.32272139986051</v>
      </c>
      <c r="K69" s="94">
        <f ca="1">SUMIFS('Sch.15,51,53,54'!$G:$G,'Sch.15,51,53,54'!$A:$A,K$75&amp;K$31,'Sch.15,51,53,54'!$B:$B,"$",'Sch.15,51,53,54'!$C:$C,$B69,'Sch.15,51,53,54'!$D:$D,$A69)/1000+U57</f>
        <v>110.56244135440987</v>
      </c>
      <c r="L69" s="94">
        <f t="shared" ref="L69:L70" ca="1" si="60">K69-J69</f>
        <v>-0.76028004545064221</v>
      </c>
      <c r="M69" s="415">
        <f t="shared" ref="M69:M70" ca="1" si="61">IFERROR(L69/J69*100,0)</f>
        <v>-0.68295136508547016</v>
      </c>
      <c r="N69" s="237">
        <f t="shared" ref="N69:N70" ca="1" si="62">K69-F69</f>
        <v>2.8875138451897158</v>
      </c>
      <c r="O69" s="415">
        <f t="shared" ca="1" si="25"/>
        <v>2.6816956481744176</v>
      </c>
      <c r="P69" s="513"/>
      <c r="Q69" s="616"/>
    </row>
    <row r="70" spans="1:17" ht="15.75" customHeight="1">
      <c r="A70" s="412" t="s">
        <v>104</v>
      </c>
      <c r="B70" s="57" t="s">
        <v>490</v>
      </c>
      <c r="C70" s="248" t="s">
        <v>288</v>
      </c>
      <c r="D70" s="245" cm="1">
        <f t="array" ref="D70">IF(OR(B70={"Schedule 15","Schedule 51","Schedule 53"}),SUMIFS(RVN!H:H,RVN!A:A,A70,RVN!J:J,B70)/12,SUMIFS('Normalized Units'!I:I,'Normalized Units'!H:H,"Bill",'Normalized Units'!C:C,B70,'Normalized Units'!D:D,A70)/12+SUM(SUMIFS('Normalized Units'!I:I,'Normalized Units'!H:H,{"Annual Bill","Load Size","Load Size Minimum"},'Normalized Units'!C:C,B70,'Normalized Units'!D:D,A70)))</f>
        <v>0</v>
      </c>
      <c r="E70" s="237">
        <f>SUMIFS('Normalized Units'!I:I,'Normalized Units'!B:B,"Normalized Billing Units",'Normalized Units'!C:C,B70,'Normalized Units'!D:D,A70,'Normalized Units'!H:H,"kWh*")/1000</f>
        <v>0</v>
      </c>
      <c r="F70" s="95">
        <f>SUMIFS(RVN!$F:$F,RVN!$A:$A,$A70,RVN!$J:$J,$C70)/1000</f>
        <v>9.0840000000000004E-2</v>
      </c>
      <c r="G70" s="95">
        <f>SUMIFS(RVN!$F:$F,RVN!$A:$A,$A70,RVN!$J:$J,$C70)/1000</f>
        <v>9.0840000000000004E-2</v>
      </c>
      <c r="H70" s="94">
        <f t="shared" si="57"/>
        <v>0</v>
      </c>
      <c r="I70" s="444">
        <f t="shared" si="58"/>
        <v>0</v>
      </c>
      <c r="J70" s="221">
        <f t="shared" si="59"/>
        <v>9.0840000000000004E-2</v>
      </c>
      <c r="K70" s="95">
        <f>SUMIFS(RVN!$F:$F,RVN!$A:$A,$A70,RVN!$J:$J,$C70)/1000</f>
        <v>9.0840000000000004E-2</v>
      </c>
      <c r="L70" s="94">
        <f t="shared" si="60"/>
        <v>0</v>
      </c>
      <c r="M70" s="415">
        <f t="shared" si="61"/>
        <v>0</v>
      </c>
      <c r="N70" s="237">
        <f t="shared" si="62"/>
        <v>0</v>
      </c>
      <c r="O70" s="415">
        <f t="shared" si="25"/>
        <v>0</v>
      </c>
      <c r="P70" s="513"/>
      <c r="Q70" s="616"/>
    </row>
    <row r="71" spans="1:17" ht="15.75" customHeight="1">
      <c r="A71" s="417" t="s">
        <v>104</v>
      </c>
      <c r="B71" s="365" t="s">
        <v>132</v>
      </c>
      <c r="C71" s="365" t="s">
        <v>132</v>
      </c>
      <c r="D71" s="425">
        <f>SUM(D68:D70)</f>
        <v>458.5</v>
      </c>
      <c r="E71" s="425">
        <f t="shared" ref="E71:J71" si="63">SUM(E68:E70)</f>
        <v>3781.6902818073468</v>
      </c>
      <c r="F71" s="425">
        <f t="shared" si="63"/>
        <v>572.03672884004072</v>
      </c>
      <c r="G71" s="425">
        <f t="shared" ca="1" si="63"/>
        <v>588.34498314403072</v>
      </c>
      <c r="H71" s="425">
        <f t="shared" ca="1" si="63"/>
        <v>16.308254303990012</v>
      </c>
      <c r="I71" s="446">
        <f ca="1">IFERROR(H71/F71*100,0)</f>
        <v>2.8509103492461771</v>
      </c>
      <c r="J71" s="425">
        <f t="shared" ca="1" si="63"/>
        <v>588.34498314403072</v>
      </c>
      <c r="K71" s="425">
        <f ca="1">SUM(K68:K70)</f>
        <v>584.34025281721244</v>
      </c>
      <c r="L71" s="425">
        <f ca="1">SUM(L68:L70)</f>
        <v>-4.0047303268183185</v>
      </c>
      <c r="M71" s="418">
        <f ca="1">IFERROR(L71/J71*100,0)</f>
        <v>-0.68067722876085679</v>
      </c>
      <c r="N71" s="425">
        <f ca="1">SUM(N68:N70)</f>
        <v>12.303523977171693</v>
      </c>
      <c r="O71" s="640">
        <f ca="1">IFERROR(N71/F71*100,0)</f>
        <v>2.1508276229256147</v>
      </c>
      <c r="P71" s="513"/>
      <c r="Q71" s="616"/>
    </row>
    <row r="72" spans="1:17" ht="15.75" customHeight="1">
      <c r="A72" s="417"/>
      <c r="B72" s="365"/>
      <c r="C72" s="365"/>
      <c r="D72" s="425"/>
      <c r="E72" s="160"/>
      <c r="F72" s="285"/>
      <c r="G72" s="285"/>
      <c r="H72" s="285"/>
      <c r="I72" s="446"/>
      <c r="J72" s="375"/>
      <c r="K72" s="285"/>
      <c r="L72" s="285"/>
      <c r="M72" s="418"/>
      <c r="N72" s="160"/>
      <c r="O72" s="418">
        <f t="shared" si="25"/>
        <v>0</v>
      </c>
      <c r="P72" s="513"/>
      <c r="Q72" s="616"/>
    </row>
    <row r="73" spans="1:17" ht="15.75" customHeight="1">
      <c r="A73" s="417" t="s">
        <v>132</v>
      </c>
      <c r="B73" s="365" t="s">
        <v>132</v>
      </c>
      <c r="C73" s="365" t="s">
        <v>132</v>
      </c>
      <c r="D73" s="425">
        <f>D40+D50+D60+D66+D71</f>
        <v>140527.93088372098</v>
      </c>
      <c r="E73" s="425">
        <f>E40+E50+E60+E66+E71</f>
        <v>4194177.378937826</v>
      </c>
      <c r="F73" s="375">
        <f>F40+F50+F60+F66+F71</f>
        <v>405024.31590073655</v>
      </c>
      <c r="G73" s="375">
        <f ca="1">G40+G50+G60+G66+G71</f>
        <v>415920.95982976153</v>
      </c>
      <c r="H73" s="375">
        <f ca="1">H40+H50+H60+H66+H71</f>
        <v>10896.643929024996</v>
      </c>
      <c r="I73" s="446">
        <f t="shared" ref="I73" ca="1" si="64">IFERROR(H73/F73*100,0)</f>
        <v>2.6903678374943665</v>
      </c>
      <c r="J73" s="375">
        <f ca="1">J40+J50+J60+J66+J71</f>
        <v>415920.95982976153</v>
      </c>
      <c r="K73" s="375">
        <f ca="1">K40+K50+K60+K66+K71</f>
        <v>415957.37478660629</v>
      </c>
      <c r="L73" s="375">
        <f ca="1">L40+L50+L60+L66+L71</f>
        <v>36.414956844835807</v>
      </c>
      <c r="M73" s="418">
        <f t="shared" ref="M73" ca="1" si="65">IFERROR(L73/J73*100,0)</f>
        <v>8.7552588981667633E-3</v>
      </c>
      <c r="N73" s="425">
        <f ca="1">N40+N50+N60+N66+N71</f>
        <v>10933.058885869834</v>
      </c>
      <c r="O73" s="640">
        <f t="shared" ca="1" si="25"/>
        <v>2.6993586450620191</v>
      </c>
      <c r="P73" s="513"/>
      <c r="Q73" s="616"/>
    </row>
    <row r="74" spans="1:17" ht="15.75" customHeight="1">
      <c r="C74" s="397"/>
      <c r="E74" s="416"/>
      <c r="H74" s="93"/>
      <c r="I74" s="93"/>
      <c r="L74" s="93"/>
      <c r="M74" s="227"/>
      <c r="N74" s="227"/>
    </row>
    <row r="75" spans="1:17" ht="15.75" customHeight="1">
      <c r="G75" s="604" t="s">
        <v>500</v>
      </c>
      <c r="H75" s="65"/>
      <c r="I75" s="65"/>
      <c r="J75" s="449"/>
      <c r="K75" s="604" t="s">
        <v>501</v>
      </c>
      <c r="M75" s="227"/>
      <c r="N75" s="227"/>
    </row>
    <row r="77" spans="1:17">
      <c r="B77" s="160" t="s">
        <v>578</v>
      </c>
      <c r="C77" s="603" t="s">
        <v>580</v>
      </c>
      <c r="D77" s="601"/>
      <c r="E77" s="601"/>
      <c r="F77" s="602"/>
      <c r="G77" s="446">
        <f ca="1">(G45+G55+G56)/(F45+F55+F56)*100</f>
        <v>102.68168673193495</v>
      </c>
      <c r="H77" s="602"/>
      <c r="I77" s="602"/>
      <c r="J77" s="602"/>
      <c r="K77" s="446">
        <f ca="1">(K45+K55+K56)/(J45+J55+J56)*100</f>
        <v>100.01205678154736</v>
      </c>
    </row>
    <row r="79" spans="1:17">
      <c r="G79" s="93"/>
      <c r="K79" s="93"/>
    </row>
  </sheetData>
  <printOptions horizontalCentered="1"/>
  <pageMargins left="0.2" right="0.2" top="0.2" bottom="0.2" header="0" footer="0"/>
  <pageSetup scale="80" fitToHeight="0" orientation="landscape" r:id="rId1"/>
  <ignoredErrors>
    <ignoredError sqref="I8:I12 M8:M12 I41:J49 L41:M49 I13:I25 M13:M25 I57:J59 L57:M59 I61:J65 I60 L61:M65 M60 I40 M40 I51:J56 I50 L51:M56 M50 I67:J70 I66 L67:M70 I72:J73 I71 L72:M73 E50:E51 M66 M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5948-C27D-4C38-954E-FA96222BECD8}">
  <dimension ref="B2:P49"/>
  <sheetViews>
    <sheetView showGridLines="0" zoomScaleNormal="100" workbookViewId="0">
      <selection activeCell="Q10" sqref="Q10"/>
    </sheetView>
  </sheetViews>
  <sheetFormatPr defaultRowHeight="15.75"/>
  <cols>
    <col min="1" max="1" width="0.875" customWidth="1"/>
    <col min="2" max="2" width="33" style="156" bestFit="1" customWidth="1"/>
    <col min="3" max="3" width="9.5" style="156" customWidth="1"/>
    <col min="4" max="8" width="9.5" customWidth="1"/>
    <col min="9" max="12" width="9.5" hidden="1" customWidth="1"/>
    <col min="13" max="13" width="9.5" style="188" hidden="1" customWidth="1"/>
    <col min="14" max="16" width="9.5" hidden="1" customWidth="1"/>
    <col min="17" max="25" width="10.625" customWidth="1"/>
  </cols>
  <sheetData>
    <row r="2" spans="2:16" ht="15.75" customHeight="1">
      <c r="B2" s="560" t="s">
        <v>560</v>
      </c>
      <c r="C2" s="404"/>
      <c r="D2" s="154"/>
      <c r="E2" s="154"/>
      <c r="F2" s="286"/>
      <c r="G2" s="286"/>
      <c r="H2" s="465"/>
      <c r="I2" s="286"/>
      <c r="J2" s="286"/>
      <c r="K2" s="286"/>
      <c r="L2" s="286"/>
      <c r="M2" s="154"/>
      <c r="N2" s="154"/>
      <c r="O2" s="154"/>
      <c r="P2" s="155"/>
    </row>
    <row r="3" spans="2:16" ht="15.75" customHeight="1">
      <c r="B3" s="250"/>
      <c r="C3" s="290" t="s">
        <v>435</v>
      </c>
      <c r="D3" s="154"/>
      <c r="E3" s="154"/>
      <c r="F3" s="328"/>
      <c r="G3" s="286"/>
      <c r="H3" s="170"/>
      <c r="I3" s="328" t="s">
        <v>437</v>
      </c>
      <c r="J3" s="154"/>
      <c r="K3" s="154"/>
      <c r="L3" s="328"/>
      <c r="M3" s="286"/>
      <c r="N3" s="170"/>
      <c r="O3" s="573"/>
      <c r="P3" s="322"/>
    </row>
    <row r="4" spans="2:16" ht="15.75" customHeight="1">
      <c r="B4" s="250"/>
      <c r="C4" s="561"/>
      <c r="D4" s="3"/>
      <c r="E4" s="564" t="s">
        <v>296</v>
      </c>
      <c r="F4" s="328"/>
      <c r="G4" s="286"/>
      <c r="H4" s="170"/>
      <c r="I4" s="647"/>
      <c r="J4" s="3"/>
      <c r="K4" s="564" t="s">
        <v>296</v>
      </c>
      <c r="L4" s="328"/>
      <c r="M4" s="286"/>
      <c r="N4" s="170"/>
      <c r="O4" s="572" t="s">
        <v>569</v>
      </c>
      <c r="P4" s="325"/>
    </row>
    <row r="5" spans="2:16" ht="15.75" customHeight="1">
      <c r="B5" s="250"/>
      <c r="C5" s="408" t="s">
        <v>558</v>
      </c>
      <c r="D5" s="325"/>
      <c r="F5" s="562"/>
      <c r="G5" s="563"/>
      <c r="H5" s="164" t="s">
        <v>428</v>
      </c>
      <c r="I5" s="648" t="s">
        <v>558</v>
      </c>
      <c r="J5" s="325"/>
      <c r="L5" s="562"/>
      <c r="M5" s="563"/>
      <c r="N5" s="164" t="s">
        <v>428</v>
      </c>
      <c r="O5" s="563"/>
      <c r="P5" s="164" t="s">
        <v>428</v>
      </c>
    </row>
    <row r="6" spans="2:16" ht="15.75" customHeight="1">
      <c r="B6" s="412" t="s">
        <v>336</v>
      </c>
      <c r="C6" s="165" t="s">
        <v>341</v>
      </c>
      <c r="D6" s="253" t="s">
        <v>346</v>
      </c>
      <c r="E6" s="165" t="s">
        <v>341</v>
      </c>
      <c r="F6" s="165" t="s">
        <v>346</v>
      </c>
      <c r="G6" s="165" t="s">
        <v>348</v>
      </c>
      <c r="H6" s="165" t="s">
        <v>348</v>
      </c>
      <c r="I6" s="186" t="s">
        <v>341</v>
      </c>
      <c r="J6" s="165" t="s">
        <v>346</v>
      </c>
      <c r="K6" s="165" t="s">
        <v>341</v>
      </c>
      <c r="L6" s="165" t="s">
        <v>346</v>
      </c>
      <c r="M6" s="165" t="s">
        <v>348</v>
      </c>
      <c r="N6" s="165" t="s">
        <v>348</v>
      </c>
      <c r="O6" s="165" t="s">
        <v>348</v>
      </c>
      <c r="P6" s="165" t="s">
        <v>348</v>
      </c>
    </row>
    <row r="7" spans="2:16" ht="15.75" customHeight="1">
      <c r="B7" s="423" t="s">
        <v>557</v>
      </c>
      <c r="C7" s="576">
        <f>'Sch.16,17,19'!Q19</f>
        <v>7.75</v>
      </c>
      <c r="D7" s="576">
        <f>'Sch.16,17,19'!Q35</f>
        <v>8.5</v>
      </c>
      <c r="E7" s="522">
        <f>C7</f>
        <v>7.75</v>
      </c>
      <c r="F7" s="522">
        <f>D7</f>
        <v>8.5</v>
      </c>
      <c r="G7" s="522">
        <f>F7-E7</f>
        <v>0.75</v>
      </c>
      <c r="H7" s="448">
        <f>IFERROR(G7/E7*100,0)</f>
        <v>9.67741935483871</v>
      </c>
      <c r="I7" s="649">
        <f>D7</f>
        <v>8.5</v>
      </c>
      <c r="J7" s="472">
        <f>'Sch.16,17,19'!Q59</f>
        <v>8.5</v>
      </c>
      <c r="K7" s="522">
        <f>I7</f>
        <v>8.5</v>
      </c>
      <c r="L7" s="522">
        <f>J7</f>
        <v>8.5</v>
      </c>
      <c r="M7" s="522">
        <f>L7-K7</f>
        <v>0</v>
      </c>
      <c r="N7" s="448">
        <f>IFERROR(M7/K7*100,0)</f>
        <v>0</v>
      </c>
      <c r="O7" s="583">
        <f>L7-E7</f>
        <v>0.75</v>
      </c>
      <c r="P7" s="422">
        <f>IFERROR(O7/E7*100,0)</f>
        <v>9.67741935483871</v>
      </c>
    </row>
    <row r="8" spans="2:16" ht="15.75" customHeight="1">
      <c r="B8" s="358" t="s">
        <v>331</v>
      </c>
      <c r="C8" s="577">
        <f>'Sch.16,17,19'!Q23</f>
        <v>8.276E-2</v>
      </c>
      <c r="D8" s="577">
        <f ca="1">'Sch.16,17,19'!Q40</f>
        <v>9.2469999999999997E-2</v>
      </c>
      <c r="E8" s="523">
        <f>C8*600*$D31</f>
        <v>14.409718746203444</v>
      </c>
      <c r="F8" s="523">
        <f ca="1">D8*600*$D31</f>
        <v>16.100370861061293</v>
      </c>
      <c r="G8" s="523">
        <f t="shared" ref="G8:G19" ca="1" si="0">F8-E8</f>
        <v>1.6906521148578495</v>
      </c>
      <c r="H8" s="444">
        <f t="shared" ref="H8:H20" ca="1" si="1">IFERROR(G8/E8*100,0)</f>
        <v>11.732721121314659</v>
      </c>
      <c r="I8" s="650">
        <f ca="1">D8</f>
        <v>9.2469999999999997E-2</v>
      </c>
      <c r="J8" s="295">
        <f ca="1">'Sch.16,17,19'!Q64</f>
        <v>0.10072</v>
      </c>
      <c r="K8" s="523">
        <f ca="1">I8*600*$D31</f>
        <v>16.100370861061293</v>
      </c>
      <c r="L8" s="523">
        <f ca="1">J8*600*$D31</f>
        <v>17.53681575782517</v>
      </c>
      <c r="M8" s="523">
        <f t="shared" ref="M8:M19" ca="1" si="2">L8-K8</f>
        <v>1.4364448967638772</v>
      </c>
      <c r="N8" s="444">
        <f t="shared" ref="N8:N19" ca="1" si="3">IFERROR(M8/K8*100,0)</f>
        <v>8.9218124797231564</v>
      </c>
      <c r="O8" s="584">
        <f t="shared" ref="O8:O19" ca="1" si="4">L8-E8</f>
        <v>3.1270970116217267</v>
      </c>
      <c r="P8" s="415">
        <f t="shared" ref="P8:P19" ca="1" si="5">IFERROR(O8/E8*100,0)</f>
        <v>21.701304978250384</v>
      </c>
    </row>
    <row r="9" spans="2:16" ht="15.75" customHeight="1">
      <c r="B9" s="358" t="s">
        <v>329</v>
      </c>
      <c r="C9" s="577">
        <f>'Sch.16,17,19'!Q23</f>
        <v>8.276E-2</v>
      </c>
      <c r="D9" s="577">
        <f ca="1">'Sch.16,17,19'!Q41</f>
        <v>9.2469999999999997E-2</v>
      </c>
      <c r="E9" s="523">
        <f>C9*600*$D32</f>
        <v>35.246281253796553</v>
      </c>
      <c r="F9" s="523">
        <f ca="1">D9*600*$D32</f>
        <v>39.381629138938706</v>
      </c>
      <c r="G9" s="523">
        <f t="shared" ref="G9:G11" ca="1" si="6">F9-E9</f>
        <v>4.1353478851421528</v>
      </c>
      <c r="H9" s="444">
        <f t="shared" ref="H9:H11" ca="1" si="7">IFERROR(G9/E9*100,0)</f>
        <v>11.732721121314645</v>
      </c>
      <c r="I9" s="650">
        <f t="shared" ref="I9:I11" ca="1" si="8">D9</f>
        <v>9.2469999999999997E-2</v>
      </c>
      <c r="J9" s="295">
        <f ca="1">'Sch.16,17,19'!Q65</f>
        <v>0.10072</v>
      </c>
      <c r="K9" s="523">
        <f ca="1">I9*600*$D32</f>
        <v>39.381629138938706</v>
      </c>
      <c r="L9" s="523">
        <f ca="1">J9*600*$D32</f>
        <v>42.895184242174828</v>
      </c>
      <c r="M9" s="523">
        <f t="shared" ref="M9:M11" ca="1" si="9">L9-K9</f>
        <v>3.5135551032361221</v>
      </c>
      <c r="N9" s="444">
        <f t="shared" ref="N9:N11" ca="1" si="10">IFERROR(M9/K9*100,0)</f>
        <v>8.9218124797231493</v>
      </c>
      <c r="O9" s="584">
        <f t="shared" ref="O9:O11" ca="1" si="11">L9-E9</f>
        <v>7.6489029883782749</v>
      </c>
      <c r="P9" s="415">
        <f t="shared" ref="P9:P11" ca="1" si="12">IFERROR(O9/E9*100,0)</f>
        <v>21.701304978250359</v>
      </c>
    </row>
    <row r="10" spans="2:16" ht="15.75" customHeight="1">
      <c r="B10" s="358" t="s">
        <v>332</v>
      </c>
      <c r="C10" s="577">
        <f>'Sch.16,17,19'!Q24</f>
        <v>0.11198</v>
      </c>
      <c r="D10" s="577">
        <f ca="1">'Sch.16,17,19'!Q42</f>
        <v>0.10707999999999999</v>
      </c>
      <c r="E10" s="523">
        <f>C10*600*$D31</f>
        <v>19.497345398741686</v>
      </c>
      <c r="F10" s="523">
        <f ca="1">D10*600*$D31</f>
        <v>18.64418418733041</v>
      </c>
      <c r="G10" s="523">
        <f t="shared" ca="1" si="6"/>
        <v>-0.8531612114112761</v>
      </c>
      <c r="H10" s="444">
        <f t="shared" ca="1" si="7"/>
        <v>-4.3757813895338646</v>
      </c>
      <c r="I10" s="650">
        <f t="shared" ca="1" si="8"/>
        <v>0.10707999999999999</v>
      </c>
      <c r="J10" s="295">
        <f ca="1">'Sch.16,17,19'!Q66</f>
        <v>0.10072</v>
      </c>
      <c r="K10" s="523">
        <f ca="1">I10*600*$D31</f>
        <v>18.64418418733041</v>
      </c>
      <c r="L10" s="523">
        <f ca="1">J10*600*$D31</f>
        <v>17.53681575782517</v>
      </c>
      <c r="M10" s="523">
        <f t="shared" ca="1" si="9"/>
        <v>-1.1073684295052395</v>
      </c>
      <c r="N10" s="444">
        <f t="shared" ca="1" si="10"/>
        <v>-5.9394844975718915</v>
      </c>
      <c r="O10" s="584">
        <f t="shared" ca="1" si="11"/>
        <v>-1.9605296409165156</v>
      </c>
      <c r="P10" s="415">
        <f t="shared" ca="1" si="12"/>
        <v>-10.055367029826757</v>
      </c>
    </row>
    <row r="11" spans="2:16" ht="15.75" customHeight="1">
      <c r="B11" s="358" t="s">
        <v>330</v>
      </c>
      <c r="C11" s="577">
        <f>'Sch.16,17,19'!Q24</f>
        <v>0.11198</v>
      </c>
      <c r="D11" s="578">
        <f ca="1">'Sch.16,17,19'!Q43</f>
        <v>0.10707999999999999</v>
      </c>
      <c r="E11" s="523">
        <f>C11*600*$D32</f>
        <v>47.690654601258316</v>
      </c>
      <c r="F11" s="523">
        <f ca="1">D11*600*$D32</f>
        <v>45.603815812669581</v>
      </c>
      <c r="G11" s="523">
        <f t="shared" ca="1" si="6"/>
        <v>-2.0868387885887358</v>
      </c>
      <c r="H11" s="444">
        <f t="shared" ca="1" si="7"/>
        <v>-4.375781389533862</v>
      </c>
      <c r="I11" s="650">
        <f t="shared" ca="1" si="8"/>
        <v>0.10707999999999999</v>
      </c>
      <c r="J11" s="295">
        <f ca="1">'Sch.16,17,19'!Q67</f>
        <v>0.10072</v>
      </c>
      <c r="K11" s="523">
        <f ca="1">I11*600*$D32</f>
        <v>45.603815812669581</v>
      </c>
      <c r="L11" s="523">
        <f ca="1">J11*600*$D32</f>
        <v>42.895184242174828</v>
      </c>
      <c r="M11" s="523">
        <f t="shared" ca="1" si="9"/>
        <v>-2.7086315704947523</v>
      </c>
      <c r="N11" s="444">
        <f t="shared" ca="1" si="10"/>
        <v>-5.9394844975718994</v>
      </c>
      <c r="O11" s="584">
        <f t="shared" ca="1" si="11"/>
        <v>-4.7954703590834882</v>
      </c>
      <c r="P11" s="415">
        <f t="shared" ca="1" si="12"/>
        <v>-10.055367029826762</v>
      </c>
    </row>
    <row r="12" spans="2:16" ht="15.75" customHeight="1">
      <c r="B12" s="423" t="s">
        <v>561</v>
      </c>
      <c r="C12" s="579">
        <v>2</v>
      </c>
      <c r="D12" s="579">
        <f>C12</f>
        <v>2</v>
      </c>
      <c r="E12" s="522">
        <f>C12</f>
        <v>2</v>
      </c>
      <c r="F12" s="522">
        <f>D12</f>
        <v>2</v>
      </c>
      <c r="G12" s="522">
        <f t="shared" si="0"/>
        <v>0</v>
      </c>
      <c r="H12" s="448">
        <f t="shared" si="1"/>
        <v>0</v>
      </c>
      <c r="I12" s="649">
        <f t="shared" ref="I12:I19" si="13">D12</f>
        <v>2</v>
      </c>
      <c r="J12" s="472">
        <f>I12</f>
        <v>2</v>
      </c>
      <c r="K12" s="522">
        <f>I12</f>
        <v>2</v>
      </c>
      <c r="L12" s="522">
        <f>J12</f>
        <v>2</v>
      </c>
      <c r="M12" s="522">
        <f t="shared" si="2"/>
        <v>0</v>
      </c>
      <c r="N12" s="448">
        <f t="shared" si="3"/>
        <v>0</v>
      </c>
      <c r="O12" s="583">
        <f t="shared" si="4"/>
        <v>0</v>
      </c>
      <c r="P12" s="422">
        <f t="shared" si="5"/>
        <v>0</v>
      </c>
    </row>
    <row r="13" spans="2:16" ht="15.75" customHeight="1">
      <c r="B13" s="413" t="s">
        <v>562</v>
      </c>
      <c r="C13" s="580">
        <v>0</v>
      </c>
      <c r="D13" s="580">
        <f>Summary!U8</f>
        <v>1E-3</v>
      </c>
      <c r="E13" s="523">
        <f>C13*1200</f>
        <v>0</v>
      </c>
      <c r="F13" s="523">
        <f>D13*1200</f>
        <v>1.2</v>
      </c>
      <c r="G13" s="523">
        <f t="shared" si="0"/>
        <v>1.2</v>
      </c>
      <c r="H13" s="444">
        <f t="shared" si="1"/>
        <v>0</v>
      </c>
      <c r="I13" s="650">
        <f t="shared" si="13"/>
        <v>1E-3</v>
      </c>
      <c r="J13" s="295">
        <f t="shared" ref="J13:J19" si="14">I13</f>
        <v>1E-3</v>
      </c>
      <c r="K13" s="523">
        <f>I13*1200</f>
        <v>1.2</v>
      </c>
      <c r="L13" s="523">
        <f>J13*1200</f>
        <v>1.2</v>
      </c>
      <c r="M13" s="523">
        <f t="shared" si="2"/>
        <v>0</v>
      </c>
      <c r="N13" s="444">
        <f t="shared" si="3"/>
        <v>0</v>
      </c>
      <c r="O13" s="584">
        <f t="shared" si="4"/>
        <v>1.2</v>
      </c>
      <c r="P13" s="415">
        <f t="shared" si="5"/>
        <v>0</v>
      </c>
    </row>
    <row r="14" spans="2:16" ht="15.75" customHeight="1">
      <c r="B14" s="413" t="s">
        <v>568</v>
      </c>
      <c r="C14" s="580">
        <v>-9.6000000000000002E-4</v>
      </c>
      <c r="D14" s="580">
        <f t="shared" ref="D14:D19" si="15">C14</f>
        <v>-9.6000000000000002E-4</v>
      </c>
      <c r="E14" s="523">
        <f t="shared" ref="E14:E19" si="16">C14*1200</f>
        <v>-1.1520000000000001</v>
      </c>
      <c r="F14" s="523">
        <f t="shared" ref="F14:F19" si="17">D14*1200</f>
        <v>-1.1520000000000001</v>
      </c>
      <c r="G14" s="523">
        <f t="shared" si="0"/>
        <v>0</v>
      </c>
      <c r="H14" s="444">
        <f t="shared" si="1"/>
        <v>0</v>
      </c>
      <c r="I14" s="650">
        <f t="shared" si="13"/>
        <v>-9.6000000000000002E-4</v>
      </c>
      <c r="J14" s="295">
        <f t="shared" si="14"/>
        <v>-9.6000000000000002E-4</v>
      </c>
      <c r="K14" s="523">
        <f t="shared" ref="K14:K19" si="18">I14*1200</f>
        <v>-1.1520000000000001</v>
      </c>
      <c r="L14" s="523">
        <f t="shared" ref="L14:L19" si="19">J14*1200</f>
        <v>-1.1520000000000001</v>
      </c>
      <c r="M14" s="523">
        <f t="shared" si="2"/>
        <v>0</v>
      </c>
      <c r="N14" s="444">
        <f t="shared" si="3"/>
        <v>0</v>
      </c>
      <c r="O14" s="584">
        <f t="shared" si="4"/>
        <v>0</v>
      </c>
      <c r="P14" s="415">
        <f t="shared" si="5"/>
        <v>0</v>
      </c>
    </row>
    <row r="15" spans="2:16" ht="15.75" customHeight="1">
      <c r="B15" s="413" t="s">
        <v>567</v>
      </c>
      <c r="C15" s="580">
        <v>3.1900000000000001E-3</v>
      </c>
      <c r="D15" s="580">
        <f t="shared" si="15"/>
        <v>3.1900000000000001E-3</v>
      </c>
      <c r="E15" s="523">
        <f t="shared" si="16"/>
        <v>3.8280000000000003</v>
      </c>
      <c r="F15" s="523">
        <f t="shared" si="17"/>
        <v>3.8280000000000003</v>
      </c>
      <c r="G15" s="523">
        <f t="shared" si="0"/>
        <v>0</v>
      </c>
      <c r="H15" s="444">
        <f t="shared" si="1"/>
        <v>0</v>
      </c>
      <c r="I15" s="650">
        <f t="shared" si="13"/>
        <v>3.1900000000000001E-3</v>
      </c>
      <c r="J15" s="295">
        <f t="shared" si="14"/>
        <v>3.1900000000000001E-3</v>
      </c>
      <c r="K15" s="523">
        <f t="shared" si="18"/>
        <v>3.8280000000000003</v>
      </c>
      <c r="L15" s="523">
        <f t="shared" si="19"/>
        <v>3.8280000000000003</v>
      </c>
      <c r="M15" s="523">
        <f t="shared" si="2"/>
        <v>0</v>
      </c>
      <c r="N15" s="444">
        <f t="shared" si="3"/>
        <v>0</v>
      </c>
      <c r="O15" s="584">
        <f t="shared" si="4"/>
        <v>0</v>
      </c>
      <c r="P15" s="415">
        <f t="shared" si="5"/>
        <v>0</v>
      </c>
    </row>
    <row r="16" spans="2:16" ht="15.75" customHeight="1">
      <c r="B16" s="413" t="s">
        <v>566</v>
      </c>
      <c r="C16" s="580">
        <v>-7.9100000000000004E-3</v>
      </c>
      <c r="D16" s="580">
        <f t="shared" si="15"/>
        <v>-7.9100000000000004E-3</v>
      </c>
      <c r="E16" s="523">
        <f t="shared" si="16"/>
        <v>-9.4920000000000009</v>
      </c>
      <c r="F16" s="523">
        <f t="shared" si="17"/>
        <v>-9.4920000000000009</v>
      </c>
      <c r="G16" s="523">
        <f t="shared" si="0"/>
        <v>0</v>
      </c>
      <c r="H16" s="444">
        <f t="shared" si="1"/>
        <v>0</v>
      </c>
      <c r="I16" s="650">
        <f t="shared" si="13"/>
        <v>-7.9100000000000004E-3</v>
      </c>
      <c r="J16" s="295">
        <f t="shared" si="14"/>
        <v>-7.9100000000000004E-3</v>
      </c>
      <c r="K16" s="523">
        <f t="shared" si="18"/>
        <v>-9.4920000000000009</v>
      </c>
      <c r="L16" s="523">
        <f t="shared" si="19"/>
        <v>-9.4920000000000009</v>
      </c>
      <c r="M16" s="523">
        <f t="shared" si="2"/>
        <v>0</v>
      </c>
      <c r="N16" s="444">
        <f t="shared" si="3"/>
        <v>0</v>
      </c>
      <c r="O16" s="584">
        <f t="shared" si="4"/>
        <v>0</v>
      </c>
      <c r="P16" s="415">
        <f t="shared" si="5"/>
        <v>0</v>
      </c>
    </row>
    <row r="17" spans="2:16" ht="15.75" customHeight="1">
      <c r="B17" s="413" t="s">
        <v>565</v>
      </c>
      <c r="C17" s="580">
        <v>8.4000000000000003E-4</v>
      </c>
      <c r="D17" s="580">
        <f t="shared" si="15"/>
        <v>8.4000000000000003E-4</v>
      </c>
      <c r="E17" s="523">
        <f t="shared" si="16"/>
        <v>1.008</v>
      </c>
      <c r="F17" s="523">
        <f t="shared" si="17"/>
        <v>1.008</v>
      </c>
      <c r="G17" s="523">
        <f t="shared" si="0"/>
        <v>0</v>
      </c>
      <c r="H17" s="444">
        <f t="shared" si="1"/>
        <v>0</v>
      </c>
      <c r="I17" s="650">
        <f t="shared" si="13"/>
        <v>8.4000000000000003E-4</v>
      </c>
      <c r="J17" s="295">
        <f t="shared" si="14"/>
        <v>8.4000000000000003E-4</v>
      </c>
      <c r="K17" s="523">
        <f t="shared" si="18"/>
        <v>1.008</v>
      </c>
      <c r="L17" s="523">
        <f t="shared" si="19"/>
        <v>1.008</v>
      </c>
      <c r="M17" s="523">
        <f t="shared" si="2"/>
        <v>0</v>
      </c>
      <c r="N17" s="444">
        <f t="shared" si="3"/>
        <v>0</v>
      </c>
      <c r="O17" s="584">
        <f t="shared" si="4"/>
        <v>0</v>
      </c>
      <c r="P17" s="415">
        <f t="shared" si="5"/>
        <v>0</v>
      </c>
    </row>
    <row r="18" spans="2:16" ht="15.75" customHeight="1">
      <c r="B18" s="413" t="s">
        <v>564</v>
      </c>
      <c r="C18" s="580">
        <v>5.1399999999999996E-3</v>
      </c>
      <c r="D18" s="580">
        <f t="shared" si="15"/>
        <v>5.1399999999999996E-3</v>
      </c>
      <c r="E18" s="523">
        <f t="shared" si="16"/>
        <v>6.1679999999999993</v>
      </c>
      <c r="F18" s="523">
        <f t="shared" si="17"/>
        <v>6.1679999999999993</v>
      </c>
      <c r="G18" s="523">
        <f t="shared" si="0"/>
        <v>0</v>
      </c>
      <c r="H18" s="444">
        <f t="shared" si="1"/>
        <v>0</v>
      </c>
      <c r="I18" s="650">
        <f t="shared" si="13"/>
        <v>5.1399999999999996E-3</v>
      </c>
      <c r="J18" s="295">
        <f t="shared" si="14"/>
        <v>5.1399999999999996E-3</v>
      </c>
      <c r="K18" s="523">
        <f t="shared" si="18"/>
        <v>6.1679999999999993</v>
      </c>
      <c r="L18" s="523">
        <f t="shared" si="19"/>
        <v>6.1679999999999993</v>
      </c>
      <c r="M18" s="523">
        <f t="shared" si="2"/>
        <v>0</v>
      </c>
      <c r="N18" s="444">
        <f t="shared" si="3"/>
        <v>0</v>
      </c>
      <c r="O18" s="584">
        <f t="shared" si="4"/>
        <v>0</v>
      </c>
      <c r="P18" s="415">
        <f t="shared" si="5"/>
        <v>0</v>
      </c>
    </row>
    <row r="19" spans="2:16" ht="15.75" customHeight="1">
      <c r="B19" s="412" t="s">
        <v>563</v>
      </c>
      <c r="C19" s="581">
        <v>-3.5899999999999999E-3</v>
      </c>
      <c r="D19" s="581">
        <f t="shared" si="15"/>
        <v>-3.5899999999999999E-3</v>
      </c>
      <c r="E19" s="582">
        <f t="shared" si="16"/>
        <v>-4.3079999999999998</v>
      </c>
      <c r="F19" s="582">
        <f t="shared" si="17"/>
        <v>-4.3079999999999998</v>
      </c>
      <c r="G19" s="582">
        <f t="shared" si="0"/>
        <v>0</v>
      </c>
      <c r="H19" s="445">
        <f t="shared" si="1"/>
        <v>0</v>
      </c>
      <c r="I19" s="651">
        <f t="shared" si="13"/>
        <v>-3.5899999999999999E-3</v>
      </c>
      <c r="J19" s="473">
        <f t="shared" si="14"/>
        <v>-3.5899999999999999E-3</v>
      </c>
      <c r="K19" s="582">
        <f t="shared" si="18"/>
        <v>-4.3079999999999998</v>
      </c>
      <c r="L19" s="582">
        <f t="shared" si="19"/>
        <v>-4.3079999999999998</v>
      </c>
      <c r="M19" s="582">
        <f t="shared" si="2"/>
        <v>0</v>
      </c>
      <c r="N19" s="445">
        <f t="shared" si="3"/>
        <v>0</v>
      </c>
      <c r="O19" s="585">
        <f t="shared" si="4"/>
        <v>0</v>
      </c>
      <c r="P19" s="586">
        <f t="shared" si="5"/>
        <v>0</v>
      </c>
    </row>
    <row r="20" spans="2:16" ht="15.75" customHeight="1">
      <c r="B20" s="413" t="s">
        <v>0</v>
      </c>
      <c r="C20" s="580"/>
      <c r="D20" s="580"/>
      <c r="E20" s="523">
        <f>SUM(E7:E19)</f>
        <v>122.64600000000002</v>
      </c>
      <c r="F20" s="523">
        <f t="shared" ref="F20:G20" ca="1" si="20">SUM(F7:F19)</f>
        <v>127.482</v>
      </c>
      <c r="G20" s="523">
        <f t="shared" ca="1" si="20"/>
        <v>4.8359999999999905</v>
      </c>
      <c r="H20" s="444">
        <f t="shared" ca="1" si="1"/>
        <v>3.9430556235017775</v>
      </c>
      <c r="I20" s="650"/>
      <c r="J20" s="295"/>
      <c r="K20" s="523">
        <f ca="1">SUM(K7:K19)</f>
        <v>127.482</v>
      </c>
      <c r="L20" s="523">
        <f ca="1">SUM(L7:L19)</f>
        <v>128.61600000000001</v>
      </c>
      <c r="M20" s="523">
        <f ca="1">SUM(M7:M19)</f>
        <v>1.1340000000000074</v>
      </c>
      <c r="N20" s="444">
        <f ca="1">IFERROR(M20/K20*100,0)</f>
        <v>0.88953734644891624</v>
      </c>
      <c r="O20" s="584">
        <f ca="1">L20-E20</f>
        <v>5.9699999999999989</v>
      </c>
      <c r="P20" s="415">
        <f ca="1">IFERROR(O20/E20*100,0)</f>
        <v>4.8676679223129966</v>
      </c>
    </row>
    <row r="21" spans="2:16" ht="15.75" customHeight="1">
      <c r="B21" s="423"/>
      <c r="C21" s="568"/>
      <c r="D21" s="568"/>
      <c r="E21" s="570"/>
      <c r="F21" s="570"/>
      <c r="G21" s="570"/>
      <c r="H21" s="457"/>
      <c r="I21" s="571"/>
      <c r="J21" s="571"/>
      <c r="K21" s="570"/>
      <c r="L21" s="570"/>
      <c r="M21" s="570"/>
      <c r="N21" s="454"/>
      <c r="O21" s="570"/>
      <c r="P21" s="575"/>
    </row>
    <row r="22" spans="2:16" ht="15.75" customHeight="1">
      <c r="B22" s="413" t="s">
        <v>570</v>
      </c>
      <c r="C22" s="569"/>
      <c r="D22" s="569"/>
      <c r="E22" s="213"/>
      <c r="F22" s="213"/>
      <c r="G22" s="213"/>
      <c r="H22" s="458"/>
      <c r="I22" s="224"/>
      <c r="J22" s="224"/>
      <c r="K22" s="213"/>
      <c r="L22" s="213"/>
      <c r="M22" s="213"/>
      <c r="N22" s="455"/>
      <c r="O22" s="268"/>
      <c r="P22" s="574"/>
    </row>
    <row r="23" spans="2:16" ht="15.75" customHeight="1">
      <c r="B23" s="413"/>
      <c r="C23" s="569"/>
      <c r="D23" s="569"/>
      <c r="E23" s="213"/>
      <c r="F23" s="213"/>
      <c r="G23" s="213"/>
      <c r="H23" s="458"/>
      <c r="I23" s="224"/>
      <c r="J23" s="224"/>
      <c r="K23" s="213"/>
      <c r="L23" s="213"/>
      <c r="M23" s="213"/>
      <c r="N23" s="455"/>
      <c r="O23" s="268"/>
      <c r="P23" s="574"/>
    </row>
    <row r="24" spans="2:16" ht="15.75" customHeight="1">
      <c r="B24" s="525" t="s">
        <v>559</v>
      </c>
      <c r="C24" s="397"/>
      <c r="E24" s="96"/>
      <c r="F24" s="96"/>
      <c r="G24" s="96"/>
      <c r="H24" s="221"/>
      <c r="I24" s="455"/>
      <c r="J24" s="96"/>
      <c r="K24" s="96"/>
      <c r="L24" s="96"/>
      <c r="P24" s="4"/>
    </row>
    <row r="25" spans="2:16" ht="15.75" customHeight="1">
      <c r="B25" s="413" t="s">
        <v>573</v>
      </c>
      <c r="C25" s="397"/>
      <c r="E25" s="96"/>
      <c r="F25" s="96"/>
      <c r="G25" s="96"/>
      <c r="H25" s="221"/>
      <c r="I25" s="455"/>
      <c r="J25" s="96"/>
      <c r="K25" s="96"/>
      <c r="L25" s="96"/>
      <c r="P25" s="4"/>
    </row>
    <row r="26" spans="2:16" ht="15.75" customHeight="1">
      <c r="B26" s="413" t="s">
        <v>600</v>
      </c>
      <c r="C26" s="397"/>
      <c r="E26" s="96"/>
      <c r="F26" s="96"/>
      <c r="G26" s="96"/>
      <c r="H26" s="221"/>
      <c r="I26" s="455"/>
      <c r="J26" s="96"/>
      <c r="K26" s="96"/>
      <c r="L26" s="96"/>
      <c r="P26" s="4"/>
    </row>
    <row r="27" spans="2:16" ht="15.75" customHeight="1">
      <c r="B27" s="413" t="s">
        <v>601</v>
      </c>
      <c r="C27" s="397"/>
      <c r="E27" s="96"/>
      <c r="F27" s="96"/>
      <c r="G27" s="96"/>
      <c r="H27" s="221"/>
      <c r="I27" s="455"/>
      <c r="J27" s="96"/>
      <c r="K27" s="96"/>
      <c r="L27" s="96"/>
      <c r="P27" s="4"/>
    </row>
    <row r="28" spans="2:16" ht="15.75" customHeight="1">
      <c r="B28" s="587" t="s">
        <v>574</v>
      </c>
      <c r="C28" s="397"/>
      <c r="E28" s="96"/>
      <c r="F28" s="96"/>
      <c r="G28" s="96"/>
      <c r="H28" s="221"/>
      <c r="I28" s="455"/>
      <c r="J28" s="96"/>
      <c r="K28" s="96"/>
      <c r="L28" s="96"/>
      <c r="P28" s="4"/>
    </row>
    <row r="29" spans="2:16" ht="15.75" customHeight="1">
      <c r="B29" s="588" t="s">
        <v>575</v>
      </c>
      <c r="C29" s="567"/>
      <c r="D29" s="346"/>
      <c r="E29" s="589"/>
      <c r="F29" s="298"/>
      <c r="G29" s="298"/>
      <c r="H29" s="267"/>
      <c r="I29" s="456"/>
      <c r="J29" s="298"/>
      <c r="K29" s="298"/>
      <c r="L29" s="298"/>
      <c r="M29" s="565"/>
      <c r="N29" s="346"/>
      <c r="O29" s="346"/>
      <c r="P29" s="566"/>
    </row>
    <row r="30" spans="2:16" ht="15.75" customHeight="1"/>
    <row r="31" spans="2:16" ht="15.75" customHeight="1">
      <c r="C31" s="423" t="s">
        <v>571</v>
      </c>
      <c r="D31" s="590">
        <f>('Sch.16,17,19'!Q14+'Sch.16,17,19'!Q16)/('Sch.16,17,19'!Q14+'Sch.16,17,19'!Q15+'Sch.16,17,19'!Q16+'Sch.16,17,19'!Q17)</f>
        <v>0.29019088823512657</v>
      </c>
    </row>
    <row r="32" spans="2:16" ht="15.75" customHeight="1">
      <c r="C32" s="412" t="s">
        <v>572</v>
      </c>
      <c r="D32" s="591">
        <f>('Sch.16,17,19'!Q15+'Sch.16,17,19'!Q17)/('Sch.16,17,19'!Q14+'Sch.16,17,19'!Q15+'Sch.16,17,19'!Q16+'Sch.16,17,19'!Q17)</f>
        <v>0.70980911176487338</v>
      </c>
    </row>
    <row r="33" spans="2:3" ht="15.75" customHeight="1"/>
    <row r="34" spans="2:3" ht="15.75" customHeight="1">
      <c r="B34" s="397"/>
      <c r="C34" s="397"/>
    </row>
    <row r="35" spans="2:3" ht="15.75" customHeight="1">
      <c r="B35" s="397"/>
      <c r="C35" s="397"/>
    </row>
    <row r="36" spans="2:3" ht="15.75" customHeight="1">
      <c r="B36" s="397"/>
      <c r="C36" s="397"/>
    </row>
    <row r="37" spans="2:3" ht="15.75" customHeight="1">
      <c r="B37" s="397"/>
      <c r="C37" s="397"/>
    </row>
    <row r="38" spans="2:3">
      <c r="B38" s="397"/>
      <c r="C38" s="397"/>
    </row>
    <row r="39" spans="2:3">
      <c r="B39" s="397"/>
      <c r="C39" s="397"/>
    </row>
    <row r="40" spans="2:3">
      <c r="B40" s="397"/>
      <c r="C40" s="397"/>
    </row>
    <row r="41" spans="2:3">
      <c r="B41" s="397"/>
      <c r="C41" s="397"/>
    </row>
    <row r="42" spans="2:3">
      <c r="B42" s="397"/>
      <c r="C42" s="397"/>
    </row>
    <row r="43" spans="2:3">
      <c r="B43" s="397"/>
      <c r="C43" s="397"/>
    </row>
    <row r="44" spans="2:3">
      <c r="B44" s="397"/>
      <c r="C44" s="397"/>
    </row>
    <row r="45" spans="2:3">
      <c r="B45" s="397"/>
      <c r="C45" s="397"/>
    </row>
    <row r="46" spans="2:3">
      <c r="B46" s="397"/>
      <c r="C46" s="397"/>
    </row>
    <row r="47" spans="2:3">
      <c r="B47" s="397"/>
      <c r="C47" s="397"/>
    </row>
    <row r="48" spans="2:3">
      <c r="B48" s="397"/>
      <c r="C48" s="397"/>
    </row>
    <row r="49" spans="2:3">
      <c r="B49" s="397"/>
      <c r="C49" s="39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503A-FE6B-46C1-BA23-E50A99FD3151}">
  <sheetPr>
    <pageSetUpPr fitToPage="1"/>
  </sheetPr>
  <dimension ref="A1:AH157"/>
  <sheetViews>
    <sheetView showGridLines="0" zoomScale="70" zoomScaleNormal="70" zoomScaleSheetLayoutView="75" workbookViewId="0">
      <pane ySplit="7" topLeftCell="A59" activePane="bottomLeft" state="frozen"/>
      <selection activeCell="C2" sqref="C2"/>
      <selection pane="bottomLeft" activeCell="C2" sqref="C2"/>
    </sheetView>
  </sheetViews>
  <sheetFormatPr defaultRowHeight="15.75"/>
  <cols>
    <col min="1" max="1" width="15.625" style="93" customWidth="1"/>
    <col min="2" max="2" width="11.75" style="93" bestFit="1" customWidth="1"/>
    <col min="3" max="3" width="7.5" style="93" bestFit="1" customWidth="1"/>
    <col min="4" max="7" width="10.25" style="93" customWidth="1"/>
    <col min="8" max="11" width="10.25" style="93" hidden="1" customWidth="1"/>
    <col min="12" max="12" width="21.375" style="110" bestFit="1" customWidth="1"/>
    <col min="13" max="13" width="7.125" style="110" bestFit="1" customWidth="1"/>
    <col min="14" max="14" width="17.75" style="110" bestFit="1" customWidth="1"/>
    <col min="15" max="15" width="7.625" style="110" bestFit="1" customWidth="1"/>
    <col min="16" max="16" width="35.125" style="110" bestFit="1" customWidth="1"/>
    <col min="17" max="17" width="13.375" style="111" bestFit="1" customWidth="1"/>
    <col min="18" max="24" width="17.125" customWidth="1"/>
    <col min="25" max="25" width="15.125" customWidth="1"/>
    <col min="26" max="26" width="9.375" customWidth="1"/>
    <col min="27" max="27" width="11.25" bestFit="1" customWidth="1"/>
    <col min="28" max="34" width="12.125" customWidth="1"/>
  </cols>
  <sheetData>
    <row r="1" spans="1:34">
      <c r="A1" s="326" t="s">
        <v>270</v>
      </c>
      <c r="B1" s="327"/>
      <c r="C1" s="327"/>
      <c r="D1" s="327"/>
      <c r="E1" s="327"/>
      <c r="F1" s="327"/>
      <c r="G1" s="287"/>
      <c r="H1" s="327"/>
      <c r="I1" s="327"/>
      <c r="J1" s="327"/>
      <c r="K1" s="287"/>
    </row>
    <row r="2" spans="1:34">
      <c r="A2" s="329" t="s">
        <v>357</v>
      </c>
      <c r="B2" s="288"/>
      <c r="C2" s="288"/>
      <c r="D2" s="288"/>
      <c r="E2" s="288"/>
      <c r="F2" s="288"/>
      <c r="G2" s="343"/>
      <c r="H2" s="288"/>
      <c r="I2" s="288"/>
      <c r="J2" s="288"/>
      <c r="K2" s="343"/>
    </row>
    <row r="3" spans="1:34">
      <c r="A3" s="329" t="s">
        <v>442</v>
      </c>
      <c r="B3" s="288"/>
      <c r="C3" s="288"/>
      <c r="D3" s="331"/>
      <c r="E3" s="331"/>
      <c r="F3" s="331"/>
      <c r="G3" s="341"/>
      <c r="H3" s="331"/>
      <c r="I3" s="331"/>
      <c r="J3" s="331"/>
      <c r="K3" s="341"/>
    </row>
    <row r="4" spans="1:34">
      <c r="A4" s="378"/>
      <c r="B4" s="378"/>
      <c r="C4" s="378"/>
      <c r="D4" s="154" t="s">
        <v>552</v>
      </c>
      <c r="E4" s="154"/>
      <c r="F4" s="154"/>
      <c r="G4" s="155"/>
      <c r="H4" s="154"/>
      <c r="I4" s="154"/>
      <c r="J4" s="154"/>
      <c r="K4" s="155"/>
      <c r="L4" s="207" t="s">
        <v>355</v>
      </c>
      <c r="M4" s="198"/>
      <c r="N4" s="198"/>
      <c r="O4" s="198"/>
      <c r="P4" s="198"/>
      <c r="Q4" s="200"/>
    </row>
    <row r="5" spans="1:34">
      <c r="A5" s="94"/>
      <c r="B5" s="94"/>
      <c r="C5" s="47"/>
      <c r="D5" s="328" t="s">
        <v>435</v>
      </c>
      <c r="E5" s="328"/>
      <c r="F5" s="286"/>
      <c r="G5" s="170"/>
      <c r="H5" s="328" t="s">
        <v>437</v>
      </c>
      <c r="I5" s="328"/>
      <c r="J5" s="286"/>
      <c r="K5" s="170"/>
      <c r="L5" s="222" t="s">
        <v>357</v>
      </c>
      <c r="M5" s="201"/>
      <c r="N5" s="201"/>
      <c r="O5" s="201"/>
      <c r="P5" s="201"/>
      <c r="Q5" s="217"/>
    </row>
    <row r="6" spans="1:34">
      <c r="A6" s="94" t="s">
        <v>448</v>
      </c>
      <c r="B6" s="94"/>
      <c r="C6" s="94"/>
      <c r="D6" s="546"/>
      <c r="E6" s="334"/>
      <c r="F6" s="334"/>
      <c r="G6" s="167" t="s">
        <v>428</v>
      </c>
      <c r="H6" s="546"/>
      <c r="I6" s="334"/>
      <c r="J6" s="334"/>
      <c r="K6" s="167" t="s">
        <v>428</v>
      </c>
      <c r="L6" s="202" t="s">
        <v>342</v>
      </c>
      <c r="M6" s="203"/>
      <c r="N6" s="204"/>
      <c r="O6" s="204"/>
      <c r="P6" s="205"/>
      <c r="Q6" s="206"/>
    </row>
    <row r="7" spans="1:34">
      <c r="A7" s="283" t="s">
        <v>453</v>
      </c>
      <c r="B7" s="283" t="s">
        <v>447</v>
      </c>
      <c r="C7" s="211" t="s">
        <v>4</v>
      </c>
      <c r="D7" s="547" t="s">
        <v>341</v>
      </c>
      <c r="E7" s="164" t="s">
        <v>346</v>
      </c>
      <c r="F7" s="164" t="s">
        <v>348</v>
      </c>
      <c r="G7" s="164" t="s">
        <v>348</v>
      </c>
      <c r="H7" s="547" t="s">
        <v>341</v>
      </c>
      <c r="I7" s="164" t="s">
        <v>346</v>
      </c>
      <c r="J7" s="164" t="s">
        <v>348</v>
      </c>
      <c r="K7" s="165" t="s">
        <v>348</v>
      </c>
      <c r="L7" s="166"/>
      <c r="M7" s="166"/>
      <c r="N7" s="166" t="s">
        <v>146</v>
      </c>
      <c r="O7" s="166" t="s">
        <v>130</v>
      </c>
      <c r="P7" s="99" t="s">
        <v>336</v>
      </c>
      <c r="Q7" s="367" t="s">
        <v>143</v>
      </c>
    </row>
    <row r="8" spans="1:34">
      <c r="A8" s="174" t="s">
        <v>449</v>
      </c>
      <c r="B8" s="174" t="s">
        <v>458</v>
      </c>
      <c r="C8" s="94">
        <v>0</v>
      </c>
      <c r="D8" s="214">
        <f>Q$19+IF(C8&lt;=600,C8*Q$23,600*Q$23+(C8-600)*Q$24)</f>
        <v>7.75</v>
      </c>
      <c r="E8" s="214">
        <f t="shared" ref="E8:E28" ca="1" si="0">Q$35+IF(C8&lt;=600,C8*Q$40,600*Q$40+(C8-600)*Q$42)</f>
        <v>8.5</v>
      </c>
      <c r="F8" s="214">
        <f ca="1">E8-D8</f>
        <v>0.75</v>
      </c>
      <c r="G8" s="448">
        <f ca="1">F8/D8*100</f>
        <v>9.67741935483871</v>
      </c>
      <c r="H8" s="266">
        <f ca="1">E8</f>
        <v>8.5</v>
      </c>
      <c r="I8" s="214">
        <f t="shared" ref="I8:I28" ca="1" si="1">Q$59+IF(C8&lt;=600,C8*Q$64,600*Q$64+(C8-600)*Q$66)</f>
        <v>8.5</v>
      </c>
      <c r="J8" s="214">
        <f ca="1">I8-H8</f>
        <v>0</v>
      </c>
      <c r="K8" s="448">
        <f ca="1">J8/H8*100</f>
        <v>0</v>
      </c>
      <c r="L8" s="208" t="s">
        <v>154</v>
      </c>
      <c r="M8" s="98" t="s">
        <v>337</v>
      </c>
      <c r="N8" s="97" t="s">
        <v>356</v>
      </c>
      <c r="O8" s="97" t="s">
        <v>136</v>
      </c>
      <c r="P8" s="97" t="s">
        <v>353</v>
      </c>
      <c r="Q8" s="97">
        <f>('Normalized Units'!I7-Q10-Q11)*R8/(R8+R9)</f>
        <v>1074260.9827545122</v>
      </c>
      <c r="R8" s="260">
        <f>109201-R9</f>
        <v>88346</v>
      </c>
    </row>
    <row r="9" spans="1:34">
      <c r="A9" s="174" t="s">
        <v>449</v>
      </c>
      <c r="B9" s="174" t="s">
        <v>458</v>
      </c>
      <c r="C9" s="94">
        <v>50</v>
      </c>
      <c r="D9" s="94">
        <f t="shared" ref="D9:D28" si="2">Q$19+IF(C9&lt;=600,C9*Q$23,600*Q$23+(C9-600)*Q$24)</f>
        <v>11.888</v>
      </c>
      <c r="E9" s="94">
        <f t="shared" ca="1" si="0"/>
        <v>13.1235</v>
      </c>
      <c r="F9" s="94">
        <f t="shared" ref="F9:F28" ca="1" si="3">E9-D9</f>
        <v>1.2355</v>
      </c>
      <c r="G9" s="444">
        <f t="shared" ref="G9:G28" ca="1" si="4">F9/D9*100</f>
        <v>10.392833109017499</v>
      </c>
      <c r="H9" s="221">
        <f t="shared" ref="H9:H28" ca="1" si="5">E9</f>
        <v>13.1235</v>
      </c>
      <c r="I9" s="94">
        <f t="shared" ca="1" si="1"/>
        <v>13.536000000000001</v>
      </c>
      <c r="J9" s="94">
        <f t="shared" ref="J9:J28" ca="1" si="6">I9-H9</f>
        <v>0.41250000000000142</v>
      </c>
      <c r="K9" s="444">
        <f t="shared" ref="K9:K28" ca="1" si="7">J9/H9*100</f>
        <v>3.1432163675848779</v>
      </c>
      <c r="L9" s="184" t="s">
        <v>154</v>
      </c>
      <c r="M9" s="57" t="s">
        <v>337</v>
      </c>
      <c r="N9" s="55" t="s">
        <v>356</v>
      </c>
      <c r="O9" s="55" t="s">
        <v>136</v>
      </c>
      <c r="P9" s="55" t="s">
        <v>354</v>
      </c>
      <c r="Q9" s="55">
        <f>('Normalized Units'!I7-Q10-Q11)*R9/(R8+R9)</f>
        <v>253590.57337452009</v>
      </c>
      <c r="R9" s="260">
        <v>20855</v>
      </c>
      <c r="U9" s="522"/>
      <c r="V9" s="609" t="s">
        <v>381</v>
      </c>
      <c r="W9" s="470"/>
      <c r="X9" s="3"/>
      <c r="Z9" s="290" t="s">
        <v>546</v>
      </c>
      <c r="AA9" s="154"/>
      <c r="AB9" s="328"/>
      <c r="AC9" s="328"/>
      <c r="AD9" s="328"/>
      <c r="AE9" s="170"/>
      <c r="AF9" s="328"/>
      <c r="AG9" s="218" t="s">
        <v>547</v>
      </c>
      <c r="AH9" s="539"/>
    </row>
    <row r="10" spans="1:34">
      <c r="A10" s="174" t="s">
        <v>449</v>
      </c>
      <c r="B10" s="174" t="s">
        <v>458</v>
      </c>
      <c r="C10" s="94">
        <v>100</v>
      </c>
      <c r="D10" s="94">
        <f t="shared" si="2"/>
        <v>16.026</v>
      </c>
      <c r="E10" s="94">
        <f t="shared" ca="1" si="0"/>
        <v>17.747</v>
      </c>
      <c r="F10" s="94">
        <f t="shared" ca="1" si="3"/>
        <v>1.7210000000000001</v>
      </c>
      <c r="G10" s="444">
        <f t="shared" ca="1" si="4"/>
        <v>10.7387994508923</v>
      </c>
      <c r="H10" s="221">
        <f t="shared" ca="1" si="5"/>
        <v>17.747</v>
      </c>
      <c r="I10" s="94">
        <f t="shared" ca="1" si="1"/>
        <v>18.572000000000003</v>
      </c>
      <c r="J10" s="94">
        <f t="shared" ca="1" si="6"/>
        <v>0.82500000000000284</v>
      </c>
      <c r="K10" s="444">
        <f t="shared" ca="1" si="7"/>
        <v>4.6486730151575077</v>
      </c>
      <c r="L10" s="184" t="s">
        <v>154</v>
      </c>
      <c r="M10" s="57" t="s">
        <v>337</v>
      </c>
      <c r="N10" s="55" t="s">
        <v>356</v>
      </c>
      <c r="O10" s="55" t="s">
        <v>137</v>
      </c>
      <c r="P10" s="55" t="s">
        <v>353</v>
      </c>
      <c r="Q10" s="94">
        <v>1026.7019354838708</v>
      </c>
      <c r="U10" s="523"/>
      <c r="V10" s="525" t="s">
        <v>382</v>
      </c>
      <c r="W10" s="524"/>
      <c r="X10" s="4"/>
      <c r="Z10" s="378"/>
      <c r="AA10" s="378"/>
      <c r="AB10" s="378"/>
      <c r="AC10" s="378"/>
      <c r="AD10" s="378"/>
      <c r="AE10" s="378"/>
      <c r="AF10" s="470"/>
      <c r="AG10" s="538" t="s">
        <v>540</v>
      </c>
      <c r="AH10" s="323"/>
    </row>
    <row r="11" spans="1:34">
      <c r="A11" s="174" t="s">
        <v>449</v>
      </c>
      <c r="B11" s="174" t="s">
        <v>458</v>
      </c>
      <c r="C11" s="94">
        <v>150</v>
      </c>
      <c r="D11" s="94">
        <f t="shared" si="2"/>
        <v>20.164000000000001</v>
      </c>
      <c r="E11" s="94">
        <f t="shared" ca="1" si="0"/>
        <v>22.3705</v>
      </c>
      <c r="F11" s="94">
        <f t="shared" ca="1" si="3"/>
        <v>2.2064999999999984</v>
      </c>
      <c r="G11" s="444">
        <f t="shared" ca="1" si="4"/>
        <v>10.942769291807172</v>
      </c>
      <c r="H11" s="221">
        <f t="shared" ca="1" si="5"/>
        <v>22.3705</v>
      </c>
      <c r="I11" s="94">
        <f t="shared" ca="1" si="1"/>
        <v>23.608000000000001</v>
      </c>
      <c r="J11" s="94">
        <f t="shared" ca="1" si="6"/>
        <v>1.2375000000000007</v>
      </c>
      <c r="K11" s="444">
        <f t="shared" ca="1" si="7"/>
        <v>5.5318388055698389</v>
      </c>
      <c r="L11" s="184" t="s">
        <v>154</v>
      </c>
      <c r="M11" s="57" t="s">
        <v>337</v>
      </c>
      <c r="N11" s="55" t="s">
        <v>356</v>
      </c>
      <c r="O11" s="55" t="s">
        <v>137</v>
      </c>
      <c r="P11" s="55" t="s">
        <v>354</v>
      </c>
      <c r="Q11" s="55">
        <v>22.100645161290323</v>
      </c>
      <c r="U11" s="523"/>
      <c r="V11" s="610" t="s">
        <v>383</v>
      </c>
      <c r="W11" s="524"/>
      <c r="X11" s="4"/>
      <c r="Z11" s="369"/>
      <c r="AA11" s="47"/>
      <c r="AB11" s="47"/>
      <c r="AC11" s="521"/>
      <c r="AD11" s="521"/>
      <c r="AE11" s="521"/>
      <c r="AF11" s="525" t="s">
        <v>542</v>
      </c>
      <c r="AG11" s="442" t="s">
        <v>548</v>
      </c>
      <c r="AH11" s="325"/>
    </row>
    <row r="12" spans="1:34">
      <c r="A12" s="174" t="s">
        <v>449</v>
      </c>
      <c r="B12" s="174" t="s">
        <v>458</v>
      </c>
      <c r="C12" s="94">
        <v>200</v>
      </c>
      <c r="D12" s="94">
        <f t="shared" si="2"/>
        <v>24.302</v>
      </c>
      <c r="E12" s="94">
        <f t="shared" ca="1" si="0"/>
        <v>26.994</v>
      </c>
      <c r="F12" s="94">
        <f t="shared" ca="1" si="3"/>
        <v>2.6920000000000002</v>
      </c>
      <c r="G12" s="444">
        <f t="shared" ca="1" si="4"/>
        <v>11.077277590321785</v>
      </c>
      <c r="H12" s="221">
        <f t="shared" ca="1" si="5"/>
        <v>26.994</v>
      </c>
      <c r="I12" s="94">
        <f t="shared" ca="1" si="1"/>
        <v>28.644000000000002</v>
      </c>
      <c r="J12" s="94">
        <f t="shared" ca="1" si="6"/>
        <v>1.6500000000000021</v>
      </c>
      <c r="K12" s="444">
        <f t="shared" ca="1" si="7"/>
        <v>6.1124694376528197</v>
      </c>
      <c r="L12" s="184" t="s">
        <v>154</v>
      </c>
      <c r="M12" s="57" t="s">
        <v>337</v>
      </c>
      <c r="N12" s="55" t="s">
        <v>356</v>
      </c>
      <c r="O12" s="55" t="s">
        <v>132</v>
      </c>
      <c r="P12" s="55" t="s">
        <v>133</v>
      </c>
      <c r="Q12" s="55">
        <f>SUMIFS('Normalized Units'!I:I,'Normalized Units'!B:B,"Normalized Billing Units",'Normalized Units'!C:C,N12,'Normalized Units'!H:H,P12)</f>
        <v>6381.4662921348308</v>
      </c>
      <c r="U12" s="523"/>
      <c r="V12" s="610" t="s">
        <v>384</v>
      </c>
      <c r="W12" s="526" t="s">
        <v>385</v>
      </c>
      <c r="X12" s="323"/>
      <c r="Z12" s="521"/>
      <c r="AA12" s="521"/>
      <c r="AB12" s="521"/>
      <c r="AC12" s="47" t="s">
        <v>455</v>
      </c>
      <c r="AD12" s="47" t="s">
        <v>456</v>
      </c>
      <c r="AE12" s="47" t="s">
        <v>394</v>
      </c>
      <c r="AF12" s="387" t="s">
        <v>394</v>
      </c>
      <c r="AG12" s="523" t="s">
        <v>544</v>
      </c>
      <c r="AH12" s="523" t="s">
        <v>545</v>
      </c>
    </row>
    <row r="13" spans="1:34">
      <c r="A13" s="174" t="s">
        <v>449</v>
      </c>
      <c r="B13" s="174" t="s">
        <v>458</v>
      </c>
      <c r="C13" s="94">
        <v>300</v>
      </c>
      <c r="D13" s="94">
        <f t="shared" si="2"/>
        <v>32.578000000000003</v>
      </c>
      <c r="E13" s="94">
        <f t="shared" ca="1" si="0"/>
        <v>36.241</v>
      </c>
      <c r="F13" s="94">
        <f t="shared" ca="1" si="3"/>
        <v>3.6629999999999967</v>
      </c>
      <c r="G13" s="444">
        <f t="shared" ca="1" si="4"/>
        <v>11.24378414881207</v>
      </c>
      <c r="H13" s="221">
        <f t="shared" ca="1" si="5"/>
        <v>36.241</v>
      </c>
      <c r="I13" s="94">
        <f t="shared" ca="1" si="1"/>
        <v>38.716000000000001</v>
      </c>
      <c r="J13" s="94">
        <f t="shared" ca="1" si="6"/>
        <v>2.4750000000000014</v>
      </c>
      <c r="K13" s="444">
        <f t="shared" ca="1" si="7"/>
        <v>6.8292817527110223</v>
      </c>
      <c r="L13" s="184" t="s">
        <v>154</v>
      </c>
      <c r="M13" s="57" t="s">
        <v>337</v>
      </c>
      <c r="N13" s="55" t="s">
        <v>356</v>
      </c>
      <c r="O13" s="55" t="s">
        <v>132</v>
      </c>
      <c r="P13" s="55" t="s">
        <v>216</v>
      </c>
      <c r="Q13" s="55">
        <f>SUMIFS('Normalized Units'!I:I,'Normalized Units'!B:B,"Normalized Billing Units",'Normalized Units'!C:C,N13,'Normalized Units'!H:H,P13)</f>
        <v>596.1514285714286</v>
      </c>
      <c r="S13" s="380"/>
      <c r="U13" s="332" t="s">
        <v>346</v>
      </c>
      <c r="V13" s="525" t="s">
        <v>386</v>
      </c>
      <c r="W13" s="265" t="s">
        <v>387</v>
      </c>
      <c r="X13" s="325"/>
      <c r="Z13" s="211" t="s">
        <v>454</v>
      </c>
      <c r="AA13" s="211" t="s">
        <v>395</v>
      </c>
      <c r="AB13" s="388" t="s">
        <v>396</v>
      </c>
      <c r="AC13" s="211" t="s">
        <v>406</v>
      </c>
      <c r="AD13" s="211" t="s">
        <v>402</v>
      </c>
      <c r="AE13" s="211" t="s">
        <v>397</v>
      </c>
      <c r="AF13" s="388" t="s">
        <v>543</v>
      </c>
      <c r="AG13" s="211" t="s">
        <v>454</v>
      </c>
      <c r="AH13" s="211" t="s">
        <v>454</v>
      </c>
    </row>
    <row r="14" spans="1:34">
      <c r="A14" s="174" t="s">
        <v>449</v>
      </c>
      <c r="B14" s="174" t="s">
        <v>458</v>
      </c>
      <c r="C14" s="94">
        <v>400</v>
      </c>
      <c r="D14" s="94">
        <f t="shared" si="2"/>
        <v>40.853999999999999</v>
      </c>
      <c r="E14" s="94">
        <f t="shared" ca="1" si="0"/>
        <v>45.488</v>
      </c>
      <c r="F14" s="94">
        <f t="shared" ca="1" si="3"/>
        <v>4.6340000000000003</v>
      </c>
      <c r="G14" s="444">
        <f t="shared" ca="1" si="4"/>
        <v>11.342830567386304</v>
      </c>
      <c r="H14" s="221">
        <f t="shared" ca="1" si="5"/>
        <v>45.488</v>
      </c>
      <c r="I14" s="94">
        <f t="shared" ca="1" si="1"/>
        <v>48.788000000000004</v>
      </c>
      <c r="J14" s="94">
        <f t="shared" ca="1" si="6"/>
        <v>3.3000000000000043</v>
      </c>
      <c r="K14" s="444">
        <f t="shared" ca="1" si="7"/>
        <v>7.2546605698206212</v>
      </c>
      <c r="L14" s="184" t="s">
        <v>154</v>
      </c>
      <c r="M14" s="57" t="s">
        <v>337</v>
      </c>
      <c r="N14" s="55" t="s">
        <v>356</v>
      </c>
      <c r="O14" s="55" t="s">
        <v>132</v>
      </c>
      <c r="P14" s="358" t="s">
        <v>331</v>
      </c>
      <c r="Q14" s="55">
        <f>'Normalized Units'!U195+'Normalized Units'!J195+'Normalized Units'!K195+'Normalized Units'!L195</f>
        <v>232417497.86607584</v>
      </c>
      <c r="U14" s="332" t="s">
        <v>388</v>
      </c>
      <c r="V14" s="387" t="s">
        <v>389</v>
      </c>
      <c r="W14" s="385" t="s">
        <v>390</v>
      </c>
      <c r="X14" s="385" t="s">
        <v>391</v>
      </c>
      <c r="Z14" s="348">
        <v>2024</v>
      </c>
      <c r="AA14" s="332" t="s">
        <v>400</v>
      </c>
      <c r="AB14" s="527">
        <v>7.847140990578734E-2</v>
      </c>
      <c r="AC14" s="360"/>
      <c r="AD14" s="360">
        <f>AB14</f>
        <v>7.847140990578734E-2</v>
      </c>
      <c r="AE14" s="360"/>
      <c r="AF14" s="528"/>
      <c r="AG14" s="378"/>
      <c r="AH14" s="378"/>
    </row>
    <row r="15" spans="1:34">
      <c r="A15" s="283" t="s">
        <v>449</v>
      </c>
      <c r="B15" s="283" t="s">
        <v>458</v>
      </c>
      <c r="C15" s="95">
        <v>500</v>
      </c>
      <c r="D15" s="95">
        <f t="shared" si="2"/>
        <v>49.13</v>
      </c>
      <c r="E15" s="95">
        <f t="shared" ca="1" si="0"/>
        <v>54.734999999999999</v>
      </c>
      <c r="F15" s="95">
        <f t="shared" ca="1" si="3"/>
        <v>5.6049999999999969</v>
      </c>
      <c r="G15" s="445">
        <f t="shared" ca="1" si="4"/>
        <v>11.408508039894151</v>
      </c>
      <c r="H15" s="267">
        <f t="shared" ca="1" si="5"/>
        <v>54.734999999999999</v>
      </c>
      <c r="I15" s="95">
        <f t="shared" ca="1" si="1"/>
        <v>58.86</v>
      </c>
      <c r="J15" s="95">
        <f t="shared" ca="1" si="6"/>
        <v>4.125</v>
      </c>
      <c r="K15" s="445">
        <f t="shared" ca="1" si="7"/>
        <v>7.5363113181693615</v>
      </c>
      <c r="L15" s="184" t="s">
        <v>154</v>
      </c>
      <c r="M15" s="57" t="s">
        <v>337</v>
      </c>
      <c r="N15" s="55" t="s">
        <v>356</v>
      </c>
      <c r="O15" s="55" t="s">
        <v>132</v>
      </c>
      <c r="P15" s="358" t="s">
        <v>329</v>
      </c>
      <c r="Q15" s="55">
        <f>'Normalized Units'!M195+'Normalized Units'!N195+'Normalized Units'!O195+'Normalized Units'!P195+'Normalized Units'!Q195+'Normalized Units'!R195+'Normalized Units'!S195+'Normalized Units'!T195</f>
        <v>484809660.2077716</v>
      </c>
      <c r="U15" s="390" t="s">
        <v>392</v>
      </c>
      <c r="V15" s="388" t="s">
        <v>393</v>
      </c>
      <c r="W15" s="605" t="s">
        <v>349</v>
      </c>
      <c r="X15" s="605" t="s">
        <v>347</v>
      </c>
      <c r="Z15" s="348">
        <v>2024</v>
      </c>
      <c r="AA15" s="332" t="s">
        <v>401</v>
      </c>
      <c r="AB15" s="527">
        <v>5.8059305111111105E-2</v>
      </c>
      <c r="AC15" s="360"/>
      <c r="AD15" s="360">
        <f t="shared" ref="AD15:AD16" si="8">AB15</f>
        <v>5.8059305111111105E-2</v>
      </c>
      <c r="AE15" s="360"/>
      <c r="AF15" s="528"/>
      <c r="AG15" s="377"/>
      <c r="AH15" s="377"/>
    </row>
    <row r="16" spans="1:34">
      <c r="A16" s="174" t="s">
        <v>449</v>
      </c>
      <c r="B16" s="174" t="s">
        <v>458</v>
      </c>
      <c r="C16" s="94">
        <v>600</v>
      </c>
      <c r="D16" s="94">
        <f t="shared" si="2"/>
        <v>57.405999999999999</v>
      </c>
      <c r="E16" s="94">
        <f t="shared" ca="1" si="0"/>
        <v>63.981999999999999</v>
      </c>
      <c r="F16" s="94">
        <f t="shared" ca="1" si="3"/>
        <v>6.5760000000000005</v>
      </c>
      <c r="G16" s="444">
        <f t="shared" ca="1" si="4"/>
        <v>11.455248580287776</v>
      </c>
      <c r="H16" s="221">
        <f t="shared" ca="1" si="5"/>
        <v>63.981999999999999</v>
      </c>
      <c r="I16" s="94">
        <f t="shared" ca="1" si="1"/>
        <v>68.932000000000002</v>
      </c>
      <c r="J16" s="94">
        <f t="shared" ca="1" si="6"/>
        <v>4.9500000000000028</v>
      </c>
      <c r="K16" s="444">
        <f t="shared" ca="1" si="7"/>
        <v>7.7365509049420194</v>
      </c>
      <c r="L16" s="184" t="s">
        <v>154</v>
      </c>
      <c r="M16" s="57" t="s">
        <v>337</v>
      </c>
      <c r="N16" s="55" t="s">
        <v>356</v>
      </c>
      <c r="O16" s="55" t="s">
        <v>132</v>
      </c>
      <c r="P16" s="358" t="s">
        <v>332</v>
      </c>
      <c r="Q16" s="55">
        <f>'Normalized Units'!U196+'Normalized Units'!J196+'Normalized Units'!K196+'Normalized Units'!L196</f>
        <v>237000520.04247469</v>
      </c>
      <c r="U16" s="529">
        <f>ROUND(V16/100*(W16-X16)/12,0)</f>
        <v>8</v>
      </c>
      <c r="V16" s="530">
        <v>2.36</v>
      </c>
      <c r="W16" s="342">
        <v>7657</v>
      </c>
      <c r="X16" s="342">
        <v>3713</v>
      </c>
      <c r="Z16" s="348">
        <v>2024</v>
      </c>
      <c r="AA16" s="332" t="s">
        <v>402</v>
      </c>
      <c r="AB16" s="527">
        <v>5.3759932258064518E-2</v>
      </c>
      <c r="AC16" s="360"/>
      <c r="AD16" s="360">
        <f t="shared" si="8"/>
        <v>5.3759932258064518E-2</v>
      </c>
      <c r="AE16" s="360"/>
      <c r="AF16" s="528"/>
      <c r="AG16" s="377"/>
      <c r="AH16" s="377"/>
    </row>
    <row r="17" spans="1:34">
      <c r="A17" s="174" t="s">
        <v>449</v>
      </c>
      <c r="B17" s="174" t="s">
        <v>458</v>
      </c>
      <c r="C17" s="94">
        <v>700</v>
      </c>
      <c r="D17" s="94">
        <f t="shared" si="2"/>
        <v>68.603999999999999</v>
      </c>
      <c r="E17" s="94">
        <f t="shared" ca="1" si="0"/>
        <v>74.69</v>
      </c>
      <c r="F17" s="94">
        <f t="shared" ca="1" si="3"/>
        <v>6.0859999999999985</v>
      </c>
      <c r="G17" s="444">
        <f t="shared" ca="1" si="4"/>
        <v>8.8712028453151408</v>
      </c>
      <c r="H17" s="221">
        <f t="shared" ca="1" si="5"/>
        <v>74.69</v>
      </c>
      <c r="I17" s="94">
        <f t="shared" ca="1" si="1"/>
        <v>79.004000000000005</v>
      </c>
      <c r="J17" s="94">
        <f t="shared" ca="1" si="6"/>
        <v>4.3140000000000072</v>
      </c>
      <c r="K17" s="444">
        <f t="shared" ca="1" si="7"/>
        <v>5.7758736109251672</v>
      </c>
      <c r="L17" s="184" t="s">
        <v>154</v>
      </c>
      <c r="M17" s="57" t="s">
        <v>337</v>
      </c>
      <c r="N17" s="55" t="s">
        <v>356</v>
      </c>
      <c r="O17" s="55" t="s">
        <v>132</v>
      </c>
      <c r="P17" s="358" t="s">
        <v>330</v>
      </c>
      <c r="Q17" s="55">
        <f>'Normalized Units'!M196+'Normalized Units'!N196+'Normalized Units'!O196+'Normalized Units'!P196+'Normalized Units'!Q196+'Normalized Units'!R196+'Normalized Units'!S196+'Normalized Units'!T196</f>
        <v>663390368.96793199</v>
      </c>
      <c r="Z17" s="348">
        <v>2024</v>
      </c>
      <c r="AA17" s="332" t="s">
        <v>403</v>
      </c>
      <c r="AB17" s="527">
        <v>5.5844087777777773E-2</v>
      </c>
      <c r="AC17" s="360">
        <f>AB17</f>
        <v>5.5844087777777773E-2</v>
      </c>
      <c r="AD17" s="295"/>
      <c r="AE17" s="360"/>
      <c r="AF17" s="528"/>
      <c r="AG17" s="377"/>
      <c r="AH17" s="377"/>
    </row>
    <row r="18" spans="1:34">
      <c r="A18" s="174" t="s">
        <v>449</v>
      </c>
      <c r="B18" s="174" t="s">
        <v>458</v>
      </c>
      <c r="C18" s="94">
        <v>800</v>
      </c>
      <c r="D18" s="94">
        <f t="shared" si="2"/>
        <v>79.801999999999992</v>
      </c>
      <c r="E18" s="94">
        <f t="shared" ca="1" si="0"/>
        <v>85.397999999999996</v>
      </c>
      <c r="F18" s="94">
        <f t="shared" ca="1" si="3"/>
        <v>5.5960000000000036</v>
      </c>
      <c r="G18" s="444">
        <f t="shared" ca="1" si="4"/>
        <v>7.0123555800606558</v>
      </c>
      <c r="H18" s="221">
        <f t="shared" ca="1" si="5"/>
        <v>85.397999999999996</v>
      </c>
      <c r="I18" s="94">
        <f t="shared" ca="1" si="1"/>
        <v>89.076000000000008</v>
      </c>
      <c r="J18" s="94">
        <f t="shared" ca="1" si="6"/>
        <v>3.6780000000000115</v>
      </c>
      <c r="K18" s="444">
        <f t="shared" ca="1" si="7"/>
        <v>4.3068924330780716</v>
      </c>
      <c r="L18" s="209" t="s">
        <v>154</v>
      </c>
      <c r="M18" s="103" t="s">
        <v>337</v>
      </c>
      <c r="N18" s="105" t="s">
        <v>356</v>
      </c>
      <c r="O18" s="105" t="s">
        <v>132</v>
      </c>
      <c r="P18" s="362" t="s">
        <v>302</v>
      </c>
      <c r="Q18" s="105">
        <f>SUMIFS('Normalized Units'!I:I,'Normalized Units'!B:B,"Normalized Billing Units",'Normalized Units'!C:C,N18,'Normalized Units'!H:H,P18)</f>
        <v>340424.48000000004</v>
      </c>
      <c r="Z18" s="348">
        <v>2024</v>
      </c>
      <c r="AA18" s="332" t="s">
        <v>404</v>
      </c>
      <c r="AB18" s="527">
        <v>0.1330884705376344</v>
      </c>
      <c r="AC18" s="360">
        <f>AB18</f>
        <v>0.1330884705376344</v>
      </c>
      <c r="AD18" s="295"/>
      <c r="AE18" s="360"/>
      <c r="AF18" s="528"/>
      <c r="AG18" s="377"/>
      <c r="AH18" s="377"/>
    </row>
    <row r="19" spans="1:34">
      <c r="A19" s="174" t="s">
        <v>449</v>
      </c>
      <c r="B19" s="174" t="s">
        <v>458</v>
      </c>
      <c r="C19" s="94">
        <v>900</v>
      </c>
      <c r="D19" s="94">
        <f t="shared" si="2"/>
        <v>91</v>
      </c>
      <c r="E19" s="94">
        <f t="shared" ca="1" si="0"/>
        <v>96.105999999999995</v>
      </c>
      <c r="F19" s="94">
        <f t="shared" ca="1" si="3"/>
        <v>5.1059999999999945</v>
      </c>
      <c r="G19" s="444">
        <f t="shared" ca="1" si="4"/>
        <v>5.6109890109890053</v>
      </c>
      <c r="H19" s="221">
        <f t="shared" ca="1" si="5"/>
        <v>96.105999999999995</v>
      </c>
      <c r="I19" s="94">
        <f t="shared" ca="1" si="1"/>
        <v>99.147999999999996</v>
      </c>
      <c r="J19" s="94">
        <f t="shared" ca="1" si="6"/>
        <v>3.0420000000000016</v>
      </c>
      <c r="K19" s="444">
        <f t="shared" ca="1" si="7"/>
        <v>3.1652550309033791</v>
      </c>
      <c r="L19" s="98" t="s">
        <v>341</v>
      </c>
      <c r="M19" s="98" t="s">
        <v>338</v>
      </c>
      <c r="N19" s="98" t="s">
        <v>358</v>
      </c>
      <c r="O19" s="97" t="s">
        <v>132</v>
      </c>
      <c r="P19" s="98" t="s">
        <v>271</v>
      </c>
      <c r="Q19" s="363">
        <v>7.75</v>
      </c>
      <c r="Z19" s="348">
        <v>2024</v>
      </c>
      <c r="AA19" s="332" t="s">
        <v>405</v>
      </c>
      <c r="AB19" s="527">
        <v>0.15451822290322581</v>
      </c>
      <c r="AC19" s="360">
        <f>AB19</f>
        <v>0.15451822290322581</v>
      </c>
      <c r="AD19" s="360"/>
      <c r="AE19" s="360"/>
      <c r="AF19" s="528"/>
      <c r="AG19" s="377"/>
      <c r="AH19" s="377"/>
    </row>
    <row r="20" spans="1:34">
      <c r="A20" s="174" t="s">
        <v>449</v>
      </c>
      <c r="B20" s="174" t="s">
        <v>458</v>
      </c>
      <c r="C20" s="94">
        <v>1000</v>
      </c>
      <c r="D20" s="94">
        <f t="shared" si="2"/>
        <v>102.19800000000001</v>
      </c>
      <c r="E20" s="94">
        <f t="shared" ca="1" si="0"/>
        <v>106.81399999999999</v>
      </c>
      <c r="F20" s="94">
        <f t="shared" ca="1" si="3"/>
        <v>4.6159999999999854</v>
      </c>
      <c r="G20" s="444">
        <f t="shared" ca="1" si="4"/>
        <v>4.5167224407522504</v>
      </c>
      <c r="H20" s="221">
        <f t="shared" ca="1" si="5"/>
        <v>106.81399999999999</v>
      </c>
      <c r="I20" s="94">
        <f t="shared" ca="1" si="1"/>
        <v>109.22</v>
      </c>
      <c r="J20" s="94">
        <f t="shared" ca="1" si="6"/>
        <v>2.4060000000000059</v>
      </c>
      <c r="K20" s="444">
        <f t="shared" ca="1" si="7"/>
        <v>2.2525137154305672</v>
      </c>
      <c r="L20" s="57" t="s">
        <v>341</v>
      </c>
      <c r="M20" s="57" t="s">
        <v>338</v>
      </c>
      <c r="N20" s="57" t="s">
        <v>358</v>
      </c>
      <c r="O20" s="55" t="s">
        <v>132</v>
      </c>
      <c r="P20" s="55" t="s">
        <v>133</v>
      </c>
      <c r="Q20" s="360">
        <v>1.78</v>
      </c>
      <c r="Z20" s="348">
        <v>2024</v>
      </c>
      <c r="AA20" s="332" t="s">
        <v>406</v>
      </c>
      <c r="AB20" s="527">
        <v>0.12423173066666666</v>
      </c>
      <c r="AC20" s="360">
        <f t="shared" ref="AC20" si="9">AB20</f>
        <v>0.12423173066666666</v>
      </c>
      <c r="AD20" s="360"/>
      <c r="AE20" s="360"/>
      <c r="AF20" s="528"/>
      <c r="AG20" s="377"/>
      <c r="AH20" s="377"/>
    </row>
    <row r="21" spans="1:34">
      <c r="A21" s="174" t="s">
        <v>449</v>
      </c>
      <c r="B21" s="174" t="s">
        <v>458</v>
      </c>
      <c r="C21" s="94">
        <v>1100</v>
      </c>
      <c r="D21" s="94">
        <f t="shared" si="2"/>
        <v>113.39599999999999</v>
      </c>
      <c r="E21" s="94">
        <f t="shared" ca="1" si="0"/>
        <v>117.52199999999999</v>
      </c>
      <c r="F21" s="94">
        <f t="shared" ca="1" si="3"/>
        <v>4.1260000000000048</v>
      </c>
      <c r="G21" s="444">
        <f t="shared" ca="1" si="4"/>
        <v>3.6385763166249294</v>
      </c>
      <c r="H21" s="221">
        <f t="shared" ca="1" si="5"/>
        <v>117.52199999999999</v>
      </c>
      <c r="I21" s="94">
        <f t="shared" ca="1" si="1"/>
        <v>119.292</v>
      </c>
      <c r="J21" s="94">
        <f t="shared" ca="1" si="6"/>
        <v>1.7700000000000102</v>
      </c>
      <c r="K21" s="444">
        <f t="shared" ca="1" si="7"/>
        <v>1.5061009853474332</v>
      </c>
      <c r="L21" s="57" t="s">
        <v>341</v>
      </c>
      <c r="M21" s="57" t="s">
        <v>338</v>
      </c>
      <c r="N21" s="57" t="s">
        <v>358</v>
      </c>
      <c r="O21" s="55" t="s">
        <v>132</v>
      </c>
      <c r="P21" s="55" t="s">
        <v>216</v>
      </c>
      <c r="Q21" s="360">
        <v>3.5</v>
      </c>
      <c r="Z21" s="348">
        <v>2024</v>
      </c>
      <c r="AA21" s="332" t="s">
        <v>407</v>
      </c>
      <c r="AB21" s="527">
        <v>8.3900320000000014E-2</v>
      </c>
      <c r="AC21" s="295"/>
      <c r="AD21" s="360">
        <f>AB21</f>
        <v>8.3900320000000014E-2</v>
      </c>
      <c r="AE21" s="360"/>
      <c r="AF21" s="528"/>
      <c r="AG21" s="377"/>
      <c r="AH21" s="377"/>
    </row>
    <row r="22" spans="1:34">
      <c r="A22" s="282" t="s">
        <v>449</v>
      </c>
      <c r="B22" s="282" t="s">
        <v>458</v>
      </c>
      <c r="C22" s="285">
        <f>MROUND((Q14+Q15+Q16+Q17)/(Q8+Q9+Q10+Q11),100)</f>
        <v>1200</v>
      </c>
      <c r="D22" s="285">
        <f t="shared" si="2"/>
        <v>124.59399999999999</v>
      </c>
      <c r="E22" s="285">
        <f t="shared" ca="1" si="0"/>
        <v>128.22999999999999</v>
      </c>
      <c r="F22" s="285">
        <f t="shared" ca="1" si="3"/>
        <v>3.6359999999999957</v>
      </c>
      <c r="G22" s="446">
        <f t="shared" ca="1" si="4"/>
        <v>2.9182785687914312</v>
      </c>
      <c r="H22" s="375">
        <f t="shared" ca="1" si="5"/>
        <v>128.22999999999999</v>
      </c>
      <c r="I22" s="285">
        <f t="shared" ca="1" si="1"/>
        <v>129.364</v>
      </c>
      <c r="J22" s="285">
        <f t="shared" ca="1" si="6"/>
        <v>1.1340000000000146</v>
      </c>
      <c r="K22" s="446">
        <f t="shared" ca="1" si="7"/>
        <v>0.88434843640334915</v>
      </c>
      <c r="L22" s="57" t="s">
        <v>341</v>
      </c>
      <c r="M22" s="57" t="s">
        <v>338</v>
      </c>
      <c r="N22" s="57" t="s">
        <v>358</v>
      </c>
      <c r="O22" s="55" t="s">
        <v>132</v>
      </c>
      <c r="P22" s="358" t="s">
        <v>302</v>
      </c>
      <c r="Q22" s="270">
        <v>-0.25</v>
      </c>
      <c r="Z22" s="348">
        <v>2024</v>
      </c>
      <c r="AA22" s="332" t="s">
        <v>408</v>
      </c>
      <c r="AB22" s="527">
        <v>8.9367898432732323E-2</v>
      </c>
      <c r="AC22" s="295"/>
      <c r="AD22" s="360">
        <f>AB22</f>
        <v>8.9367898432732323E-2</v>
      </c>
      <c r="AE22" s="360"/>
      <c r="AF22" s="528"/>
      <c r="AG22" s="377"/>
      <c r="AH22" s="377"/>
    </row>
    <row r="23" spans="1:34">
      <c r="A23" s="174" t="s">
        <v>449</v>
      </c>
      <c r="B23" s="174" t="s">
        <v>458</v>
      </c>
      <c r="C23" s="94">
        <v>1300</v>
      </c>
      <c r="D23" s="94">
        <f t="shared" si="2"/>
        <v>135.792</v>
      </c>
      <c r="E23" s="94">
        <f t="shared" ca="1" si="0"/>
        <v>138.93799999999999</v>
      </c>
      <c r="F23" s="94">
        <f t="shared" ca="1" si="3"/>
        <v>3.1459999999999866</v>
      </c>
      <c r="G23" s="444">
        <f t="shared" ca="1" si="4"/>
        <v>2.3167786025686246</v>
      </c>
      <c r="H23" s="221">
        <f t="shared" ca="1" si="5"/>
        <v>138.93799999999999</v>
      </c>
      <c r="I23" s="94">
        <f t="shared" ca="1" si="1"/>
        <v>139.43600000000001</v>
      </c>
      <c r="J23" s="94">
        <f t="shared" ca="1" si="6"/>
        <v>0.49800000000001887</v>
      </c>
      <c r="K23" s="444">
        <f t="shared" ca="1" si="7"/>
        <v>0.35843325799998482</v>
      </c>
      <c r="L23" s="57" t="s">
        <v>341</v>
      </c>
      <c r="M23" s="57" t="s">
        <v>338</v>
      </c>
      <c r="N23" s="55" t="s">
        <v>270</v>
      </c>
      <c r="O23" s="55" t="s">
        <v>132</v>
      </c>
      <c r="P23" s="358" t="s">
        <v>134</v>
      </c>
      <c r="Q23" s="360">
        <v>8.276E-2</v>
      </c>
      <c r="Z23" s="349">
        <v>2024</v>
      </c>
      <c r="AA23" s="390" t="s">
        <v>409</v>
      </c>
      <c r="AB23" s="531">
        <v>0.11378116440860214</v>
      </c>
      <c r="AC23" s="364"/>
      <c r="AD23" s="364">
        <f>AB23</f>
        <v>0.11378116440860214</v>
      </c>
      <c r="AE23" s="364"/>
      <c r="AF23" s="532"/>
      <c r="AG23" s="466"/>
      <c r="AH23" s="466"/>
    </row>
    <row r="24" spans="1:34">
      <c r="A24" s="174" t="s">
        <v>449</v>
      </c>
      <c r="B24" s="174" t="s">
        <v>458</v>
      </c>
      <c r="C24" s="94">
        <v>1400</v>
      </c>
      <c r="D24" s="94">
        <f t="shared" si="2"/>
        <v>146.99</v>
      </c>
      <c r="E24" s="94">
        <f t="shared" ca="1" si="0"/>
        <v>149.64600000000002</v>
      </c>
      <c r="F24" s="94">
        <f t="shared" ca="1" si="3"/>
        <v>2.6560000000000059</v>
      </c>
      <c r="G24" s="444">
        <f t="shared" ca="1" si="4"/>
        <v>1.8069256412000856</v>
      </c>
      <c r="H24" s="221">
        <f t="shared" ca="1" si="5"/>
        <v>149.64600000000002</v>
      </c>
      <c r="I24" s="94">
        <f t="shared" ca="1" si="1"/>
        <v>149.50800000000001</v>
      </c>
      <c r="J24" s="94">
        <f t="shared" ca="1" si="6"/>
        <v>-0.13800000000000523</v>
      </c>
      <c r="K24" s="444">
        <f t="shared" ca="1" si="7"/>
        <v>-9.2217633615335665E-2</v>
      </c>
      <c r="L24" s="57" t="s">
        <v>341</v>
      </c>
      <c r="M24" s="57" t="s">
        <v>338</v>
      </c>
      <c r="N24" s="55" t="s">
        <v>270</v>
      </c>
      <c r="O24" s="55" t="s">
        <v>132</v>
      </c>
      <c r="P24" s="358" t="s">
        <v>135</v>
      </c>
      <c r="Q24" s="360">
        <v>0.11198</v>
      </c>
      <c r="S24" s="382" t="s">
        <v>270</v>
      </c>
      <c r="T24" s="322"/>
      <c r="Z24" s="347">
        <v>2025</v>
      </c>
      <c r="AA24" s="533" t="s">
        <v>398</v>
      </c>
      <c r="AB24" s="534">
        <v>0.11479678548387098</v>
      </c>
      <c r="AC24" s="363"/>
      <c r="AD24" s="363">
        <f t="shared" ref="AD24:AD25" si="10">AB24</f>
        <v>0.11479678548387098</v>
      </c>
      <c r="AE24" s="363"/>
      <c r="AF24" s="535"/>
      <c r="AG24" s="378"/>
      <c r="AH24" s="378"/>
    </row>
    <row r="25" spans="1:34">
      <c r="A25" s="174" t="s">
        <v>449</v>
      </c>
      <c r="B25" s="174" t="s">
        <v>458</v>
      </c>
      <c r="C25" s="94">
        <v>1500</v>
      </c>
      <c r="D25" s="94">
        <f t="shared" si="2"/>
        <v>158.18799999999999</v>
      </c>
      <c r="E25" s="94">
        <f t="shared" ca="1" si="0"/>
        <v>160.35399999999998</v>
      </c>
      <c r="F25" s="94">
        <f t="shared" ca="1" si="3"/>
        <v>2.1659999999999968</v>
      </c>
      <c r="G25" s="444">
        <f t="shared" ca="1" si="4"/>
        <v>1.3692568336409823</v>
      </c>
      <c r="H25" s="221">
        <f t="shared" ca="1" si="5"/>
        <v>160.35399999999998</v>
      </c>
      <c r="I25" s="94">
        <f t="shared" ca="1" si="1"/>
        <v>159.58000000000001</v>
      </c>
      <c r="J25" s="94">
        <f t="shared" ca="1" si="6"/>
        <v>-0.77399999999997249</v>
      </c>
      <c r="K25" s="444">
        <f t="shared" ca="1" si="7"/>
        <v>-0.48268206592911467</v>
      </c>
      <c r="L25" s="57" t="s">
        <v>341</v>
      </c>
      <c r="M25" s="57" t="s">
        <v>338</v>
      </c>
      <c r="N25" s="57" t="s">
        <v>359</v>
      </c>
      <c r="O25" s="55" t="s">
        <v>132</v>
      </c>
      <c r="P25" s="358" t="s">
        <v>144</v>
      </c>
      <c r="Q25" s="360">
        <v>0.1298</v>
      </c>
      <c r="S25" s="329" t="s">
        <v>445</v>
      </c>
      <c r="T25" s="343"/>
      <c r="V25" s="475" t="s">
        <v>515</v>
      </c>
      <c r="W25" s="155"/>
      <c r="Z25" s="348">
        <v>2025</v>
      </c>
      <c r="AA25" s="332" t="s">
        <v>399</v>
      </c>
      <c r="AB25" s="527">
        <v>9.9773471428571431E-2</v>
      </c>
      <c r="AC25" s="360"/>
      <c r="AD25" s="360">
        <f t="shared" si="10"/>
        <v>9.9773471428571431E-2</v>
      </c>
      <c r="AE25" s="360"/>
      <c r="AF25" s="528"/>
      <c r="AG25" s="377"/>
      <c r="AH25" s="377"/>
    </row>
    <row r="26" spans="1:34">
      <c r="A26" s="174" t="s">
        <v>449</v>
      </c>
      <c r="B26" s="174" t="s">
        <v>458</v>
      </c>
      <c r="C26" s="94">
        <v>1600</v>
      </c>
      <c r="D26" s="94">
        <f t="shared" si="2"/>
        <v>169.386</v>
      </c>
      <c r="E26" s="94">
        <f t="shared" ca="1" si="0"/>
        <v>171.06200000000001</v>
      </c>
      <c r="F26" s="94">
        <f t="shared" ca="1" si="3"/>
        <v>1.6760000000000161</v>
      </c>
      <c r="G26" s="444">
        <f t="shared" ca="1" si="4"/>
        <v>0.98945603532760462</v>
      </c>
      <c r="H26" s="221">
        <f t="shared" ca="1" si="5"/>
        <v>171.06200000000001</v>
      </c>
      <c r="I26" s="94">
        <f t="shared" ca="1" si="1"/>
        <v>169.65199999999999</v>
      </c>
      <c r="J26" s="94">
        <f t="shared" ca="1" si="6"/>
        <v>-1.410000000000025</v>
      </c>
      <c r="K26" s="444">
        <f t="shared" ca="1" si="7"/>
        <v>-0.8242625480819965</v>
      </c>
      <c r="L26" s="103" t="s">
        <v>341</v>
      </c>
      <c r="M26" s="103" t="s">
        <v>338</v>
      </c>
      <c r="N26" s="103" t="s">
        <v>359</v>
      </c>
      <c r="O26" s="105" t="s">
        <v>132</v>
      </c>
      <c r="P26" s="359" t="s">
        <v>145</v>
      </c>
      <c r="Q26" s="364">
        <v>7.6749999999999999E-2</v>
      </c>
      <c r="S26" s="330" t="s">
        <v>446</v>
      </c>
      <c r="T26" s="341"/>
      <c r="V26" s="607" t="s">
        <v>540</v>
      </c>
      <c r="W26" s="607" t="s">
        <v>428</v>
      </c>
      <c r="Z26" s="348">
        <v>2025</v>
      </c>
      <c r="AA26" s="332" t="s">
        <v>400</v>
      </c>
      <c r="AB26" s="527">
        <v>8.2494677994616405E-2</v>
      </c>
      <c r="AC26" s="360"/>
      <c r="AD26" s="360">
        <f>AB26</f>
        <v>8.2494677994616405E-2</v>
      </c>
      <c r="AE26" s="360"/>
      <c r="AF26" s="528"/>
      <c r="AG26" s="94"/>
      <c r="AH26" s="94"/>
    </row>
    <row r="27" spans="1:34" s="93" customFormat="1">
      <c r="A27" s="174" t="s">
        <v>449</v>
      </c>
      <c r="B27" s="174" t="s">
        <v>458</v>
      </c>
      <c r="C27" s="94">
        <v>2000</v>
      </c>
      <c r="D27" s="94">
        <f t="shared" si="2"/>
        <v>214.178</v>
      </c>
      <c r="E27" s="94">
        <f t="shared" ca="1" si="0"/>
        <v>213.89400000000001</v>
      </c>
      <c r="F27" s="94">
        <f t="shared" ca="1" si="3"/>
        <v>-0.28399999999999181</v>
      </c>
      <c r="G27" s="444">
        <f t="shared" ca="1" si="4"/>
        <v>-0.13259998692675803</v>
      </c>
      <c r="H27" s="221">
        <f t="shared" ca="1" si="5"/>
        <v>213.89400000000001</v>
      </c>
      <c r="I27" s="94">
        <f t="shared" ca="1" si="1"/>
        <v>209.94</v>
      </c>
      <c r="J27" s="94">
        <f t="shared" ca="1" si="6"/>
        <v>-3.9540000000000077</v>
      </c>
      <c r="K27" s="444">
        <f t="shared" ca="1" si="7"/>
        <v>-1.8485792027826904</v>
      </c>
      <c r="L27" s="98" t="s">
        <v>341</v>
      </c>
      <c r="M27" s="210" t="s">
        <v>19</v>
      </c>
      <c r="N27" s="97" t="s">
        <v>356</v>
      </c>
      <c r="O27" s="97" t="s">
        <v>132</v>
      </c>
      <c r="P27" s="99" t="s">
        <v>271</v>
      </c>
      <c r="Q27" s="167">
        <f>(Q8+Q9+Q10+Q11)*Q19</f>
        <v>10298977.779999999</v>
      </c>
      <c r="S27" s="606" t="s">
        <v>435</v>
      </c>
      <c r="T27" s="606" t="s">
        <v>437</v>
      </c>
      <c r="V27" s="608" t="s">
        <v>513</v>
      </c>
      <c r="W27" s="608" t="s">
        <v>426</v>
      </c>
      <c r="Z27" s="348">
        <v>2025</v>
      </c>
      <c r="AA27" s="332" t="s">
        <v>401</v>
      </c>
      <c r="AB27" s="527">
        <v>5.2966263333333333E-2</v>
      </c>
      <c r="AC27" s="360"/>
      <c r="AD27" s="360">
        <f t="shared" ref="AD27:AD28" si="11">AB27</f>
        <v>5.2966263333333333E-2</v>
      </c>
      <c r="AE27" s="360"/>
      <c r="AF27" s="528"/>
      <c r="AG27" s="94"/>
      <c r="AH27" s="94"/>
    </row>
    <row r="28" spans="1:34" s="93" customFormat="1">
      <c r="A28" s="283" t="s">
        <v>449</v>
      </c>
      <c r="B28" s="283" t="s">
        <v>458</v>
      </c>
      <c r="C28" s="95">
        <v>2600</v>
      </c>
      <c r="D28" s="95">
        <f t="shared" si="2"/>
        <v>281.36599999999999</v>
      </c>
      <c r="E28" s="95">
        <f t="shared" ca="1" si="0"/>
        <v>278.142</v>
      </c>
      <c r="F28" s="95">
        <f t="shared" ca="1" si="3"/>
        <v>-3.2239999999999895</v>
      </c>
      <c r="G28" s="445">
        <f t="shared" ca="1" si="4"/>
        <v>-1.1458385163807956</v>
      </c>
      <c r="H28" s="267">
        <f t="shared" ca="1" si="5"/>
        <v>278.142</v>
      </c>
      <c r="I28" s="95">
        <f t="shared" ca="1" si="1"/>
        <v>270.37200000000001</v>
      </c>
      <c r="J28" s="95">
        <f t="shared" ca="1" si="6"/>
        <v>-7.7699999999999818</v>
      </c>
      <c r="K28" s="445">
        <f t="shared" ca="1" si="7"/>
        <v>-2.7935371141359382</v>
      </c>
      <c r="L28" s="57" t="s">
        <v>341</v>
      </c>
      <c r="M28" s="47" t="s">
        <v>19</v>
      </c>
      <c r="N28" s="55" t="s">
        <v>356</v>
      </c>
      <c r="O28" s="55" t="s">
        <v>132</v>
      </c>
      <c r="P28" s="101" t="s">
        <v>133</v>
      </c>
      <c r="Q28" s="164">
        <f>Q12*Q20</f>
        <v>11359.009999999998</v>
      </c>
      <c r="S28" s="536">
        <v>50</v>
      </c>
      <c r="T28" s="342">
        <v>100</v>
      </c>
      <c r="V28" s="476">
        <f>Q25-Q26</f>
        <v>5.305E-2</v>
      </c>
      <c r="W28" s="342">
        <v>42.314263710172199</v>
      </c>
      <c r="Z28" s="348">
        <v>2025</v>
      </c>
      <c r="AA28" s="332" t="s">
        <v>402</v>
      </c>
      <c r="AB28" s="527">
        <v>4.8951005913978496E-2</v>
      </c>
      <c r="AC28" s="360"/>
      <c r="AD28" s="360">
        <f t="shared" si="11"/>
        <v>4.8951005913978496E-2</v>
      </c>
      <c r="AE28" s="360"/>
      <c r="AF28" s="528"/>
      <c r="AG28" s="94"/>
      <c r="AH28" s="94"/>
    </row>
    <row r="29" spans="1:34" s="93" customFormat="1">
      <c r="A29" s="344" t="s">
        <v>451</v>
      </c>
      <c r="B29" s="297"/>
      <c r="C29" s="297"/>
      <c r="D29" s="297"/>
      <c r="E29" s="2"/>
      <c r="F29" s="297"/>
      <c r="G29" s="457"/>
      <c r="H29" s="2"/>
      <c r="I29" s="2"/>
      <c r="J29" s="297"/>
      <c r="K29" s="457"/>
      <c r="L29" s="57" t="s">
        <v>341</v>
      </c>
      <c r="M29" s="47" t="s">
        <v>19</v>
      </c>
      <c r="N29" s="55" t="s">
        <v>356</v>
      </c>
      <c r="O29" s="55" t="s">
        <v>132</v>
      </c>
      <c r="P29" s="101" t="s">
        <v>216</v>
      </c>
      <c r="Q29" s="164">
        <f>Q13*Q21</f>
        <v>2086.5300000000002</v>
      </c>
      <c r="Z29" s="348">
        <v>2025</v>
      </c>
      <c r="AA29" s="332" t="s">
        <v>403</v>
      </c>
      <c r="AB29" s="527">
        <v>4.9907077777777781E-2</v>
      </c>
      <c r="AC29" s="360">
        <f>AB29</f>
        <v>4.9907077777777781E-2</v>
      </c>
      <c r="AD29" s="295"/>
      <c r="AE29" s="360"/>
      <c r="AF29" s="528"/>
      <c r="AG29" s="94"/>
      <c r="AH29" s="94"/>
    </row>
    <row r="30" spans="1:34" s="93" customFormat="1">
      <c r="A30" s="345" t="str">
        <f>"The average residential customer uses "&amp;TEXT(C$22,"#,###")&amp;" kilowatt hours per month"</f>
        <v>The average residential customer uses 1,200 kilowatt hours per month</v>
      </c>
      <c r="B30" s="96"/>
      <c r="C30" s="96"/>
      <c r="D30" s="96"/>
      <c r="E30"/>
      <c r="F30" s="96"/>
      <c r="G30" s="458"/>
      <c r="H30"/>
      <c r="I30"/>
      <c r="J30" s="96"/>
      <c r="K30" s="458"/>
      <c r="L30" s="57" t="s">
        <v>341</v>
      </c>
      <c r="M30" s="47" t="s">
        <v>19</v>
      </c>
      <c r="N30" s="55" t="s">
        <v>356</v>
      </c>
      <c r="O30" s="55" t="s">
        <v>132</v>
      </c>
      <c r="P30" s="56" t="s">
        <v>134</v>
      </c>
      <c r="Q30" s="164">
        <f>(Q14+Q15)*Q23</f>
        <v>59357719.602191612</v>
      </c>
      <c r="Z30" s="348">
        <v>2025</v>
      </c>
      <c r="AA30" s="332" t="s">
        <v>404</v>
      </c>
      <c r="AB30" s="527">
        <v>0.14296307204301076</v>
      </c>
      <c r="AC30" s="360">
        <f>AB30</f>
        <v>0.14296307204301076</v>
      </c>
      <c r="AD30" s="295"/>
      <c r="AE30" s="360"/>
      <c r="AF30" s="528"/>
      <c r="AG30" s="94"/>
      <c r="AH30" s="94"/>
    </row>
    <row r="31" spans="1:34" s="93" customFormat="1">
      <c r="A31" s="335" t="s">
        <v>452</v>
      </c>
      <c r="B31"/>
      <c r="C31"/>
      <c r="D31"/>
      <c r="E31"/>
      <c r="F31" s="96"/>
      <c r="G31" s="458"/>
      <c r="H31"/>
      <c r="I31"/>
      <c r="J31" s="96"/>
      <c r="K31" s="458"/>
      <c r="L31" s="57" t="s">
        <v>341</v>
      </c>
      <c r="M31" s="47" t="s">
        <v>19</v>
      </c>
      <c r="N31" s="55" t="s">
        <v>356</v>
      </c>
      <c r="O31" s="55" t="s">
        <v>132</v>
      </c>
      <c r="P31" s="56" t="s">
        <v>135</v>
      </c>
      <c r="Q31" s="164">
        <f>(Q16+Q17)*Q24</f>
        <v>100825771.75138535</v>
      </c>
      <c r="Z31" s="348">
        <v>2025</v>
      </c>
      <c r="AA31" s="332" t="s">
        <v>405</v>
      </c>
      <c r="AB31" s="527">
        <v>0.15888442150537635</v>
      </c>
      <c r="AC31" s="360">
        <f>AB31</f>
        <v>0.15888442150537635</v>
      </c>
      <c r="AD31" s="360"/>
      <c r="AE31" s="360"/>
      <c r="AF31" s="528"/>
      <c r="AG31" s="94"/>
      <c r="AH31" s="94"/>
    </row>
    <row r="32" spans="1:34" s="93" customFormat="1">
      <c r="A32" s="284" t="s">
        <v>457</v>
      </c>
      <c r="B32" s="298"/>
      <c r="C32" s="298"/>
      <c r="D32" s="298"/>
      <c r="E32" s="346"/>
      <c r="F32" s="298"/>
      <c r="G32" s="459"/>
      <c r="H32" s="346"/>
      <c r="I32" s="346"/>
      <c r="J32" s="298"/>
      <c r="K32" s="459"/>
      <c r="L32" s="57" t="s">
        <v>341</v>
      </c>
      <c r="M32" s="47" t="s">
        <v>19</v>
      </c>
      <c r="N32" s="55" t="s">
        <v>356</v>
      </c>
      <c r="O32" s="55" t="s">
        <v>132</v>
      </c>
      <c r="P32" s="56" t="s">
        <v>302</v>
      </c>
      <c r="Q32" s="164">
        <f>Q18*Q22</f>
        <v>-85106.12000000001</v>
      </c>
      <c r="R32"/>
      <c r="Z32" s="348">
        <v>2025</v>
      </c>
      <c r="AA32" s="332" t="s">
        <v>406</v>
      </c>
      <c r="AB32" s="527">
        <v>0.14421123333333336</v>
      </c>
      <c r="AC32" s="360">
        <f t="shared" ref="AC32" si="12">AB32</f>
        <v>0.14421123333333336</v>
      </c>
      <c r="AD32" s="360"/>
      <c r="AE32" s="360"/>
      <c r="AF32" s="528"/>
      <c r="AG32" s="94"/>
      <c r="AH32" s="94"/>
    </row>
    <row r="33" spans="1:34" s="93" customFormat="1">
      <c r="A33" s="294" t="s">
        <v>449</v>
      </c>
      <c r="B33" s="294" t="s">
        <v>459</v>
      </c>
      <c r="C33" s="214">
        <f t="shared" ref="C33:C53" si="13">C8</f>
        <v>0</v>
      </c>
      <c r="D33" s="214">
        <f t="shared" ref="D33:D53" si="14">Q$19+IF(C33&lt;=600,C33*Q$23,600*Q$23+(C33-600)*Q$24)</f>
        <v>7.75</v>
      </c>
      <c r="E33" s="214">
        <f t="shared" ref="E33:E53" ca="1" si="15">Q$35+IF(C33&lt;=600,C33*Q$41,600*Q$41+(C33-600)*Q$43)</f>
        <v>8.5</v>
      </c>
      <c r="F33" s="214">
        <f t="shared" ref="F33:F53" ca="1" si="16">E33-D33</f>
        <v>0.75</v>
      </c>
      <c r="G33" s="448">
        <f t="shared" ref="G33:G53" ca="1" si="17">F33/D33*100</f>
        <v>9.67741935483871</v>
      </c>
      <c r="H33" s="266">
        <f t="shared" ref="H33:H53" ca="1" si="18">E33</f>
        <v>8.5</v>
      </c>
      <c r="I33" s="214">
        <f t="shared" ref="I33:I53" ca="1" si="19">Q$59+IF(C33&lt;=600,C33*Q$65,600*Q$65+(C33-600)*Q$67)</f>
        <v>8.5</v>
      </c>
      <c r="J33" s="214">
        <f t="shared" ref="J33:J53" ca="1" si="20">I33-H33</f>
        <v>0</v>
      </c>
      <c r="K33" s="448">
        <f t="shared" ref="K33:K53" ca="1" si="21">J33/H33*100</f>
        <v>0</v>
      </c>
      <c r="L33" s="103" t="s">
        <v>341</v>
      </c>
      <c r="M33" s="211" t="s">
        <v>19</v>
      </c>
      <c r="N33" s="105" t="s">
        <v>356</v>
      </c>
      <c r="O33" s="105" t="s">
        <v>132</v>
      </c>
      <c r="P33" s="211" t="s">
        <v>105</v>
      </c>
      <c r="Q33" s="165">
        <f>Unbilled!E4</f>
        <v>5660946.3060093932</v>
      </c>
      <c r="R33"/>
      <c r="Z33" s="348">
        <v>2025</v>
      </c>
      <c r="AA33" s="332" t="s">
        <v>407</v>
      </c>
      <c r="AB33" s="527">
        <v>7.4730941935483866E-2</v>
      </c>
      <c r="AC33" s="295"/>
      <c r="AD33" s="360">
        <f>AB33</f>
        <v>7.4730941935483866E-2</v>
      </c>
      <c r="AE33" s="360"/>
      <c r="AF33" s="528"/>
      <c r="AG33" s="377"/>
      <c r="AH33" s="377"/>
    </row>
    <row r="34" spans="1:34">
      <c r="A34" s="174" t="s">
        <v>449</v>
      </c>
      <c r="B34" s="174" t="s">
        <v>459</v>
      </c>
      <c r="C34" s="94">
        <f t="shared" si="13"/>
        <v>50</v>
      </c>
      <c r="D34" s="94">
        <f t="shared" si="14"/>
        <v>11.888</v>
      </c>
      <c r="E34" s="94">
        <f t="shared" ca="1" si="15"/>
        <v>13.1235</v>
      </c>
      <c r="F34" s="94">
        <f t="shared" ca="1" si="16"/>
        <v>1.2355</v>
      </c>
      <c r="G34" s="444">
        <f t="shared" ca="1" si="17"/>
        <v>10.392833109017499</v>
      </c>
      <c r="H34" s="221">
        <f t="shared" ca="1" si="18"/>
        <v>13.1235</v>
      </c>
      <c r="I34" s="94">
        <f t="shared" ca="1" si="19"/>
        <v>13.536000000000001</v>
      </c>
      <c r="J34" s="94">
        <f t="shared" ca="1" si="20"/>
        <v>0.41250000000000142</v>
      </c>
      <c r="K34" s="444">
        <f t="shared" ca="1" si="21"/>
        <v>3.1432163675848779</v>
      </c>
      <c r="L34" s="282" t="s">
        <v>466</v>
      </c>
      <c r="M34" s="384" t="s">
        <v>19</v>
      </c>
      <c r="N34" s="176" t="s">
        <v>356</v>
      </c>
      <c r="O34" s="180" t="s">
        <v>132</v>
      </c>
      <c r="P34" s="180" t="s">
        <v>132</v>
      </c>
      <c r="Q34" s="182">
        <f ca="1">'Cost of Service and Proposed $'!L128</f>
        <v>183942140.82245237</v>
      </c>
      <c r="Z34" s="348">
        <v>2025</v>
      </c>
      <c r="AA34" s="332" t="s">
        <v>408</v>
      </c>
      <c r="AB34" s="527">
        <v>8.1246862968099867E-2</v>
      </c>
      <c r="AC34" s="295"/>
      <c r="AD34" s="360">
        <f>AB34</f>
        <v>8.1246862968099867E-2</v>
      </c>
      <c r="AE34" s="360"/>
      <c r="AF34" s="528"/>
      <c r="AG34" s="377"/>
      <c r="AH34" s="377"/>
    </row>
    <row r="35" spans="1:34">
      <c r="A35" s="174" t="s">
        <v>449</v>
      </c>
      <c r="B35" s="174" t="s">
        <v>459</v>
      </c>
      <c r="C35" s="94">
        <f t="shared" si="13"/>
        <v>100</v>
      </c>
      <c r="D35" s="94">
        <f t="shared" si="14"/>
        <v>16.026</v>
      </c>
      <c r="E35" s="94">
        <f t="shared" ca="1" si="15"/>
        <v>17.747</v>
      </c>
      <c r="F35" s="94">
        <f t="shared" ca="1" si="16"/>
        <v>1.7210000000000001</v>
      </c>
      <c r="G35" s="444">
        <f t="shared" ca="1" si="17"/>
        <v>10.7387994508923</v>
      </c>
      <c r="H35" s="221">
        <f t="shared" ca="1" si="18"/>
        <v>17.747</v>
      </c>
      <c r="I35" s="94">
        <f t="shared" ca="1" si="19"/>
        <v>18.572000000000003</v>
      </c>
      <c r="J35" s="94">
        <f t="shared" ca="1" si="20"/>
        <v>0.82500000000000284</v>
      </c>
      <c r="K35" s="444">
        <f t="shared" ca="1" si="21"/>
        <v>4.6486730151575077</v>
      </c>
      <c r="L35" s="166" t="s">
        <v>439</v>
      </c>
      <c r="M35" s="533" t="s">
        <v>338</v>
      </c>
      <c r="N35" s="98" t="s">
        <v>358</v>
      </c>
      <c r="O35" s="97" t="s">
        <v>136</v>
      </c>
      <c r="P35" s="97" t="s">
        <v>353</v>
      </c>
      <c r="Q35" s="366">
        <f>T35</f>
        <v>8.5</v>
      </c>
      <c r="T35" s="340">
        <v>8.5</v>
      </c>
      <c r="U35" s="93">
        <f>Q$8*T35+Q$9*T36+Q$10*T37+Q$11*T38</f>
        <v>10860221.290142978</v>
      </c>
      <c r="Z35" s="349">
        <v>2025</v>
      </c>
      <c r="AA35" s="390" t="s">
        <v>409</v>
      </c>
      <c r="AB35" s="531">
        <v>9.530004784946236E-2</v>
      </c>
      <c r="AC35" s="364"/>
      <c r="AD35" s="364">
        <f>AB35</f>
        <v>9.530004784946236E-2</v>
      </c>
      <c r="AE35" s="364"/>
      <c r="AF35" s="532"/>
      <c r="AG35" s="466"/>
      <c r="AH35" s="466"/>
    </row>
    <row r="36" spans="1:34">
      <c r="A36" s="174" t="s">
        <v>449</v>
      </c>
      <c r="B36" s="174" t="s">
        <v>459</v>
      </c>
      <c r="C36" s="94">
        <f t="shared" si="13"/>
        <v>150</v>
      </c>
      <c r="D36" s="94">
        <f t="shared" si="14"/>
        <v>20.164000000000001</v>
      </c>
      <c r="E36" s="94">
        <f t="shared" ca="1" si="15"/>
        <v>22.3705</v>
      </c>
      <c r="F36" s="94">
        <f t="shared" ca="1" si="16"/>
        <v>2.2064999999999984</v>
      </c>
      <c r="G36" s="444">
        <f t="shared" ca="1" si="17"/>
        <v>10.942769291807172</v>
      </c>
      <c r="H36" s="221">
        <f t="shared" ca="1" si="18"/>
        <v>22.3705</v>
      </c>
      <c r="I36" s="94">
        <f t="shared" ca="1" si="19"/>
        <v>23.608000000000001</v>
      </c>
      <c r="J36" s="94">
        <f t="shared" ca="1" si="20"/>
        <v>1.2375000000000007</v>
      </c>
      <c r="K36" s="444">
        <f t="shared" ca="1" si="21"/>
        <v>5.5318388055698389</v>
      </c>
      <c r="L36" s="162" t="s">
        <v>439</v>
      </c>
      <c r="M36" s="332" t="s">
        <v>338</v>
      </c>
      <c r="N36" s="57" t="s">
        <v>358</v>
      </c>
      <c r="O36" s="55" t="s">
        <v>136</v>
      </c>
      <c r="P36" s="55" t="s">
        <v>354</v>
      </c>
      <c r="Q36" s="361">
        <f>T36</f>
        <v>6.75</v>
      </c>
      <c r="T36" s="340">
        <v>6.75</v>
      </c>
      <c r="U36" s="93"/>
      <c r="Z36" s="347">
        <v>2026</v>
      </c>
      <c r="AA36" s="533" t="s">
        <v>398</v>
      </c>
      <c r="AB36" s="534">
        <v>0.10045117849462366</v>
      </c>
      <c r="AC36" s="363"/>
      <c r="AD36" s="363">
        <f t="shared" ref="AD36:AD37" si="22">AB36</f>
        <v>0.10045117849462366</v>
      </c>
      <c r="AE36" s="363"/>
      <c r="AF36" s="535"/>
      <c r="AG36" s="378"/>
      <c r="AH36" s="378"/>
    </row>
    <row r="37" spans="1:34">
      <c r="A37" s="174" t="s">
        <v>449</v>
      </c>
      <c r="B37" s="174" t="s">
        <v>459</v>
      </c>
      <c r="C37" s="94">
        <f t="shared" si="13"/>
        <v>200</v>
      </c>
      <c r="D37" s="94">
        <f t="shared" si="14"/>
        <v>24.302</v>
      </c>
      <c r="E37" s="94">
        <f t="shared" ca="1" si="15"/>
        <v>26.994</v>
      </c>
      <c r="F37" s="94">
        <f t="shared" ca="1" si="16"/>
        <v>2.6920000000000002</v>
      </c>
      <c r="G37" s="444">
        <f t="shared" ca="1" si="17"/>
        <v>11.077277590321785</v>
      </c>
      <c r="H37" s="221">
        <f t="shared" ca="1" si="18"/>
        <v>26.994</v>
      </c>
      <c r="I37" s="94">
        <f t="shared" ca="1" si="19"/>
        <v>28.644000000000002</v>
      </c>
      <c r="J37" s="94">
        <f t="shared" ca="1" si="20"/>
        <v>1.6500000000000021</v>
      </c>
      <c r="K37" s="444">
        <f t="shared" ca="1" si="21"/>
        <v>6.1124694376528197</v>
      </c>
      <c r="L37" s="162" t="s">
        <v>439</v>
      </c>
      <c r="M37" s="332" t="s">
        <v>338</v>
      </c>
      <c r="N37" s="57" t="s">
        <v>358</v>
      </c>
      <c r="O37" s="55" t="s">
        <v>137</v>
      </c>
      <c r="P37" s="55" t="s">
        <v>353</v>
      </c>
      <c r="Q37" s="361">
        <f>T37</f>
        <v>16.5</v>
      </c>
      <c r="T37" s="258">
        <f>T35+U16</f>
        <v>16.5</v>
      </c>
      <c r="U37" s="93"/>
      <c r="Z37" s="348">
        <v>2026</v>
      </c>
      <c r="AA37" s="332" t="s">
        <v>399</v>
      </c>
      <c r="AB37" s="531">
        <v>8.4458228571428567E-2</v>
      </c>
      <c r="AC37" s="364"/>
      <c r="AD37" s="364">
        <f t="shared" si="22"/>
        <v>8.4458228571428567E-2</v>
      </c>
      <c r="AE37" s="364"/>
      <c r="AF37" s="532"/>
      <c r="AG37" s="466"/>
      <c r="AH37" s="466"/>
    </row>
    <row r="38" spans="1:34">
      <c r="A38" s="174" t="s">
        <v>449</v>
      </c>
      <c r="B38" s="174" t="s">
        <v>459</v>
      </c>
      <c r="C38" s="94">
        <f t="shared" si="13"/>
        <v>300</v>
      </c>
      <c r="D38" s="94">
        <f t="shared" si="14"/>
        <v>32.578000000000003</v>
      </c>
      <c r="E38" s="94">
        <f t="shared" ca="1" si="15"/>
        <v>36.241</v>
      </c>
      <c r="F38" s="94">
        <f t="shared" ca="1" si="16"/>
        <v>3.6629999999999967</v>
      </c>
      <c r="G38" s="444">
        <f t="shared" ca="1" si="17"/>
        <v>11.24378414881207</v>
      </c>
      <c r="H38" s="221">
        <f t="shared" ca="1" si="18"/>
        <v>36.241</v>
      </c>
      <c r="I38" s="94">
        <f t="shared" ca="1" si="19"/>
        <v>38.716000000000001</v>
      </c>
      <c r="J38" s="94">
        <f t="shared" ca="1" si="20"/>
        <v>2.4750000000000014</v>
      </c>
      <c r="K38" s="444">
        <f t="shared" ca="1" si="21"/>
        <v>6.8292817527110223</v>
      </c>
      <c r="L38" s="162" t="s">
        <v>439</v>
      </c>
      <c r="M38" s="332" t="s">
        <v>338</v>
      </c>
      <c r="N38" s="57" t="s">
        <v>358</v>
      </c>
      <c r="O38" s="55" t="s">
        <v>137</v>
      </c>
      <c r="P38" s="55" t="s">
        <v>354</v>
      </c>
      <c r="Q38" s="361">
        <f>T38</f>
        <v>14.75</v>
      </c>
      <c r="T38" s="258">
        <f>T36+U16</f>
        <v>14.75</v>
      </c>
      <c r="U38" s="93"/>
      <c r="Z38" s="537" t="s">
        <v>410</v>
      </c>
      <c r="AA38" s="379"/>
      <c r="AB38" s="223">
        <f>AVERAGE(AB14:AB37)</f>
        <v>9.4839908776440385E-2</v>
      </c>
      <c r="AC38" s="364">
        <f>AVERAGE(AC14:AC37)</f>
        <v>0.12045603956810036</v>
      </c>
      <c r="AD38" s="364">
        <f>AVERAGE(AD14:AD37)</f>
        <v>8.2031843380610397E-2</v>
      </c>
      <c r="AE38" s="364">
        <f>AC38-AD38</f>
        <v>3.8424196187489962E-2</v>
      </c>
      <c r="AF38" s="532">
        <f>50%*AE38</f>
        <v>1.9212098093744981E-2</v>
      </c>
      <c r="AG38" s="532">
        <f>AF38*AG39</f>
        <v>0</v>
      </c>
      <c r="AH38" s="364">
        <f>AF38*AH39</f>
        <v>0</v>
      </c>
    </row>
    <row r="39" spans="1:34">
      <c r="A39" s="174" t="s">
        <v>449</v>
      </c>
      <c r="B39" s="174" t="s">
        <v>459</v>
      </c>
      <c r="C39" s="94">
        <f t="shared" si="13"/>
        <v>400</v>
      </c>
      <c r="D39" s="94">
        <f t="shared" si="14"/>
        <v>40.853999999999999</v>
      </c>
      <c r="E39" s="94">
        <f t="shared" ca="1" si="15"/>
        <v>45.488</v>
      </c>
      <c r="F39" s="94">
        <f t="shared" ca="1" si="16"/>
        <v>4.6340000000000003</v>
      </c>
      <c r="G39" s="444">
        <f t="shared" ca="1" si="17"/>
        <v>11.342830567386304</v>
      </c>
      <c r="H39" s="221">
        <f t="shared" ca="1" si="18"/>
        <v>45.488</v>
      </c>
      <c r="I39" s="94">
        <f t="shared" ca="1" si="19"/>
        <v>48.788000000000004</v>
      </c>
      <c r="J39" s="94">
        <f t="shared" ca="1" si="20"/>
        <v>3.3000000000000043</v>
      </c>
      <c r="K39" s="444">
        <f t="shared" ca="1" si="21"/>
        <v>7.2546605698206212</v>
      </c>
      <c r="L39" s="162" t="s">
        <v>439</v>
      </c>
      <c r="M39" s="332" t="s">
        <v>338</v>
      </c>
      <c r="N39" s="57" t="s">
        <v>358</v>
      </c>
      <c r="O39" s="55" t="s">
        <v>132</v>
      </c>
      <c r="P39" s="358" t="s">
        <v>302</v>
      </c>
      <c r="Q39" s="361">
        <f>T39</f>
        <v>-0.25</v>
      </c>
      <c r="R39" s="268"/>
      <c r="T39" s="258">
        <f>Q22</f>
        <v>-0.25</v>
      </c>
      <c r="AG39" s="479">
        <v>0</v>
      </c>
      <c r="AH39" s="479">
        <v>0</v>
      </c>
    </row>
    <row r="40" spans="1:34">
      <c r="A40" s="283" t="s">
        <v>449</v>
      </c>
      <c r="B40" s="283" t="s">
        <v>459</v>
      </c>
      <c r="C40" s="95">
        <f t="shared" si="13"/>
        <v>500</v>
      </c>
      <c r="D40" s="95">
        <f t="shared" si="14"/>
        <v>49.13</v>
      </c>
      <c r="E40" s="95">
        <f t="shared" ca="1" si="15"/>
        <v>54.734999999999999</v>
      </c>
      <c r="F40" s="95">
        <f t="shared" ca="1" si="16"/>
        <v>5.6049999999999969</v>
      </c>
      <c r="G40" s="445">
        <f t="shared" ca="1" si="17"/>
        <v>11.408508039894151</v>
      </c>
      <c r="H40" s="267">
        <f t="shared" ca="1" si="18"/>
        <v>54.734999999999999</v>
      </c>
      <c r="I40" s="95">
        <f t="shared" ca="1" si="19"/>
        <v>58.86</v>
      </c>
      <c r="J40" s="95">
        <f t="shared" ca="1" si="20"/>
        <v>4.125</v>
      </c>
      <c r="K40" s="445">
        <f t="shared" ca="1" si="21"/>
        <v>7.5363113181693615</v>
      </c>
      <c r="L40" s="162" t="s">
        <v>439</v>
      </c>
      <c r="M40" s="332" t="s">
        <v>338</v>
      </c>
      <c r="N40" s="162" t="s">
        <v>270</v>
      </c>
      <c r="O40" s="162" t="s">
        <v>132</v>
      </c>
      <c r="P40" s="358" t="s">
        <v>331</v>
      </c>
      <c r="Q40" s="270">
        <f ca="1">ROUND(R40/100*U40/V40+W40+X40,S40)</f>
        <v>9.2469999999999997E-2</v>
      </c>
      <c r="R40" s="380">
        <f>100+Summary!$P$8</f>
        <v>97.15</v>
      </c>
      <c r="S40" s="93">
        <v>5</v>
      </c>
      <c r="T40" s="257">
        <f ca="1">U40/V40+W40+X40</f>
        <v>9.5418920885604164E-2</v>
      </c>
      <c r="U40" s="1">
        <f t="shared" ref="U40:U47" ca="1" si="23">Q$34-U$35-Q$32-Q$33</f>
        <v>167506079.34630001</v>
      </c>
      <c r="V40" s="1">
        <f t="shared" ref="V40:V47" si="24">Q$14+Q$15+Q$16+Q$17</f>
        <v>1617618047.084254</v>
      </c>
      <c r="W40" s="258">
        <f>AG38*(Q15+Q17)/(Q14+Q15+Q16+Q17)</f>
        <v>0</v>
      </c>
      <c r="X40" s="224">
        <f>-(Q16+Q17)*(Q24-Q23)/(Q14+Q15+Q16+Q17)*(100-S28)/100</f>
        <v>-8.1321489409402429E-3</v>
      </c>
    </row>
    <row r="41" spans="1:34">
      <c r="A41" s="174" t="s">
        <v>449</v>
      </c>
      <c r="B41" s="174" t="s">
        <v>459</v>
      </c>
      <c r="C41" s="94">
        <f t="shared" si="13"/>
        <v>600</v>
      </c>
      <c r="D41" s="94">
        <f t="shared" si="14"/>
        <v>57.405999999999999</v>
      </c>
      <c r="E41" s="94">
        <f t="shared" ca="1" si="15"/>
        <v>63.981999999999999</v>
      </c>
      <c r="F41" s="94">
        <f t="shared" ca="1" si="16"/>
        <v>6.5760000000000005</v>
      </c>
      <c r="G41" s="444">
        <f t="shared" ca="1" si="17"/>
        <v>11.455248580287776</v>
      </c>
      <c r="H41" s="221">
        <f t="shared" ca="1" si="18"/>
        <v>63.981999999999999</v>
      </c>
      <c r="I41" s="94">
        <f t="shared" ca="1" si="19"/>
        <v>68.932000000000002</v>
      </c>
      <c r="J41" s="94">
        <f t="shared" ca="1" si="20"/>
        <v>4.9500000000000028</v>
      </c>
      <c r="K41" s="444">
        <f t="shared" ca="1" si="21"/>
        <v>7.7365509049420194</v>
      </c>
      <c r="L41" s="162" t="s">
        <v>439</v>
      </c>
      <c r="M41" s="332" t="s">
        <v>338</v>
      </c>
      <c r="N41" s="162" t="s">
        <v>270</v>
      </c>
      <c r="O41" s="162" t="s">
        <v>132</v>
      </c>
      <c r="P41" s="358" t="s">
        <v>329</v>
      </c>
      <c r="Q41" s="270">
        <f t="shared" ref="Q41:Q47" ca="1" si="25">ROUND(R41/100*U41/V41+W41+X41,S41)</f>
        <v>9.2469999999999997E-2</v>
      </c>
      <c r="R41" s="380">
        <f>100+Summary!$P$8</f>
        <v>97.15</v>
      </c>
      <c r="S41" s="93">
        <v>5</v>
      </c>
      <c r="T41" s="257">
        <f t="shared" ref="T41:T47" ca="1" si="26">U41/V41+W41+X41</f>
        <v>9.5418920885604164E-2</v>
      </c>
      <c r="U41" s="1">
        <f t="shared" ca="1" si="23"/>
        <v>167506079.34630001</v>
      </c>
      <c r="V41" s="1">
        <f t="shared" si="24"/>
        <v>1617618047.084254</v>
      </c>
      <c r="W41" s="258">
        <f>-AG38*(Q14+Q16)/(Q14+Q15+Q16+Q17)</f>
        <v>0</v>
      </c>
      <c r="X41" s="224">
        <f>-(Q16+Q17)*(Q24-Q23)/(Q14+Q15+Q16+Q17)*(100-S28)/100</f>
        <v>-8.1321489409402429E-3</v>
      </c>
      <c r="Y41" s="257">
        <f ca="1">R41/100*U41/V41+X41</f>
        <v>9.2467715395547656E-2</v>
      </c>
    </row>
    <row r="42" spans="1:34">
      <c r="A42" s="174" t="s">
        <v>449</v>
      </c>
      <c r="B42" s="174" t="s">
        <v>459</v>
      </c>
      <c r="C42" s="94">
        <f t="shared" si="13"/>
        <v>700</v>
      </c>
      <c r="D42" s="94">
        <f t="shared" si="14"/>
        <v>68.603999999999999</v>
      </c>
      <c r="E42" s="94">
        <f t="shared" ca="1" si="15"/>
        <v>74.69</v>
      </c>
      <c r="F42" s="94">
        <f t="shared" ca="1" si="16"/>
        <v>6.0859999999999985</v>
      </c>
      <c r="G42" s="444">
        <f t="shared" ca="1" si="17"/>
        <v>8.8712028453151408</v>
      </c>
      <c r="H42" s="221">
        <f t="shared" ca="1" si="18"/>
        <v>74.69</v>
      </c>
      <c r="I42" s="94">
        <f t="shared" ca="1" si="19"/>
        <v>79.004000000000005</v>
      </c>
      <c r="J42" s="94">
        <f t="shared" ca="1" si="20"/>
        <v>4.3140000000000072</v>
      </c>
      <c r="K42" s="444">
        <f t="shared" ca="1" si="21"/>
        <v>5.7758736109251672</v>
      </c>
      <c r="L42" s="162" t="s">
        <v>439</v>
      </c>
      <c r="M42" s="332" t="s">
        <v>338</v>
      </c>
      <c r="N42" s="162" t="s">
        <v>270</v>
      </c>
      <c r="O42" s="162" t="s">
        <v>132</v>
      </c>
      <c r="P42" s="358" t="s">
        <v>332</v>
      </c>
      <c r="Q42" s="270">
        <f t="shared" ca="1" si="25"/>
        <v>0.10707999999999999</v>
      </c>
      <c r="R42" s="380">
        <f>100+Summary!$P$8</f>
        <v>97.15</v>
      </c>
      <c r="S42" s="93">
        <v>5</v>
      </c>
      <c r="T42" s="257">
        <f t="shared" ca="1" si="26"/>
        <v>0.11002892088560416</v>
      </c>
      <c r="U42" s="1">
        <f t="shared" ca="1" si="23"/>
        <v>167506079.34630001</v>
      </c>
      <c r="V42" s="1">
        <f t="shared" si="24"/>
        <v>1617618047.084254</v>
      </c>
      <c r="W42" s="258">
        <f>AG38*(Q15+Q17)/(Q14+Q15+Q16+Q17)</f>
        <v>0</v>
      </c>
      <c r="X42" s="224">
        <f>(Q14+Q15)*(Q24-Q23)/(Q14+Q15+Q16+Q17)*(100-S28)/100</f>
        <v>6.4778510590597551E-3</v>
      </c>
      <c r="Y42" s="257"/>
    </row>
    <row r="43" spans="1:34">
      <c r="A43" s="174" t="s">
        <v>449</v>
      </c>
      <c r="B43" s="174" t="s">
        <v>459</v>
      </c>
      <c r="C43" s="94">
        <f t="shared" si="13"/>
        <v>800</v>
      </c>
      <c r="D43" s="94">
        <f t="shared" si="14"/>
        <v>79.801999999999992</v>
      </c>
      <c r="E43" s="94">
        <f t="shared" ca="1" si="15"/>
        <v>85.397999999999996</v>
      </c>
      <c r="F43" s="94">
        <f t="shared" ca="1" si="16"/>
        <v>5.5960000000000036</v>
      </c>
      <c r="G43" s="444">
        <f t="shared" ca="1" si="17"/>
        <v>7.0123555800606558</v>
      </c>
      <c r="H43" s="221">
        <f t="shared" ca="1" si="18"/>
        <v>85.397999999999996</v>
      </c>
      <c r="I43" s="94">
        <f t="shared" ca="1" si="19"/>
        <v>89.076000000000008</v>
      </c>
      <c r="J43" s="94">
        <f t="shared" ca="1" si="20"/>
        <v>3.6780000000000115</v>
      </c>
      <c r="K43" s="444">
        <f t="shared" ca="1" si="21"/>
        <v>4.3068924330780716</v>
      </c>
      <c r="L43" s="162" t="s">
        <v>439</v>
      </c>
      <c r="M43" s="332" t="s">
        <v>338</v>
      </c>
      <c r="N43" s="162" t="s">
        <v>270</v>
      </c>
      <c r="O43" s="162" t="s">
        <v>132</v>
      </c>
      <c r="P43" s="358" t="s">
        <v>330</v>
      </c>
      <c r="Q43" s="270">
        <f t="shared" ca="1" si="25"/>
        <v>0.10707999999999999</v>
      </c>
      <c r="R43" s="380">
        <f>100+Summary!$P$8</f>
        <v>97.15</v>
      </c>
      <c r="S43" s="93">
        <v>5</v>
      </c>
      <c r="T43" s="257">
        <f t="shared" ca="1" si="26"/>
        <v>0.11002892088560416</v>
      </c>
      <c r="U43" s="1">
        <f t="shared" ca="1" si="23"/>
        <v>167506079.34630001</v>
      </c>
      <c r="V43" s="1">
        <f t="shared" si="24"/>
        <v>1617618047.084254</v>
      </c>
      <c r="W43" s="258">
        <f>-AG38*(Q14+Q16)/(Q14+Q15+Q16+Q17)</f>
        <v>0</v>
      </c>
      <c r="X43" s="224">
        <f>(Q14+Q15)*(Q24-Q23)/(Q14+Q15+Q16+Q17)*(100-S28)/100</f>
        <v>6.4778510590597551E-3</v>
      </c>
      <c r="Y43" s="257">
        <f ca="1">R43/100*U43/V43+X43</f>
        <v>0.10707771539554765</v>
      </c>
    </row>
    <row r="44" spans="1:34">
      <c r="A44" s="174" t="s">
        <v>449</v>
      </c>
      <c r="B44" s="174" t="s">
        <v>459</v>
      </c>
      <c r="C44" s="94">
        <f t="shared" si="13"/>
        <v>900</v>
      </c>
      <c r="D44" s="94">
        <f t="shared" si="14"/>
        <v>91</v>
      </c>
      <c r="E44" s="94">
        <f t="shared" ca="1" si="15"/>
        <v>96.105999999999995</v>
      </c>
      <c r="F44" s="94">
        <f t="shared" ca="1" si="16"/>
        <v>5.1059999999999945</v>
      </c>
      <c r="G44" s="444">
        <f t="shared" ca="1" si="17"/>
        <v>5.6109890109890053</v>
      </c>
      <c r="H44" s="221">
        <f t="shared" ca="1" si="18"/>
        <v>96.105999999999995</v>
      </c>
      <c r="I44" s="94">
        <f t="shared" ca="1" si="19"/>
        <v>99.147999999999996</v>
      </c>
      <c r="J44" s="94">
        <f t="shared" ca="1" si="20"/>
        <v>3.0420000000000016</v>
      </c>
      <c r="K44" s="444">
        <f t="shared" ca="1" si="21"/>
        <v>3.1652550309033791</v>
      </c>
      <c r="L44" s="162" t="s">
        <v>439</v>
      </c>
      <c r="M44" s="332" t="s">
        <v>338</v>
      </c>
      <c r="N44" s="162" t="s">
        <v>359</v>
      </c>
      <c r="O44" s="162" t="s">
        <v>132</v>
      </c>
      <c r="P44" s="358" t="s">
        <v>411</v>
      </c>
      <c r="Q44" s="270">
        <f t="shared" ca="1" si="25"/>
        <v>0.13120000000000001</v>
      </c>
      <c r="R44" s="380">
        <f>100+Summary!$P$8</f>
        <v>97.15</v>
      </c>
      <c r="S44" s="93">
        <v>5</v>
      </c>
      <c r="T44" s="257">
        <f t="shared" ca="1" si="26"/>
        <v>0.1341510698265444</v>
      </c>
      <c r="U44" s="1">
        <f t="shared" ca="1" si="23"/>
        <v>167506079.34630001</v>
      </c>
      <c r="V44" s="1">
        <f t="shared" si="24"/>
        <v>1617618047.084254</v>
      </c>
      <c r="W44" s="258">
        <f>AG38*(Q15+Q17)/(Q14+Q15+Q16+Q17)</f>
        <v>0</v>
      </c>
      <c r="X44" s="392">
        <f>ROUND(V28*(1-W28/100),5)</f>
        <v>3.0599999999999999E-2</v>
      </c>
    </row>
    <row r="45" spans="1:34">
      <c r="A45" s="174" t="s">
        <v>449</v>
      </c>
      <c r="B45" s="174" t="s">
        <v>459</v>
      </c>
      <c r="C45" s="94">
        <f t="shared" si="13"/>
        <v>1000</v>
      </c>
      <c r="D45" s="94">
        <f t="shared" si="14"/>
        <v>102.19800000000001</v>
      </c>
      <c r="E45" s="94">
        <f t="shared" ca="1" si="15"/>
        <v>106.81399999999999</v>
      </c>
      <c r="F45" s="94">
        <f t="shared" ca="1" si="16"/>
        <v>4.6159999999999854</v>
      </c>
      <c r="G45" s="444">
        <f t="shared" ca="1" si="17"/>
        <v>4.5167224407522504</v>
      </c>
      <c r="H45" s="221">
        <f t="shared" ca="1" si="18"/>
        <v>106.81399999999999</v>
      </c>
      <c r="I45" s="94">
        <f t="shared" ca="1" si="19"/>
        <v>109.22</v>
      </c>
      <c r="J45" s="94">
        <f t="shared" ca="1" si="20"/>
        <v>2.4060000000000059</v>
      </c>
      <c r="K45" s="444">
        <f t="shared" ca="1" si="21"/>
        <v>2.2525137154305672</v>
      </c>
      <c r="L45" s="162" t="s">
        <v>439</v>
      </c>
      <c r="M45" s="332" t="s">
        <v>338</v>
      </c>
      <c r="N45" s="162" t="s">
        <v>359</v>
      </c>
      <c r="O45" s="162" t="s">
        <v>132</v>
      </c>
      <c r="P45" s="358" t="s">
        <v>412</v>
      </c>
      <c r="Q45" s="270">
        <f t="shared" ca="1" si="25"/>
        <v>0.13120000000000001</v>
      </c>
      <c r="R45" s="380">
        <f>100+Summary!$P$8</f>
        <v>97.15</v>
      </c>
      <c r="S45" s="93">
        <v>5</v>
      </c>
      <c r="T45" s="257">
        <f t="shared" ca="1" si="26"/>
        <v>0.1341510698265444</v>
      </c>
      <c r="U45" s="1">
        <f t="shared" ca="1" si="23"/>
        <v>167506079.34630001</v>
      </c>
      <c r="V45" s="1">
        <f t="shared" si="24"/>
        <v>1617618047.084254</v>
      </c>
      <c r="W45" s="258">
        <f>-AG38*(Q14+Q16)/(Q14+Q15+Q16+Q17)</f>
        <v>0</v>
      </c>
      <c r="X45" s="392">
        <f>ROUND(V28*(1-W28/100),5)</f>
        <v>3.0599999999999999E-2</v>
      </c>
    </row>
    <row r="46" spans="1:34">
      <c r="A46" s="174" t="s">
        <v>449</v>
      </c>
      <c r="B46" s="174" t="s">
        <v>459</v>
      </c>
      <c r="C46" s="94">
        <f t="shared" si="13"/>
        <v>1100</v>
      </c>
      <c r="D46" s="94">
        <f t="shared" si="14"/>
        <v>113.39599999999999</v>
      </c>
      <c r="E46" s="94">
        <f t="shared" ca="1" si="15"/>
        <v>117.52199999999999</v>
      </c>
      <c r="F46" s="94">
        <f t="shared" ca="1" si="16"/>
        <v>4.1260000000000048</v>
      </c>
      <c r="G46" s="444">
        <f t="shared" ca="1" si="17"/>
        <v>3.6385763166249294</v>
      </c>
      <c r="H46" s="221">
        <f t="shared" ca="1" si="18"/>
        <v>117.52199999999999</v>
      </c>
      <c r="I46" s="94">
        <f t="shared" ca="1" si="19"/>
        <v>119.292</v>
      </c>
      <c r="J46" s="94">
        <f t="shared" ca="1" si="20"/>
        <v>1.7700000000000102</v>
      </c>
      <c r="K46" s="444">
        <f t="shared" ca="1" si="21"/>
        <v>1.5061009853474332</v>
      </c>
      <c r="L46" s="162" t="s">
        <v>439</v>
      </c>
      <c r="M46" s="332" t="s">
        <v>338</v>
      </c>
      <c r="N46" s="162" t="s">
        <v>359</v>
      </c>
      <c r="O46" s="162" t="s">
        <v>132</v>
      </c>
      <c r="P46" s="358" t="s">
        <v>413</v>
      </c>
      <c r="Q46" s="270">
        <f t="shared" ca="1" si="25"/>
        <v>7.8149999999999997E-2</v>
      </c>
      <c r="R46" s="380">
        <f>100+Summary!$P$8</f>
        <v>97.15</v>
      </c>
      <c r="S46" s="93">
        <v>5</v>
      </c>
      <c r="T46" s="257">
        <f t="shared" ca="1" si="26"/>
        <v>8.1101069826544414E-2</v>
      </c>
      <c r="U46" s="1">
        <f t="shared" ca="1" si="23"/>
        <v>167506079.34630001</v>
      </c>
      <c r="V46" s="1">
        <f t="shared" si="24"/>
        <v>1617618047.084254</v>
      </c>
      <c r="W46" s="258">
        <f>AG38*(Q15+Q17)/(Q14+Q15+Q16+Q17)</f>
        <v>0</v>
      </c>
      <c r="X46" s="392">
        <f>ROUND(-V28*W28/100,5)</f>
        <v>-2.2450000000000001E-2</v>
      </c>
    </row>
    <row r="47" spans="1:34">
      <c r="A47" s="282" t="s">
        <v>449</v>
      </c>
      <c r="B47" s="282" t="s">
        <v>459</v>
      </c>
      <c r="C47" s="285">
        <f t="shared" si="13"/>
        <v>1200</v>
      </c>
      <c r="D47" s="285">
        <f t="shared" si="14"/>
        <v>124.59399999999999</v>
      </c>
      <c r="E47" s="285">
        <f t="shared" ca="1" si="15"/>
        <v>128.22999999999999</v>
      </c>
      <c r="F47" s="285">
        <f t="shared" ca="1" si="16"/>
        <v>3.6359999999999957</v>
      </c>
      <c r="G47" s="446">
        <f t="shared" ca="1" si="17"/>
        <v>2.9182785687914312</v>
      </c>
      <c r="H47" s="375">
        <f t="shared" ca="1" si="18"/>
        <v>128.22999999999999</v>
      </c>
      <c r="I47" s="285">
        <f t="shared" ca="1" si="19"/>
        <v>129.364</v>
      </c>
      <c r="J47" s="285">
        <f t="shared" ca="1" si="20"/>
        <v>1.1340000000000146</v>
      </c>
      <c r="K47" s="446">
        <f t="shared" ca="1" si="21"/>
        <v>0.88434843640334915</v>
      </c>
      <c r="L47" s="163" t="s">
        <v>439</v>
      </c>
      <c r="M47" s="390" t="s">
        <v>338</v>
      </c>
      <c r="N47" s="163" t="s">
        <v>359</v>
      </c>
      <c r="O47" s="163" t="s">
        <v>132</v>
      </c>
      <c r="P47" s="359" t="s">
        <v>414</v>
      </c>
      <c r="Q47" s="270">
        <f t="shared" ca="1" si="25"/>
        <v>7.8149999999999997E-2</v>
      </c>
      <c r="R47" s="380">
        <f>100+Summary!$P$8</f>
        <v>97.15</v>
      </c>
      <c r="S47" s="93">
        <v>5</v>
      </c>
      <c r="T47" s="257">
        <f t="shared" ca="1" si="26"/>
        <v>8.1101069826544414E-2</v>
      </c>
      <c r="U47" s="1">
        <f t="shared" ca="1" si="23"/>
        <v>167506079.34630001</v>
      </c>
      <c r="V47" s="1">
        <f t="shared" si="24"/>
        <v>1617618047.084254</v>
      </c>
      <c r="W47" s="258">
        <f>-AG38*(Q14+Q16)/(Q14+Q15+Q16+Q17)</f>
        <v>0</v>
      </c>
      <c r="X47" s="392">
        <f>ROUND(-V28*W28/100,5)</f>
        <v>-2.2450000000000001E-2</v>
      </c>
    </row>
    <row r="48" spans="1:34">
      <c r="A48" s="174" t="s">
        <v>449</v>
      </c>
      <c r="B48" s="174" t="s">
        <v>459</v>
      </c>
      <c r="C48" s="94">
        <f t="shared" si="13"/>
        <v>1300</v>
      </c>
      <c r="D48" s="94">
        <f t="shared" si="14"/>
        <v>135.792</v>
      </c>
      <c r="E48" s="94">
        <f t="shared" ca="1" si="15"/>
        <v>138.93799999999999</v>
      </c>
      <c r="F48" s="94">
        <f t="shared" ca="1" si="16"/>
        <v>3.1459999999999866</v>
      </c>
      <c r="G48" s="444">
        <f t="shared" ca="1" si="17"/>
        <v>2.3167786025686246</v>
      </c>
      <c r="H48" s="221">
        <f t="shared" ca="1" si="18"/>
        <v>138.93799999999999</v>
      </c>
      <c r="I48" s="94">
        <f t="shared" ca="1" si="19"/>
        <v>139.43600000000001</v>
      </c>
      <c r="J48" s="94">
        <f t="shared" ca="1" si="20"/>
        <v>0.49800000000001887</v>
      </c>
      <c r="K48" s="444">
        <f t="shared" ca="1" si="21"/>
        <v>0.35843325799998482</v>
      </c>
      <c r="L48" s="166" t="s">
        <v>439</v>
      </c>
      <c r="M48" s="533" t="s">
        <v>19</v>
      </c>
      <c r="N48" s="98" t="s">
        <v>356</v>
      </c>
      <c r="O48" s="97" t="s">
        <v>136</v>
      </c>
      <c r="P48" s="97" t="s">
        <v>353</v>
      </c>
      <c r="Q48" s="167">
        <f t="shared" ref="Q48:Q57" si="27">IF(P48="Unbilled",SUMIFS(Q$27:Q$33,P$27:P$33,P48),SUMIFS(Q$35:Q$47,O$35:O$47,O48,P$35:P$47,P48)*S48)</f>
        <v>9131218.3534133546</v>
      </c>
      <c r="R48" s="111">
        <f t="shared" ref="R48:R57" si="28">IF(P48="Unbilled",SUMIFS(Q$27:Q$33,P$27:P$33,P48),SUMIFS(T$35:T$47,O$35:O$47,O48,P$35:P$47,P48)*S48)</f>
        <v>9131218.3534133546</v>
      </c>
      <c r="S48" s="115">
        <f t="shared" ref="S48:S57" si="29">SUMIFS(Q$8:Q$18,O$8:O$18,O48,P$8:P$18,P48)</f>
        <v>1074260.9827545122</v>
      </c>
      <c r="V48" s="1"/>
    </row>
    <row r="49" spans="1:24">
      <c r="A49" s="174" t="s">
        <v>449</v>
      </c>
      <c r="B49" s="174" t="s">
        <v>459</v>
      </c>
      <c r="C49" s="94">
        <f t="shared" si="13"/>
        <v>1400</v>
      </c>
      <c r="D49" s="94">
        <f t="shared" si="14"/>
        <v>146.99</v>
      </c>
      <c r="E49" s="94">
        <f t="shared" ca="1" si="15"/>
        <v>149.64600000000002</v>
      </c>
      <c r="F49" s="94">
        <f t="shared" ca="1" si="16"/>
        <v>2.6560000000000059</v>
      </c>
      <c r="G49" s="444">
        <f t="shared" ca="1" si="17"/>
        <v>1.8069256412000856</v>
      </c>
      <c r="H49" s="221">
        <f t="shared" ca="1" si="18"/>
        <v>149.64600000000002</v>
      </c>
      <c r="I49" s="94">
        <f t="shared" ca="1" si="19"/>
        <v>149.50800000000001</v>
      </c>
      <c r="J49" s="94">
        <f t="shared" ca="1" si="20"/>
        <v>-0.13800000000000523</v>
      </c>
      <c r="K49" s="444">
        <f t="shared" ca="1" si="21"/>
        <v>-9.2217633615335665E-2</v>
      </c>
      <c r="L49" s="162" t="s">
        <v>439</v>
      </c>
      <c r="M49" s="332" t="s">
        <v>19</v>
      </c>
      <c r="N49" s="57" t="s">
        <v>356</v>
      </c>
      <c r="O49" s="55" t="s">
        <v>136</v>
      </c>
      <c r="P49" s="55" t="s">
        <v>354</v>
      </c>
      <c r="Q49" s="164">
        <f t="shared" si="27"/>
        <v>1711736.3702780106</v>
      </c>
      <c r="R49" s="111">
        <f t="shared" si="28"/>
        <v>1711736.3702780106</v>
      </c>
      <c r="S49" s="115">
        <f t="shared" si="29"/>
        <v>253590.57337452009</v>
      </c>
      <c r="V49" s="1"/>
      <c r="W49" s="224"/>
    </row>
    <row r="50" spans="1:24">
      <c r="A50" s="174" t="s">
        <v>449</v>
      </c>
      <c r="B50" s="174" t="s">
        <v>459</v>
      </c>
      <c r="C50" s="94">
        <f t="shared" si="13"/>
        <v>1500</v>
      </c>
      <c r="D50" s="94">
        <f t="shared" si="14"/>
        <v>158.18799999999999</v>
      </c>
      <c r="E50" s="94">
        <f t="shared" ca="1" si="15"/>
        <v>160.35399999999998</v>
      </c>
      <c r="F50" s="94">
        <f t="shared" ca="1" si="16"/>
        <v>2.1659999999999968</v>
      </c>
      <c r="G50" s="444">
        <f t="shared" ca="1" si="17"/>
        <v>1.3692568336409823</v>
      </c>
      <c r="H50" s="221">
        <f t="shared" ca="1" si="18"/>
        <v>160.35399999999998</v>
      </c>
      <c r="I50" s="94">
        <f t="shared" ca="1" si="19"/>
        <v>159.58000000000001</v>
      </c>
      <c r="J50" s="94">
        <f t="shared" ca="1" si="20"/>
        <v>-0.77399999999997249</v>
      </c>
      <c r="K50" s="444">
        <f t="shared" ca="1" si="21"/>
        <v>-0.48268206592911467</v>
      </c>
      <c r="L50" s="162" t="s">
        <v>439</v>
      </c>
      <c r="M50" s="332" t="s">
        <v>19</v>
      </c>
      <c r="N50" s="57" t="s">
        <v>356</v>
      </c>
      <c r="O50" s="55" t="s">
        <v>137</v>
      </c>
      <c r="P50" s="55" t="s">
        <v>353</v>
      </c>
      <c r="Q50" s="164">
        <f t="shared" si="27"/>
        <v>16940.581935483868</v>
      </c>
      <c r="R50" s="111">
        <f t="shared" si="28"/>
        <v>16940.581935483868</v>
      </c>
      <c r="S50" s="115">
        <f t="shared" si="29"/>
        <v>1026.7019354838708</v>
      </c>
      <c r="V50" s="1"/>
      <c r="W50" s="258"/>
    </row>
    <row r="51" spans="1:24">
      <c r="A51" s="174" t="s">
        <v>449</v>
      </c>
      <c r="B51" s="174" t="s">
        <v>459</v>
      </c>
      <c r="C51" s="94">
        <f t="shared" si="13"/>
        <v>1600</v>
      </c>
      <c r="D51" s="94">
        <f t="shared" si="14"/>
        <v>169.386</v>
      </c>
      <c r="E51" s="94">
        <f t="shared" ca="1" si="15"/>
        <v>171.06200000000001</v>
      </c>
      <c r="F51" s="94">
        <f t="shared" ca="1" si="16"/>
        <v>1.6760000000000161</v>
      </c>
      <c r="G51" s="444">
        <f t="shared" ca="1" si="17"/>
        <v>0.98945603532760462</v>
      </c>
      <c r="H51" s="221">
        <f t="shared" ca="1" si="18"/>
        <v>171.06200000000001</v>
      </c>
      <c r="I51" s="94">
        <f t="shared" ca="1" si="19"/>
        <v>169.65199999999999</v>
      </c>
      <c r="J51" s="94">
        <f t="shared" ca="1" si="20"/>
        <v>-1.410000000000025</v>
      </c>
      <c r="K51" s="444">
        <f t="shared" ca="1" si="21"/>
        <v>-0.8242625480819965</v>
      </c>
      <c r="L51" s="162" t="s">
        <v>439</v>
      </c>
      <c r="M51" s="332" t="s">
        <v>19</v>
      </c>
      <c r="N51" s="57" t="s">
        <v>356</v>
      </c>
      <c r="O51" s="55" t="s">
        <v>137</v>
      </c>
      <c r="P51" s="55" t="s">
        <v>354</v>
      </c>
      <c r="Q51" s="164">
        <f t="shared" si="27"/>
        <v>325.98451612903227</v>
      </c>
      <c r="R51" s="111">
        <f t="shared" si="28"/>
        <v>325.98451612903227</v>
      </c>
      <c r="S51" s="115">
        <f t="shared" si="29"/>
        <v>22.100645161290323</v>
      </c>
      <c r="V51" s="1"/>
      <c r="W51" s="258"/>
    </row>
    <row r="52" spans="1:24">
      <c r="A52" s="174" t="s">
        <v>449</v>
      </c>
      <c r="B52" s="174" t="s">
        <v>459</v>
      </c>
      <c r="C52" s="94">
        <f t="shared" si="13"/>
        <v>2000</v>
      </c>
      <c r="D52" s="94">
        <f t="shared" si="14"/>
        <v>214.178</v>
      </c>
      <c r="E52" s="94">
        <f t="shared" ca="1" si="15"/>
        <v>213.89400000000001</v>
      </c>
      <c r="F52" s="94">
        <f t="shared" ca="1" si="16"/>
        <v>-0.28399999999999181</v>
      </c>
      <c r="G52" s="444">
        <f t="shared" ca="1" si="17"/>
        <v>-0.13259998692675803</v>
      </c>
      <c r="H52" s="221">
        <f t="shared" ca="1" si="18"/>
        <v>213.89400000000001</v>
      </c>
      <c r="I52" s="94">
        <f t="shared" ca="1" si="19"/>
        <v>209.94</v>
      </c>
      <c r="J52" s="94">
        <f t="shared" ca="1" si="20"/>
        <v>-3.9540000000000077</v>
      </c>
      <c r="K52" s="444">
        <f t="shared" ca="1" si="21"/>
        <v>-1.8485792027826904</v>
      </c>
      <c r="L52" s="162" t="s">
        <v>439</v>
      </c>
      <c r="M52" s="332" t="s">
        <v>19</v>
      </c>
      <c r="N52" s="57" t="s">
        <v>356</v>
      </c>
      <c r="O52" s="55" t="s">
        <v>132</v>
      </c>
      <c r="P52" s="358" t="s">
        <v>302</v>
      </c>
      <c r="Q52" s="164">
        <f t="shared" si="27"/>
        <v>-85106.12000000001</v>
      </c>
      <c r="R52" s="111">
        <f t="shared" si="28"/>
        <v>-85106.12000000001</v>
      </c>
      <c r="S52" s="115">
        <f t="shared" si="29"/>
        <v>340424.48000000004</v>
      </c>
      <c r="V52" s="1"/>
    </row>
    <row r="53" spans="1:24">
      <c r="A53" s="283" t="s">
        <v>449</v>
      </c>
      <c r="B53" s="283" t="s">
        <v>459</v>
      </c>
      <c r="C53" s="95">
        <f t="shared" si="13"/>
        <v>2600</v>
      </c>
      <c r="D53" s="95">
        <f t="shared" si="14"/>
        <v>281.36599999999999</v>
      </c>
      <c r="E53" s="95">
        <f t="shared" ca="1" si="15"/>
        <v>278.142</v>
      </c>
      <c r="F53" s="95">
        <f t="shared" ca="1" si="16"/>
        <v>-3.2239999999999895</v>
      </c>
      <c r="G53" s="445">
        <f t="shared" ca="1" si="17"/>
        <v>-1.1458385163807956</v>
      </c>
      <c r="H53" s="267">
        <f t="shared" ca="1" si="18"/>
        <v>278.142</v>
      </c>
      <c r="I53" s="95">
        <f t="shared" ca="1" si="19"/>
        <v>270.37200000000001</v>
      </c>
      <c r="J53" s="95">
        <f t="shared" ca="1" si="20"/>
        <v>-7.7699999999999818</v>
      </c>
      <c r="K53" s="445">
        <f t="shared" ca="1" si="21"/>
        <v>-2.7935371141359382</v>
      </c>
      <c r="L53" s="162" t="s">
        <v>439</v>
      </c>
      <c r="M53" s="332" t="s">
        <v>19</v>
      </c>
      <c r="N53" s="57" t="s">
        <v>356</v>
      </c>
      <c r="O53" s="162" t="s">
        <v>132</v>
      </c>
      <c r="P53" s="358" t="s">
        <v>331</v>
      </c>
      <c r="Q53" s="164">
        <f t="shared" ca="1" si="27"/>
        <v>21491646.027676031</v>
      </c>
      <c r="R53" s="111">
        <f t="shared" ca="1" si="28"/>
        <v>22177026.841313165</v>
      </c>
      <c r="S53" s="115">
        <f t="shared" si="29"/>
        <v>232417497.86607584</v>
      </c>
      <c r="V53" s="1"/>
    </row>
    <row r="54" spans="1:24">
      <c r="A54" s="344" t="s">
        <v>451</v>
      </c>
      <c r="B54" s="297"/>
      <c r="C54" s="297"/>
      <c r="D54" s="297"/>
      <c r="E54" s="2"/>
      <c r="F54" s="297"/>
      <c r="G54" s="457"/>
      <c r="H54" s="2"/>
      <c r="I54" s="2"/>
      <c r="J54" s="297"/>
      <c r="K54" s="457"/>
      <c r="L54" s="162" t="s">
        <v>439</v>
      </c>
      <c r="M54" s="332" t="s">
        <v>19</v>
      </c>
      <c r="N54" s="57" t="s">
        <v>356</v>
      </c>
      <c r="O54" s="162" t="s">
        <v>132</v>
      </c>
      <c r="P54" s="358" t="s">
        <v>329</v>
      </c>
      <c r="Q54" s="164">
        <f t="shared" ca="1" si="27"/>
        <v>44830349.279412635</v>
      </c>
      <c r="R54" s="111">
        <f t="shared" ca="1" si="28"/>
        <v>46260014.611941993</v>
      </c>
      <c r="S54" s="115">
        <f t="shared" si="29"/>
        <v>484809660.2077716</v>
      </c>
      <c r="V54" s="1"/>
    </row>
    <row r="55" spans="1:24">
      <c r="A55" s="345" t="str">
        <f>"The average residential customer uses "&amp;TEXT(C$22,"#,###")&amp;" kilowatt hours per month"</f>
        <v>The average residential customer uses 1,200 kilowatt hours per month</v>
      </c>
      <c r="B55" s="96"/>
      <c r="C55" s="96"/>
      <c r="D55" s="96"/>
      <c r="E55"/>
      <c r="F55" s="96"/>
      <c r="G55" s="458"/>
      <c r="H55"/>
      <c r="I55"/>
      <c r="J55" s="96"/>
      <c r="K55" s="458"/>
      <c r="L55" s="162" t="s">
        <v>439</v>
      </c>
      <c r="M55" s="332" t="s">
        <v>19</v>
      </c>
      <c r="N55" s="57" t="s">
        <v>356</v>
      </c>
      <c r="O55" s="162" t="s">
        <v>132</v>
      </c>
      <c r="P55" s="358" t="s">
        <v>332</v>
      </c>
      <c r="Q55" s="164">
        <f t="shared" ca="1" si="27"/>
        <v>25378015.686148189</v>
      </c>
      <c r="R55" s="111">
        <f t="shared" ca="1" si="28"/>
        <v>26076911.469600491</v>
      </c>
      <c r="S55" s="115">
        <f t="shared" si="29"/>
        <v>237000520.04247469</v>
      </c>
      <c r="V55" s="1"/>
    </row>
    <row r="56" spans="1:24">
      <c r="A56" s="335" t="s">
        <v>452</v>
      </c>
      <c r="B56"/>
      <c r="C56"/>
      <c r="D56"/>
      <c r="E56"/>
      <c r="F56" s="96"/>
      <c r="G56" s="458"/>
      <c r="H56"/>
      <c r="I56"/>
      <c r="J56" s="96"/>
      <c r="K56" s="458"/>
      <c r="L56" s="162" t="s">
        <v>439</v>
      </c>
      <c r="M56" s="332" t="s">
        <v>19</v>
      </c>
      <c r="N56" s="57" t="s">
        <v>356</v>
      </c>
      <c r="O56" s="162" t="s">
        <v>132</v>
      </c>
      <c r="P56" s="358" t="s">
        <v>330</v>
      </c>
      <c r="Q56" s="164">
        <f t="shared" ca="1" si="27"/>
        <v>71035840.70908615</v>
      </c>
      <c r="R56" s="111">
        <f t="shared" ca="1" si="28"/>
        <v>72992126.423444346</v>
      </c>
      <c r="S56" s="115">
        <f t="shared" si="29"/>
        <v>663390368.96793199</v>
      </c>
      <c r="V56" s="1"/>
    </row>
    <row r="57" spans="1:24">
      <c r="A57" s="284" t="s">
        <v>457</v>
      </c>
      <c r="B57" s="298"/>
      <c r="C57" s="298"/>
      <c r="D57" s="298"/>
      <c r="E57" s="346"/>
      <c r="F57" s="298"/>
      <c r="G57" s="459"/>
      <c r="H57" s="346"/>
      <c r="I57" s="346"/>
      <c r="J57" s="298"/>
      <c r="K57" s="459"/>
      <c r="L57" s="163" t="s">
        <v>439</v>
      </c>
      <c r="M57" s="390" t="s">
        <v>19</v>
      </c>
      <c r="N57" s="103" t="s">
        <v>356</v>
      </c>
      <c r="O57" s="163" t="s">
        <v>132</v>
      </c>
      <c r="P57" s="359" t="s">
        <v>105</v>
      </c>
      <c r="Q57" s="165">
        <f t="shared" si="27"/>
        <v>5660946.3060093932</v>
      </c>
      <c r="R57" s="111">
        <f t="shared" si="28"/>
        <v>5660946.3060093932</v>
      </c>
      <c r="S57" s="115">
        <f t="shared" si="29"/>
        <v>0</v>
      </c>
      <c r="V57" s="1"/>
    </row>
    <row r="58" spans="1:24">
      <c r="A58" s="294" t="s">
        <v>449</v>
      </c>
      <c r="B58" s="294" t="s">
        <v>460</v>
      </c>
      <c r="C58" s="214">
        <f t="shared" ref="C58:C78" si="30">C33</f>
        <v>0</v>
      </c>
      <c r="D58" s="214">
        <f t="shared" ref="D58:D78" si="31">Q$19+IF(C58&lt;=600,C58*Q$23,600*Q$23+(C58-600)*Q$24)</f>
        <v>7.75</v>
      </c>
      <c r="E58" s="214">
        <f t="shared" ref="E58:E78" ca="1" si="32">Q$35+IF(C58&lt;=600,C58*Y$41,600*Y$41+(C58-600)*Y$43)</f>
        <v>8.5</v>
      </c>
      <c r="F58" s="214">
        <f t="shared" ref="F58:F78" ca="1" si="33">E58-D58</f>
        <v>0.75</v>
      </c>
      <c r="G58" s="448">
        <f t="shared" ref="G58:G78" ca="1" si="34">F58/D58*100</f>
        <v>9.67741935483871</v>
      </c>
      <c r="H58" s="266">
        <f t="shared" ref="H58:H78" ca="1" si="35">E58</f>
        <v>8.5</v>
      </c>
      <c r="I58" s="214">
        <f t="shared" ref="I58:I78" ca="1" si="36">Q$59+IF(C58&lt;=600,C58*Y$65,600*Y$65+(C58-600)*Y$67)</f>
        <v>8.5</v>
      </c>
      <c r="J58" s="214">
        <f t="shared" ref="J58:J78" ca="1" si="37">I58-H58</f>
        <v>0</v>
      </c>
      <c r="K58" s="448">
        <f t="shared" ref="K58:K78" ca="1" si="38">J58/H58*100</f>
        <v>0</v>
      </c>
      <c r="L58" s="282" t="s">
        <v>467</v>
      </c>
      <c r="M58" s="384" t="s">
        <v>19</v>
      </c>
      <c r="N58" s="176" t="s">
        <v>356</v>
      </c>
      <c r="O58" s="180" t="s">
        <v>132</v>
      </c>
      <c r="P58" s="180" t="s">
        <v>132</v>
      </c>
      <c r="Q58" s="182">
        <f ca="1">'Cost of Service and Proposed $'!U128</f>
        <v>183938773.13182959</v>
      </c>
    </row>
    <row r="59" spans="1:24">
      <c r="A59" s="174" t="s">
        <v>449</v>
      </c>
      <c r="B59" s="174" t="s">
        <v>460</v>
      </c>
      <c r="C59" s="94">
        <f t="shared" si="30"/>
        <v>50</v>
      </c>
      <c r="D59" s="94">
        <f t="shared" si="31"/>
        <v>11.888</v>
      </c>
      <c r="E59" s="94">
        <f t="shared" ca="1" si="32"/>
        <v>13.123385769777382</v>
      </c>
      <c r="F59" s="94">
        <f t="shared" ca="1" si="33"/>
        <v>1.2353857697773822</v>
      </c>
      <c r="G59" s="444">
        <f t="shared" ca="1" si="34"/>
        <v>10.391872222218895</v>
      </c>
      <c r="H59" s="221">
        <f t="shared" ca="1" si="35"/>
        <v>13.123385769777382</v>
      </c>
      <c r="I59" s="94">
        <f t="shared" ca="1" si="36"/>
        <v>13.536105028661039</v>
      </c>
      <c r="J59" s="94">
        <f t="shared" ca="1" si="37"/>
        <v>0.41271925888365679</v>
      </c>
      <c r="K59" s="444">
        <f t="shared" ca="1" si="38"/>
        <v>3.1449144765227603</v>
      </c>
      <c r="L59" s="166" t="s">
        <v>440</v>
      </c>
      <c r="M59" s="533" t="s">
        <v>338</v>
      </c>
      <c r="N59" s="98" t="s">
        <v>358</v>
      </c>
      <c r="O59" s="97" t="s">
        <v>136</v>
      </c>
      <c r="P59" s="97" t="s">
        <v>353</v>
      </c>
      <c r="Q59" s="366">
        <f>T59</f>
        <v>8.5</v>
      </c>
      <c r="T59" s="258">
        <f>T35</f>
        <v>8.5</v>
      </c>
      <c r="U59" s="93">
        <f>Q$8*T59+Q$9*T60+Q$10*T61+Q$11*T62</f>
        <v>10860221.290142978</v>
      </c>
    </row>
    <row r="60" spans="1:24">
      <c r="A60" s="174" t="s">
        <v>449</v>
      </c>
      <c r="B60" s="174" t="s">
        <v>460</v>
      </c>
      <c r="C60" s="94">
        <f t="shared" si="30"/>
        <v>100</v>
      </c>
      <c r="D60" s="94">
        <f t="shared" si="31"/>
        <v>16.026</v>
      </c>
      <c r="E60" s="94">
        <f t="shared" ca="1" si="32"/>
        <v>17.746771539554764</v>
      </c>
      <c r="F60" s="94">
        <f t="shared" ca="1" si="33"/>
        <v>1.7207715395547645</v>
      </c>
      <c r="G60" s="444">
        <f t="shared" ca="1" si="34"/>
        <v>10.737373889646602</v>
      </c>
      <c r="H60" s="221">
        <f t="shared" ca="1" si="35"/>
        <v>17.746771539554764</v>
      </c>
      <c r="I60" s="94">
        <f t="shared" ca="1" si="36"/>
        <v>18.572210057322078</v>
      </c>
      <c r="J60" s="94">
        <f t="shared" ca="1" si="37"/>
        <v>0.82543851776731358</v>
      </c>
      <c r="K60" s="444">
        <f t="shared" ca="1" si="38"/>
        <v>4.6512038312294761</v>
      </c>
      <c r="L60" s="162" t="s">
        <v>440</v>
      </c>
      <c r="M60" s="332" t="s">
        <v>338</v>
      </c>
      <c r="N60" s="57" t="s">
        <v>358</v>
      </c>
      <c r="O60" s="55" t="s">
        <v>136</v>
      </c>
      <c r="P60" s="55" t="s">
        <v>354</v>
      </c>
      <c r="Q60" s="361">
        <f>T60</f>
        <v>6.75</v>
      </c>
      <c r="T60" s="258">
        <f>T36</f>
        <v>6.75</v>
      </c>
      <c r="U60" s="93"/>
    </row>
    <row r="61" spans="1:24">
      <c r="A61" s="174" t="s">
        <v>449</v>
      </c>
      <c r="B61" s="174" t="s">
        <v>460</v>
      </c>
      <c r="C61" s="94">
        <f t="shared" si="30"/>
        <v>150</v>
      </c>
      <c r="D61" s="94">
        <f t="shared" si="31"/>
        <v>20.164000000000001</v>
      </c>
      <c r="E61" s="94">
        <f t="shared" ca="1" si="32"/>
        <v>22.37015730933215</v>
      </c>
      <c r="F61" s="94">
        <f t="shared" ca="1" si="33"/>
        <v>2.2061573093321485</v>
      </c>
      <c r="G61" s="444">
        <f t="shared" ca="1" si="34"/>
        <v>10.941069774509762</v>
      </c>
      <c r="H61" s="221">
        <f t="shared" ca="1" si="35"/>
        <v>22.37015730933215</v>
      </c>
      <c r="I61" s="94">
        <f t="shared" ca="1" si="36"/>
        <v>23.608315085983119</v>
      </c>
      <c r="J61" s="94">
        <f t="shared" ca="1" si="37"/>
        <v>1.2381577766509686</v>
      </c>
      <c r="K61" s="444">
        <f t="shared" ca="1" si="38"/>
        <v>5.5348639686786951</v>
      </c>
      <c r="L61" s="162" t="s">
        <v>440</v>
      </c>
      <c r="M61" s="332" t="s">
        <v>338</v>
      </c>
      <c r="N61" s="57" t="s">
        <v>358</v>
      </c>
      <c r="O61" s="55" t="s">
        <v>137</v>
      </c>
      <c r="P61" s="55" t="s">
        <v>353</v>
      </c>
      <c r="Q61" s="361">
        <f>T61</f>
        <v>16.5</v>
      </c>
      <c r="T61" s="258">
        <f>T37</f>
        <v>16.5</v>
      </c>
      <c r="U61" s="93"/>
    </row>
    <row r="62" spans="1:24">
      <c r="A62" s="174" t="s">
        <v>449</v>
      </c>
      <c r="B62" s="174" t="s">
        <v>460</v>
      </c>
      <c r="C62" s="94">
        <f t="shared" si="30"/>
        <v>200</v>
      </c>
      <c r="D62" s="94">
        <f t="shared" si="31"/>
        <v>24.302</v>
      </c>
      <c r="E62" s="94">
        <f t="shared" ca="1" si="32"/>
        <v>26.993543079109532</v>
      </c>
      <c r="F62" s="94">
        <f t="shared" ca="1" si="33"/>
        <v>2.6915430791095325</v>
      </c>
      <c r="G62" s="444">
        <f t="shared" ca="1" si="34"/>
        <v>11.075397412186373</v>
      </c>
      <c r="H62" s="221">
        <f t="shared" ca="1" si="35"/>
        <v>26.993543079109532</v>
      </c>
      <c r="I62" s="94">
        <f t="shared" ca="1" si="36"/>
        <v>28.644420114644156</v>
      </c>
      <c r="J62" s="94">
        <f t="shared" ca="1" si="37"/>
        <v>1.6508770355346236</v>
      </c>
      <c r="K62" s="444">
        <f t="shared" ca="1" si="38"/>
        <v>6.1158219604459685</v>
      </c>
      <c r="L62" s="162" t="s">
        <v>440</v>
      </c>
      <c r="M62" s="332" t="s">
        <v>338</v>
      </c>
      <c r="N62" s="57" t="s">
        <v>358</v>
      </c>
      <c r="O62" s="55" t="s">
        <v>137</v>
      </c>
      <c r="P62" s="55" t="s">
        <v>354</v>
      </c>
      <c r="Q62" s="361">
        <f>T62</f>
        <v>14.75</v>
      </c>
      <c r="T62" s="258">
        <f>T38</f>
        <v>14.75</v>
      </c>
      <c r="U62" s="93"/>
    </row>
    <row r="63" spans="1:24">
      <c r="A63" s="174" t="s">
        <v>449</v>
      </c>
      <c r="B63" s="174" t="s">
        <v>460</v>
      </c>
      <c r="C63" s="94">
        <f t="shared" si="30"/>
        <v>300</v>
      </c>
      <c r="D63" s="94">
        <f t="shared" si="31"/>
        <v>32.578000000000003</v>
      </c>
      <c r="E63" s="94">
        <f t="shared" ca="1" si="32"/>
        <v>36.2403146186643</v>
      </c>
      <c r="F63" s="94">
        <f t="shared" ca="1" si="33"/>
        <v>3.662314618664297</v>
      </c>
      <c r="G63" s="444">
        <f t="shared" ca="1" si="34"/>
        <v>11.241680332323337</v>
      </c>
      <c r="H63" s="221">
        <f t="shared" ca="1" si="35"/>
        <v>36.2403146186643</v>
      </c>
      <c r="I63" s="94">
        <f t="shared" ca="1" si="36"/>
        <v>38.716630171966237</v>
      </c>
      <c r="J63" s="94">
        <f t="shared" ca="1" si="37"/>
        <v>2.4763155533019372</v>
      </c>
      <c r="K63" s="444">
        <f t="shared" ca="1" si="38"/>
        <v>6.8330409913897325</v>
      </c>
      <c r="L63" s="162" t="s">
        <v>440</v>
      </c>
      <c r="M63" s="332" t="s">
        <v>338</v>
      </c>
      <c r="N63" s="57" t="s">
        <v>358</v>
      </c>
      <c r="O63" s="55" t="s">
        <v>132</v>
      </c>
      <c r="P63" s="358" t="s">
        <v>302</v>
      </c>
      <c r="Q63" s="361">
        <f>T63</f>
        <v>-0.25</v>
      </c>
      <c r="R63" s="111"/>
      <c r="T63" s="258">
        <f>T39</f>
        <v>-0.25</v>
      </c>
    </row>
    <row r="64" spans="1:24">
      <c r="A64" s="174" t="s">
        <v>449</v>
      </c>
      <c r="B64" s="174" t="s">
        <v>460</v>
      </c>
      <c r="C64" s="94">
        <f t="shared" si="30"/>
        <v>400</v>
      </c>
      <c r="D64" s="94">
        <f t="shared" si="31"/>
        <v>40.853999999999999</v>
      </c>
      <c r="E64" s="94">
        <f t="shared" ca="1" si="32"/>
        <v>45.487086158219064</v>
      </c>
      <c r="F64" s="94">
        <f t="shared" ca="1" si="33"/>
        <v>4.633086158219065</v>
      </c>
      <c r="G64" s="444">
        <f t="shared" ca="1" si="34"/>
        <v>11.340593719633487</v>
      </c>
      <c r="H64" s="221">
        <f t="shared" ca="1" si="35"/>
        <v>45.487086158219064</v>
      </c>
      <c r="I64" s="94">
        <f t="shared" ca="1" si="36"/>
        <v>48.788840229288311</v>
      </c>
      <c r="J64" s="94">
        <f t="shared" ca="1" si="37"/>
        <v>3.3017540710692472</v>
      </c>
      <c r="K64" s="444">
        <f t="shared" ca="1" si="38"/>
        <v>7.2586625126627347</v>
      </c>
      <c r="L64" s="162" t="s">
        <v>440</v>
      </c>
      <c r="M64" s="332" t="s">
        <v>338</v>
      </c>
      <c r="N64" s="162" t="s">
        <v>270</v>
      </c>
      <c r="O64" s="162" t="s">
        <v>132</v>
      </c>
      <c r="P64" s="358" t="s">
        <v>331</v>
      </c>
      <c r="Q64" s="270">
        <f ca="1">ROUND(R64/100*U64/V64+W64+X64,S64)</f>
        <v>0.10072</v>
      </c>
      <c r="R64" s="380">
        <f>100+Summary!$Q$8</f>
        <v>97.27</v>
      </c>
      <c r="S64" s="93">
        <v>5</v>
      </c>
      <c r="T64" s="257">
        <f t="shared" ref="T64:T71" ca="1" si="39">U64/V64+X64+W64</f>
        <v>0.10354898794409458</v>
      </c>
      <c r="U64" s="1">
        <f t="shared" ref="U64:U71" ca="1" si="40">Q$58-U$59-Q$52-Q$57</f>
        <v>167502711.65567723</v>
      </c>
      <c r="V64" s="1">
        <f t="shared" ref="V64:V71" si="41">Q$14+Q$15+Q$16+Q$17</f>
        <v>1617618047.084254</v>
      </c>
      <c r="W64" s="258">
        <f>AH38*(Q15+Q17)/(Q14+Q15+Q16+Q17)</f>
        <v>0</v>
      </c>
      <c r="X64" s="394">
        <f>-(Q16+Q17)*(Q24-Q23)/(Q14+Q15+Q16+Q17)*(100-T28)/100</f>
        <v>0</v>
      </c>
    </row>
    <row r="65" spans="1:25">
      <c r="A65" s="283" t="s">
        <v>449</v>
      </c>
      <c r="B65" s="283" t="s">
        <v>460</v>
      </c>
      <c r="C65" s="95">
        <f t="shared" si="30"/>
        <v>500</v>
      </c>
      <c r="D65" s="95">
        <f t="shared" si="31"/>
        <v>49.13</v>
      </c>
      <c r="E65" s="95">
        <f t="shared" ca="1" si="32"/>
        <v>54.733857697773828</v>
      </c>
      <c r="F65" s="95">
        <f t="shared" ca="1" si="33"/>
        <v>5.6038576977738259</v>
      </c>
      <c r="G65" s="445">
        <f t="shared" ca="1" si="34"/>
        <v>11.406182979389021</v>
      </c>
      <c r="H65" s="267">
        <f t="shared" ca="1" si="35"/>
        <v>54.733857697773828</v>
      </c>
      <c r="I65" s="95">
        <f t="shared" ca="1" si="36"/>
        <v>58.861050286610393</v>
      </c>
      <c r="J65" s="95">
        <f t="shared" ca="1" si="37"/>
        <v>4.1271925888365644</v>
      </c>
      <c r="K65" s="445">
        <f t="shared" ca="1" si="38"/>
        <v>7.5404745114547786</v>
      </c>
      <c r="L65" s="162" t="s">
        <v>440</v>
      </c>
      <c r="M65" s="332" t="s">
        <v>338</v>
      </c>
      <c r="N65" s="162" t="s">
        <v>270</v>
      </c>
      <c r="O65" s="162" t="s">
        <v>132</v>
      </c>
      <c r="P65" s="358" t="s">
        <v>329</v>
      </c>
      <c r="Q65" s="270">
        <f t="shared" ref="Q65:Q71" ca="1" si="42">ROUND(R65/100*U65/V65+W65+X65,S65)</f>
        <v>0.10072</v>
      </c>
      <c r="R65" s="380">
        <f>100+Summary!$Q$8</f>
        <v>97.27</v>
      </c>
      <c r="S65" s="93">
        <v>5</v>
      </c>
      <c r="T65" s="257">
        <f t="shared" ca="1" si="39"/>
        <v>0.10354898794409458</v>
      </c>
      <c r="U65" s="1">
        <f t="shared" ca="1" si="40"/>
        <v>167502711.65567723</v>
      </c>
      <c r="V65" s="1">
        <f t="shared" si="41"/>
        <v>1617618047.084254</v>
      </c>
      <c r="W65" s="258">
        <f>-AH38*(Q14+Q16)/(Q14+Q15+Q16+Q17)</f>
        <v>0</v>
      </c>
      <c r="X65" s="394">
        <f>-(Q16+Q17)*(Q24-Q23)/(Q14+Q15+Q16+Q17)*(100-T28)/100</f>
        <v>0</v>
      </c>
      <c r="Y65" s="257">
        <f ca="1">R65/100*U65/V65+X65</f>
        <v>0.10072210057322079</v>
      </c>
    </row>
    <row r="66" spans="1:25">
      <c r="A66" s="174" t="s">
        <v>449</v>
      </c>
      <c r="B66" s="174" t="s">
        <v>460</v>
      </c>
      <c r="C66" s="94">
        <f t="shared" si="30"/>
        <v>600</v>
      </c>
      <c r="D66" s="94">
        <f t="shared" si="31"/>
        <v>57.405999999999999</v>
      </c>
      <c r="E66" s="94">
        <f t="shared" ca="1" si="32"/>
        <v>63.980629237328593</v>
      </c>
      <c r="F66" s="94">
        <f t="shared" ca="1" si="33"/>
        <v>6.5746292373285939</v>
      </c>
      <c r="G66" s="444">
        <f t="shared" ca="1" si="34"/>
        <v>11.452860741609925</v>
      </c>
      <c r="H66" s="221">
        <f t="shared" ca="1" si="35"/>
        <v>63.980629237328593</v>
      </c>
      <c r="I66" s="94">
        <f t="shared" ca="1" si="36"/>
        <v>68.933260343932474</v>
      </c>
      <c r="J66" s="94">
        <f t="shared" ca="1" si="37"/>
        <v>4.9526311066038815</v>
      </c>
      <c r="K66" s="444">
        <f t="shared" ca="1" si="38"/>
        <v>7.7408290065930432</v>
      </c>
      <c r="L66" s="162" t="s">
        <v>440</v>
      </c>
      <c r="M66" s="332" t="s">
        <v>338</v>
      </c>
      <c r="N66" s="162" t="s">
        <v>270</v>
      </c>
      <c r="O66" s="162" t="s">
        <v>132</v>
      </c>
      <c r="P66" s="358" t="s">
        <v>332</v>
      </c>
      <c r="Q66" s="270">
        <f t="shared" ca="1" si="42"/>
        <v>0.10072</v>
      </c>
      <c r="R66" s="380">
        <f>100+Summary!$Q$8</f>
        <v>97.27</v>
      </c>
      <c r="S66" s="93">
        <v>5</v>
      </c>
      <c r="T66" s="257">
        <f t="shared" ca="1" si="39"/>
        <v>0.10354898794409458</v>
      </c>
      <c r="U66" s="1">
        <f t="shared" ca="1" si="40"/>
        <v>167502711.65567723</v>
      </c>
      <c r="V66" s="1">
        <f t="shared" si="41"/>
        <v>1617618047.084254</v>
      </c>
      <c r="W66" s="258">
        <f>AH38*(Q15+Q17)/(Q14+Q15+Q16+Q17)</f>
        <v>0</v>
      </c>
      <c r="X66" s="394">
        <f>(Q14+Q15)*(Q24-Q23)/(Q14+Q15+Q16+Q17)*(100-T28)/100</f>
        <v>0</v>
      </c>
      <c r="Y66" s="257"/>
    </row>
    <row r="67" spans="1:25">
      <c r="A67" s="174" t="s">
        <v>449</v>
      </c>
      <c r="B67" s="174" t="s">
        <v>460</v>
      </c>
      <c r="C67" s="94">
        <f t="shared" si="30"/>
        <v>700</v>
      </c>
      <c r="D67" s="94">
        <f t="shared" si="31"/>
        <v>68.603999999999999</v>
      </c>
      <c r="E67" s="94">
        <f t="shared" ca="1" si="32"/>
        <v>74.688400776883356</v>
      </c>
      <c r="F67" s="94">
        <f t="shared" ca="1" si="33"/>
        <v>6.0844007768833563</v>
      </c>
      <c r="G67" s="444">
        <f t="shared" ca="1" si="34"/>
        <v>8.8688717522059299</v>
      </c>
      <c r="H67" s="221">
        <f t="shared" ca="1" si="35"/>
        <v>74.688400776883356</v>
      </c>
      <c r="I67" s="94">
        <f t="shared" ca="1" si="36"/>
        <v>79.005470401254556</v>
      </c>
      <c r="J67" s="94">
        <f t="shared" ca="1" si="37"/>
        <v>4.3170696243712001</v>
      </c>
      <c r="K67" s="444">
        <f t="shared" ca="1" si="38"/>
        <v>5.7801071912994644</v>
      </c>
      <c r="L67" s="162" t="s">
        <v>440</v>
      </c>
      <c r="M67" s="332" t="s">
        <v>338</v>
      </c>
      <c r="N67" s="162" t="s">
        <v>270</v>
      </c>
      <c r="O67" s="162" t="s">
        <v>132</v>
      </c>
      <c r="P67" s="358" t="s">
        <v>330</v>
      </c>
      <c r="Q67" s="270">
        <f t="shared" ca="1" si="42"/>
        <v>0.10072</v>
      </c>
      <c r="R67" s="380">
        <f>100+Summary!$Q$8</f>
        <v>97.27</v>
      </c>
      <c r="S67" s="93">
        <v>5</v>
      </c>
      <c r="T67" s="257">
        <f t="shared" ca="1" si="39"/>
        <v>0.10354898794409458</v>
      </c>
      <c r="U67" s="1">
        <f t="shared" ca="1" si="40"/>
        <v>167502711.65567723</v>
      </c>
      <c r="V67" s="1">
        <f t="shared" si="41"/>
        <v>1617618047.084254</v>
      </c>
      <c r="W67" s="258">
        <f>-AH38*(Q14+Q16)/(Q14+Q15+Q16+Q17)</f>
        <v>0</v>
      </c>
      <c r="X67" s="394">
        <f>(Q14+Q15)*(Q24-Q23)/(Q14+Q15+Q16+Q17)*(100-T28)/100</f>
        <v>0</v>
      </c>
      <c r="Y67" s="257">
        <f ca="1">R67/100*U67/V67+X67</f>
        <v>0.10072210057322079</v>
      </c>
    </row>
    <row r="68" spans="1:25">
      <c r="A68" s="174" t="s">
        <v>449</v>
      </c>
      <c r="B68" s="174" t="s">
        <v>460</v>
      </c>
      <c r="C68" s="94">
        <f t="shared" si="30"/>
        <v>800</v>
      </c>
      <c r="D68" s="94">
        <f t="shared" si="31"/>
        <v>79.801999999999992</v>
      </c>
      <c r="E68" s="94">
        <f t="shared" ca="1" si="32"/>
        <v>85.396172316438125</v>
      </c>
      <c r="F68" s="94">
        <f t="shared" ca="1" si="33"/>
        <v>5.594172316438133</v>
      </c>
      <c r="G68" s="444">
        <f t="shared" ca="1" si="34"/>
        <v>7.0100653071829448</v>
      </c>
      <c r="H68" s="221">
        <f t="shared" ca="1" si="35"/>
        <v>85.396172316438125</v>
      </c>
      <c r="I68" s="94">
        <f t="shared" ca="1" si="36"/>
        <v>89.077680458576623</v>
      </c>
      <c r="J68" s="94">
        <f t="shared" ca="1" si="37"/>
        <v>3.6815081421384974</v>
      </c>
      <c r="K68" s="444">
        <f t="shared" ca="1" si="38"/>
        <v>4.3110926898415967</v>
      </c>
      <c r="L68" s="162" t="s">
        <v>440</v>
      </c>
      <c r="M68" s="332" t="s">
        <v>338</v>
      </c>
      <c r="N68" s="162" t="s">
        <v>359</v>
      </c>
      <c r="O68" s="162" t="s">
        <v>132</v>
      </c>
      <c r="P68" s="358" t="s">
        <v>411</v>
      </c>
      <c r="Q68" s="270">
        <f t="shared" ca="1" si="42"/>
        <v>0.13131999999999999</v>
      </c>
      <c r="R68" s="380">
        <f>100+Summary!$Q$8</f>
        <v>97.27</v>
      </c>
      <c r="S68" s="93">
        <v>5</v>
      </c>
      <c r="T68" s="257">
        <f t="shared" ca="1" si="39"/>
        <v>0.13414898794409458</v>
      </c>
      <c r="U68" s="1">
        <f t="shared" ca="1" si="40"/>
        <v>167502711.65567723</v>
      </c>
      <c r="V68" s="1">
        <f t="shared" si="41"/>
        <v>1617618047.084254</v>
      </c>
      <c r="W68" s="258">
        <f>AH38*(Q15+Q17)/(Q14+Q15+Q16+Q17)</f>
        <v>0</v>
      </c>
      <c r="X68" s="392">
        <f>ROUND(V28*(1-W28/100),5)</f>
        <v>3.0599999999999999E-2</v>
      </c>
    </row>
    <row r="69" spans="1:25">
      <c r="A69" s="174" t="s">
        <v>449</v>
      </c>
      <c r="B69" s="174" t="s">
        <v>460</v>
      </c>
      <c r="C69" s="94">
        <f t="shared" si="30"/>
        <v>900</v>
      </c>
      <c r="D69" s="94">
        <f t="shared" si="31"/>
        <v>91</v>
      </c>
      <c r="E69" s="94">
        <f t="shared" ca="1" si="32"/>
        <v>96.103943855992895</v>
      </c>
      <c r="F69" s="94">
        <f t="shared" ca="1" si="33"/>
        <v>5.1039438559928954</v>
      </c>
      <c r="G69" s="444">
        <f t="shared" ca="1" si="34"/>
        <v>5.6087295120801048</v>
      </c>
      <c r="H69" s="221">
        <f t="shared" ca="1" si="35"/>
        <v>96.103943855992895</v>
      </c>
      <c r="I69" s="94">
        <f t="shared" ca="1" si="36"/>
        <v>99.149890515898704</v>
      </c>
      <c r="J69" s="94">
        <f t="shared" ca="1" si="37"/>
        <v>3.0459466599058089</v>
      </c>
      <c r="K69" s="444">
        <f t="shared" ca="1" si="38"/>
        <v>3.1694294091301938</v>
      </c>
      <c r="L69" s="162" t="s">
        <v>440</v>
      </c>
      <c r="M69" s="332" t="s">
        <v>338</v>
      </c>
      <c r="N69" s="162" t="s">
        <v>359</v>
      </c>
      <c r="O69" s="162" t="s">
        <v>132</v>
      </c>
      <c r="P69" s="358" t="s">
        <v>412</v>
      </c>
      <c r="Q69" s="270">
        <f t="shared" ca="1" si="42"/>
        <v>0.13131999999999999</v>
      </c>
      <c r="R69" s="380">
        <f>100+Summary!$Q$8</f>
        <v>97.27</v>
      </c>
      <c r="S69" s="93">
        <v>5</v>
      </c>
      <c r="T69" s="257">
        <f t="shared" ca="1" si="39"/>
        <v>0.13414898794409458</v>
      </c>
      <c r="U69" s="1">
        <f t="shared" ca="1" si="40"/>
        <v>167502711.65567723</v>
      </c>
      <c r="V69" s="1">
        <f t="shared" si="41"/>
        <v>1617618047.084254</v>
      </c>
      <c r="W69" s="258">
        <f>-AH38*(Q14+Q16)/(Q14+Q15+Q16+Q17)</f>
        <v>0</v>
      </c>
      <c r="X69" s="392">
        <f>ROUND(V28*(1-W28/100),5)</f>
        <v>3.0599999999999999E-2</v>
      </c>
    </row>
    <row r="70" spans="1:25">
      <c r="A70" s="174" t="s">
        <v>449</v>
      </c>
      <c r="B70" s="174" t="s">
        <v>460</v>
      </c>
      <c r="C70" s="94">
        <f t="shared" si="30"/>
        <v>1000</v>
      </c>
      <c r="D70" s="94">
        <f t="shared" si="31"/>
        <v>102.19800000000001</v>
      </c>
      <c r="E70" s="94">
        <f t="shared" ca="1" si="32"/>
        <v>106.81171539554765</v>
      </c>
      <c r="F70" s="94">
        <f t="shared" ca="1" si="33"/>
        <v>4.6137153955476435</v>
      </c>
      <c r="G70" s="444">
        <f t="shared" ca="1" si="34"/>
        <v>4.5144869719051677</v>
      </c>
      <c r="H70" s="221">
        <f t="shared" ca="1" si="35"/>
        <v>106.81171539554765</v>
      </c>
      <c r="I70" s="94">
        <f t="shared" ca="1" si="36"/>
        <v>109.22210057322079</v>
      </c>
      <c r="J70" s="94">
        <f t="shared" ca="1" si="37"/>
        <v>2.4103851776731346</v>
      </c>
      <c r="K70" s="444">
        <f t="shared" ca="1" si="38"/>
        <v>2.256667415879372</v>
      </c>
      <c r="L70" s="162" t="s">
        <v>440</v>
      </c>
      <c r="M70" s="332" t="s">
        <v>338</v>
      </c>
      <c r="N70" s="162" t="s">
        <v>359</v>
      </c>
      <c r="O70" s="162" t="s">
        <v>132</v>
      </c>
      <c r="P70" s="358" t="s">
        <v>413</v>
      </c>
      <c r="Q70" s="270">
        <f t="shared" ca="1" si="42"/>
        <v>7.8270000000000006E-2</v>
      </c>
      <c r="R70" s="380">
        <f>100+Summary!$Q$8</f>
        <v>97.27</v>
      </c>
      <c r="S70" s="93">
        <v>5</v>
      </c>
      <c r="T70" s="257">
        <f t="shared" ca="1" si="39"/>
        <v>8.1098987944094578E-2</v>
      </c>
      <c r="U70" s="1">
        <f t="shared" ca="1" si="40"/>
        <v>167502711.65567723</v>
      </c>
      <c r="V70" s="1">
        <f t="shared" si="41"/>
        <v>1617618047.084254</v>
      </c>
      <c r="W70" s="258">
        <f>AH38*(Q15+Q17)/(Q14+Q15+Q16+Q17)</f>
        <v>0</v>
      </c>
      <c r="X70" s="392">
        <f>ROUND(-V28*W28/100,5)</f>
        <v>-2.2450000000000001E-2</v>
      </c>
    </row>
    <row r="71" spans="1:25">
      <c r="A71" s="174" t="s">
        <v>449</v>
      </c>
      <c r="B71" s="174" t="s">
        <v>460</v>
      </c>
      <c r="C71" s="94">
        <f t="shared" si="30"/>
        <v>1100</v>
      </c>
      <c r="D71" s="94">
        <f t="shared" si="31"/>
        <v>113.39599999999999</v>
      </c>
      <c r="E71" s="94">
        <f t="shared" ca="1" si="32"/>
        <v>117.51948693510242</v>
      </c>
      <c r="F71" s="94">
        <f t="shared" ca="1" si="33"/>
        <v>4.1234869351024344</v>
      </c>
      <c r="G71" s="444">
        <f t="shared" ca="1" si="34"/>
        <v>3.6363601318410126</v>
      </c>
      <c r="H71" s="221">
        <f t="shared" ca="1" si="35"/>
        <v>117.51948693510242</v>
      </c>
      <c r="I71" s="94">
        <f t="shared" ca="1" si="36"/>
        <v>119.29431063054287</v>
      </c>
      <c r="J71" s="94">
        <f t="shared" ca="1" si="37"/>
        <v>1.7748236954404462</v>
      </c>
      <c r="K71" s="444">
        <f t="shared" ca="1" si="38"/>
        <v>1.5102377841562173</v>
      </c>
      <c r="L71" s="163" t="s">
        <v>440</v>
      </c>
      <c r="M71" s="390" t="s">
        <v>338</v>
      </c>
      <c r="N71" s="163" t="s">
        <v>359</v>
      </c>
      <c r="O71" s="163" t="s">
        <v>132</v>
      </c>
      <c r="P71" s="359" t="s">
        <v>414</v>
      </c>
      <c r="Q71" s="270">
        <f t="shared" ca="1" si="42"/>
        <v>7.8270000000000006E-2</v>
      </c>
      <c r="R71" s="380">
        <f>100+Summary!$Q$8</f>
        <v>97.27</v>
      </c>
      <c r="S71" s="93">
        <v>5</v>
      </c>
      <c r="T71" s="257">
        <f t="shared" ca="1" si="39"/>
        <v>8.1098987944094578E-2</v>
      </c>
      <c r="U71" s="1">
        <f t="shared" ca="1" si="40"/>
        <v>167502711.65567723</v>
      </c>
      <c r="V71" s="1">
        <f t="shared" si="41"/>
        <v>1617618047.084254</v>
      </c>
      <c r="W71" s="258">
        <f>-AH38*(Q14+Q16)/(Q14+Q15+Q16+Q17)</f>
        <v>0</v>
      </c>
      <c r="X71" s="392">
        <f>ROUND(-V28*W28/100,5)</f>
        <v>-2.2450000000000001E-2</v>
      </c>
    </row>
    <row r="72" spans="1:25">
      <c r="A72" s="282" t="s">
        <v>449</v>
      </c>
      <c r="B72" s="282" t="s">
        <v>460</v>
      </c>
      <c r="C72" s="285">
        <f t="shared" si="30"/>
        <v>1200</v>
      </c>
      <c r="D72" s="285">
        <f t="shared" si="31"/>
        <v>124.59399999999999</v>
      </c>
      <c r="E72" s="285">
        <f t="shared" ca="1" si="32"/>
        <v>128.22725847465719</v>
      </c>
      <c r="F72" s="285">
        <f t="shared" ca="1" si="33"/>
        <v>3.6332584746571968</v>
      </c>
      <c r="G72" s="446">
        <f t="shared" ca="1" si="34"/>
        <v>2.91607820172496</v>
      </c>
      <c r="H72" s="375">
        <f t="shared" ca="1" si="35"/>
        <v>128.22725847465719</v>
      </c>
      <c r="I72" s="285">
        <f t="shared" ca="1" si="36"/>
        <v>129.36652068786495</v>
      </c>
      <c r="J72" s="285">
        <f t="shared" ca="1" si="37"/>
        <v>1.1392622132077577</v>
      </c>
      <c r="K72" s="446">
        <f t="shared" ca="1" si="38"/>
        <v>0.8884711618730593</v>
      </c>
      <c r="L72" s="166" t="s">
        <v>440</v>
      </c>
      <c r="M72" s="533" t="s">
        <v>19</v>
      </c>
      <c r="N72" s="98" t="s">
        <v>356</v>
      </c>
      <c r="O72" s="97" t="s">
        <v>136</v>
      </c>
      <c r="P72" s="97" t="s">
        <v>353</v>
      </c>
      <c r="Q72" s="167">
        <f t="shared" ref="Q72:Q81" si="43">IF(P72="Unbilled",SUMIFS(Q$48:Q$57,P$48:P$57,P72),SUMIFS(Q$59:Q$71,O$59:O$71,O72,P$59:P$71,P72)*S72)</f>
        <v>9131218.3534133546</v>
      </c>
      <c r="R72" s="111">
        <f t="shared" ref="R72:R81" si="44">IF(P72="Unbilled",SUMIFS(Q$48:Q$57,P$48:P$57,P72),SUMIFS(T$59:T$71,O$59:O$71,O72,P$59:P$71,P72)*S72)</f>
        <v>9131218.3534133546</v>
      </c>
      <c r="S72" s="115">
        <f t="shared" ref="S72:S81" si="45">SUMIFS(Q$8:Q$18,O$8:O$18,O72,P$8:P$18,P72)</f>
        <v>1074260.9827545122</v>
      </c>
      <c r="V72" s="1"/>
    </row>
    <row r="73" spans="1:25">
      <c r="A73" s="174" t="s">
        <v>449</v>
      </c>
      <c r="B73" s="174" t="s">
        <v>460</v>
      </c>
      <c r="C73" s="94">
        <f t="shared" si="30"/>
        <v>1300</v>
      </c>
      <c r="D73" s="94">
        <f t="shared" si="31"/>
        <v>135.792</v>
      </c>
      <c r="E73" s="94">
        <f t="shared" ca="1" si="32"/>
        <v>138.93503001421195</v>
      </c>
      <c r="F73" s="94">
        <f t="shared" ca="1" si="33"/>
        <v>3.1430300142119449</v>
      </c>
      <c r="G73" s="444">
        <f t="shared" ca="1" si="34"/>
        <v>2.3145914444237841</v>
      </c>
      <c r="H73" s="221">
        <f t="shared" ca="1" si="35"/>
        <v>138.93503001421195</v>
      </c>
      <c r="I73" s="94">
        <f t="shared" ca="1" si="36"/>
        <v>139.43873074518703</v>
      </c>
      <c r="J73" s="94">
        <f t="shared" ca="1" si="37"/>
        <v>0.50370073097508339</v>
      </c>
      <c r="K73" s="444">
        <f t="shared" ca="1" si="38"/>
        <v>0.36254408331977817</v>
      </c>
      <c r="L73" s="162" t="s">
        <v>440</v>
      </c>
      <c r="M73" s="332" t="s">
        <v>19</v>
      </c>
      <c r="N73" s="57" t="s">
        <v>356</v>
      </c>
      <c r="O73" s="55" t="s">
        <v>136</v>
      </c>
      <c r="P73" s="55" t="s">
        <v>354</v>
      </c>
      <c r="Q73" s="164">
        <f t="shared" si="43"/>
        <v>1711736.3702780106</v>
      </c>
      <c r="R73" s="111">
        <f t="shared" si="44"/>
        <v>1711736.3702780106</v>
      </c>
      <c r="S73" s="115">
        <f t="shared" si="45"/>
        <v>253590.57337452009</v>
      </c>
      <c r="V73" s="1"/>
    </row>
    <row r="74" spans="1:25">
      <c r="A74" s="174" t="s">
        <v>449</v>
      </c>
      <c r="B74" s="174" t="s">
        <v>460</v>
      </c>
      <c r="C74" s="94">
        <f t="shared" si="30"/>
        <v>1400</v>
      </c>
      <c r="D74" s="94">
        <f t="shared" si="31"/>
        <v>146.99</v>
      </c>
      <c r="E74" s="94">
        <f t="shared" ca="1" si="32"/>
        <v>149.6428015537667</v>
      </c>
      <c r="F74" s="94">
        <f t="shared" ca="1" si="33"/>
        <v>2.6528015537666931</v>
      </c>
      <c r="G74" s="444">
        <f t="shared" ca="1" si="34"/>
        <v>1.8047496794113156</v>
      </c>
      <c r="H74" s="221">
        <f t="shared" ca="1" si="35"/>
        <v>149.6428015537667</v>
      </c>
      <c r="I74" s="94">
        <f t="shared" ca="1" si="36"/>
        <v>149.51094080250908</v>
      </c>
      <c r="J74" s="94">
        <f t="shared" ca="1" si="37"/>
        <v>-0.13186075125761931</v>
      </c>
      <c r="K74" s="444">
        <f t="shared" ca="1" si="38"/>
        <v>-8.8117002547724754E-2</v>
      </c>
      <c r="L74" s="162" t="s">
        <v>440</v>
      </c>
      <c r="M74" s="332" t="s">
        <v>19</v>
      </c>
      <c r="N74" s="57" t="s">
        <v>356</v>
      </c>
      <c r="O74" s="55" t="s">
        <v>137</v>
      </c>
      <c r="P74" s="55" t="s">
        <v>353</v>
      </c>
      <c r="Q74" s="164">
        <f t="shared" si="43"/>
        <v>16940.581935483868</v>
      </c>
      <c r="R74" s="111">
        <f t="shared" si="44"/>
        <v>16940.581935483868</v>
      </c>
      <c r="S74" s="115">
        <f t="shared" si="45"/>
        <v>1026.7019354838708</v>
      </c>
      <c r="V74" s="1"/>
      <c r="W74" s="258"/>
    </row>
    <row r="75" spans="1:25">
      <c r="A75" s="174" t="s">
        <v>449</v>
      </c>
      <c r="B75" s="174" t="s">
        <v>460</v>
      </c>
      <c r="C75" s="94">
        <f t="shared" si="30"/>
        <v>1500</v>
      </c>
      <c r="D75" s="94">
        <f t="shared" si="31"/>
        <v>158.18799999999999</v>
      </c>
      <c r="E75" s="94">
        <f t="shared" ca="1" si="32"/>
        <v>160.35057309332149</v>
      </c>
      <c r="F75" s="94">
        <f t="shared" ca="1" si="33"/>
        <v>2.1625730933214982</v>
      </c>
      <c r="G75" s="444">
        <f t="shared" ca="1" si="34"/>
        <v>1.3670904830464374</v>
      </c>
      <c r="H75" s="221">
        <f t="shared" ca="1" si="35"/>
        <v>160.35057309332149</v>
      </c>
      <c r="I75" s="94">
        <f t="shared" ca="1" si="36"/>
        <v>159.58315085983116</v>
      </c>
      <c r="J75" s="94">
        <f t="shared" ca="1" si="37"/>
        <v>-0.76742223349032201</v>
      </c>
      <c r="K75" s="444">
        <f t="shared" ca="1" si="38"/>
        <v>-0.4785902654951501</v>
      </c>
      <c r="L75" s="162" t="s">
        <v>440</v>
      </c>
      <c r="M75" s="332" t="s">
        <v>19</v>
      </c>
      <c r="N75" s="57" t="s">
        <v>356</v>
      </c>
      <c r="O75" s="55" t="s">
        <v>137</v>
      </c>
      <c r="P75" s="55" t="s">
        <v>354</v>
      </c>
      <c r="Q75" s="164">
        <f t="shared" si="43"/>
        <v>325.98451612903227</v>
      </c>
      <c r="R75" s="111">
        <f t="shared" si="44"/>
        <v>325.98451612903227</v>
      </c>
      <c r="S75" s="115">
        <f t="shared" si="45"/>
        <v>22.100645161290323</v>
      </c>
      <c r="V75" s="1"/>
    </row>
    <row r="76" spans="1:25">
      <c r="A76" s="174" t="s">
        <v>449</v>
      </c>
      <c r="B76" s="174" t="s">
        <v>460</v>
      </c>
      <c r="C76" s="94">
        <f t="shared" si="30"/>
        <v>1600</v>
      </c>
      <c r="D76" s="94">
        <f t="shared" si="31"/>
        <v>169.386</v>
      </c>
      <c r="E76" s="94">
        <f t="shared" ca="1" si="32"/>
        <v>171.05834463287624</v>
      </c>
      <c r="F76" s="94">
        <f t="shared" ca="1" si="33"/>
        <v>1.6723446328762464</v>
      </c>
      <c r="G76" s="444">
        <f t="shared" ca="1" si="34"/>
        <v>0.98729802514744214</v>
      </c>
      <c r="H76" s="221">
        <f t="shared" ca="1" si="35"/>
        <v>171.05834463287624</v>
      </c>
      <c r="I76" s="94">
        <f t="shared" ca="1" si="36"/>
        <v>169.65536091715325</v>
      </c>
      <c r="J76" s="94">
        <f t="shared" ca="1" si="37"/>
        <v>-1.4029837157229963</v>
      </c>
      <c r="K76" s="444">
        <f t="shared" ca="1" si="38"/>
        <v>-0.82017847111409048</v>
      </c>
      <c r="L76" s="162" t="s">
        <v>440</v>
      </c>
      <c r="M76" s="332" t="s">
        <v>19</v>
      </c>
      <c r="N76" s="57" t="s">
        <v>356</v>
      </c>
      <c r="O76" s="55" t="s">
        <v>132</v>
      </c>
      <c r="P76" s="358" t="s">
        <v>302</v>
      </c>
      <c r="Q76" s="164">
        <f t="shared" si="43"/>
        <v>-85106.12000000001</v>
      </c>
      <c r="R76" s="111">
        <f t="shared" si="44"/>
        <v>-85106.12000000001</v>
      </c>
      <c r="S76" s="115">
        <f t="shared" si="45"/>
        <v>340424.48000000004</v>
      </c>
      <c r="V76" s="1"/>
    </row>
    <row r="77" spans="1:25">
      <c r="A77" s="174" t="s">
        <v>449</v>
      </c>
      <c r="B77" s="174" t="s">
        <v>460</v>
      </c>
      <c r="C77" s="94">
        <f t="shared" si="30"/>
        <v>2000</v>
      </c>
      <c r="D77" s="94">
        <f t="shared" si="31"/>
        <v>214.178</v>
      </c>
      <c r="E77" s="94">
        <f t="shared" ca="1" si="32"/>
        <v>213.88943079109532</v>
      </c>
      <c r="F77" s="94">
        <f t="shared" ca="1" si="33"/>
        <v>-0.28856920890467563</v>
      </c>
      <c r="G77" s="444">
        <f t="shared" ca="1" si="34"/>
        <v>-0.13473335678952816</v>
      </c>
      <c r="H77" s="221">
        <f t="shared" ca="1" si="35"/>
        <v>213.88943079109532</v>
      </c>
      <c r="I77" s="94">
        <f t="shared" ca="1" si="36"/>
        <v>209.94420114644157</v>
      </c>
      <c r="J77" s="94">
        <f t="shared" ca="1" si="37"/>
        <v>-3.9452296446537503</v>
      </c>
      <c r="K77" s="444">
        <f t="shared" ca="1" si="38"/>
        <v>-1.8445182775333278</v>
      </c>
      <c r="L77" s="162" t="s">
        <v>440</v>
      </c>
      <c r="M77" s="332" t="s">
        <v>19</v>
      </c>
      <c r="N77" s="57" t="s">
        <v>356</v>
      </c>
      <c r="O77" s="162" t="s">
        <v>132</v>
      </c>
      <c r="P77" s="358" t="s">
        <v>331</v>
      </c>
      <c r="Q77" s="164">
        <f t="shared" ca="1" si="43"/>
        <v>23409090.385071158</v>
      </c>
      <c r="R77" s="111">
        <f t="shared" ca="1" si="44"/>
        <v>24066596.684530914</v>
      </c>
      <c r="S77" s="115">
        <f t="shared" si="45"/>
        <v>232417497.86607584</v>
      </c>
      <c r="V77" s="1"/>
    </row>
    <row r="78" spans="1:25">
      <c r="A78" s="283" t="s">
        <v>449</v>
      </c>
      <c r="B78" s="283" t="s">
        <v>460</v>
      </c>
      <c r="C78" s="95">
        <f t="shared" si="30"/>
        <v>2600</v>
      </c>
      <c r="D78" s="95">
        <f t="shared" si="31"/>
        <v>281.36599999999999</v>
      </c>
      <c r="E78" s="95">
        <f t="shared" ca="1" si="32"/>
        <v>278.13606002842391</v>
      </c>
      <c r="F78" s="95">
        <f t="shared" ca="1" si="33"/>
        <v>-3.2299399715760728</v>
      </c>
      <c r="G78" s="445">
        <f t="shared" ca="1" si="34"/>
        <v>-1.1479496355551393</v>
      </c>
      <c r="H78" s="267">
        <f t="shared" ca="1" si="35"/>
        <v>278.13606002842391</v>
      </c>
      <c r="I78" s="95">
        <f t="shared" ca="1" si="36"/>
        <v>270.37746149037406</v>
      </c>
      <c r="J78" s="95">
        <f t="shared" ca="1" si="37"/>
        <v>-7.7585985380498528</v>
      </c>
      <c r="K78" s="445">
        <f t="shared" ca="1" si="38"/>
        <v>-2.7894975348600854</v>
      </c>
      <c r="L78" s="162" t="s">
        <v>440</v>
      </c>
      <c r="M78" s="332" t="s">
        <v>19</v>
      </c>
      <c r="N78" s="57" t="s">
        <v>356</v>
      </c>
      <c r="O78" s="162" t="s">
        <v>132</v>
      </c>
      <c r="P78" s="358" t="s">
        <v>329</v>
      </c>
      <c r="Q78" s="164">
        <f t="shared" ca="1" si="43"/>
        <v>48830028.97612676</v>
      </c>
      <c r="R78" s="111">
        <f t="shared" ca="1" si="44"/>
        <v>50201549.660035126</v>
      </c>
      <c r="S78" s="115">
        <f t="shared" si="45"/>
        <v>484809660.2077716</v>
      </c>
      <c r="V78" s="1"/>
    </row>
    <row r="79" spans="1:25">
      <c r="A79" s="344" t="s">
        <v>451</v>
      </c>
      <c r="B79" s="297"/>
      <c r="C79" s="297"/>
      <c r="D79" s="297"/>
      <c r="E79" s="2"/>
      <c r="F79" s="297"/>
      <c r="G79" s="457"/>
      <c r="H79" s="2"/>
      <c r="I79" s="2"/>
      <c r="J79" s="297"/>
      <c r="K79" s="457"/>
      <c r="L79" s="162" t="s">
        <v>440</v>
      </c>
      <c r="M79" s="332" t="s">
        <v>19</v>
      </c>
      <c r="N79" s="57" t="s">
        <v>356</v>
      </c>
      <c r="O79" s="162" t="s">
        <v>132</v>
      </c>
      <c r="P79" s="358" t="s">
        <v>332</v>
      </c>
      <c r="Q79" s="164">
        <f t="shared" ca="1" si="43"/>
        <v>23870692.37867805</v>
      </c>
      <c r="R79" s="111">
        <f t="shared" ca="1" si="44"/>
        <v>24541163.992622357</v>
      </c>
      <c r="S79" s="115">
        <f t="shared" si="45"/>
        <v>237000520.04247469</v>
      </c>
      <c r="V79" s="1"/>
    </row>
    <row r="80" spans="1:25">
      <c r="A80" s="345" t="str">
        <f>"The average residential customer uses "&amp;TEXT(C$22,"#,###")&amp;" kilowatt hours per month"</f>
        <v>The average residential customer uses 1,200 kilowatt hours per month</v>
      </c>
      <c r="B80" s="96"/>
      <c r="C80" s="96"/>
      <c r="D80" s="96"/>
      <c r="E80"/>
      <c r="F80" s="96"/>
      <c r="G80" s="458"/>
      <c r="H80"/>
      <c r="I80"/>
      <c r="J80" s="96"/>
      <c r="K80" s="458"/>
      <c r="L80" s="162" t="s">
        <v>440</v>
      </c>
      <c r="M80" s="332" t="s">
        <v>19</v>
      </c>
      <c r="N80" s="57" t="s">
        <v>356</v>
      </c>
      <c r="O80" s="162" t="s">
        <v>132</v>
      </c>
      <c r="P80" s="358" t="s">
        <v>330</v>
      </c>
      <c r="Q80" s="164">
        <f t="shared" ca="1" si="43"/>
        <v>66816677.962450109</v>
      </c>
      <c r="R80" s="111">
        <f t="shared" ca="1" si="44"/>
        <v>68693401.318488836</v>
      </c>
      <c r="S80" s="115">
        <f t="shared" si="45"/>
        <v>663390368.96793199</v>
      </c>
      <c r="V80" s="1"/>
    </row>
    <row r="81" spans="1:22">
      <c r="A81" s="335" t="s">
        <v>452</v>
      </c>
      <c r="B81"/>
      <c r="C81"/>
      <c r="D81"/>
      <c r="E81"/>
      <c r="F81" s="96"/>
      <c r="G81" s="458"/>
      <c r="H81"/>
      <c r="I81"/>
      <c r="J81" s="96"/>
      <c r="K81" s="458"/>
      <c r="L81" s="163" t="s">
        <v>440</v>
      </c>
      <c r="M81" s="390" t="s">
        <v>19</v>
      </c>
      <c r="N81" s="103" t="s">
        <v>356</v>
      </c>
      <c r="O81" s="163" t="s">
        <v>132</v>
      </c>
      <c r="P81" s="359" t="s">
        <v>105</v>
      </c>
      <c r="Q81" s="165">
        <f t="shared" si="43"/>
        <v>5660946.3060093932</v>
      </c>
      <c r="R81" s="111">
        <f t="shared" si="44"/>
        <v>5660946.3060093932</v>
      </c>
      <c r="S81" s="115">
        <f t="shared" si="45"/>
        <v>0</v>
      </c>
      <c r="V81" s="1"/>
    </row>
    <row r="82" spans="1:22">
      <c r="A82" s="284" t="s">
        <v>457</v>
      </c>
      <c r="B82" s="298"/>
      <c r="C82" s="298"/>
      <c r="D82" s="298"/>
      <c r="E82" s="346"/>
      <c r="F82" s="298"/>
      <c r="G82" s="459"/>
      <c r="H82" s="346"/>
      <c r="I82" s="346"/>
      <c r="J82" s="298"/>
      <c r="K82" s="459"/>
    </row>
    <row r="83" spans="1:22">
      <c r="A83" s="294" t="s">
        <v>450</v>
      </c>
      <c r="B83" s="294" t="s">
        <v>458</v>
      </c>
      <c r="C83" s="214">
        <f t="shared" ref="C83:C103" si="46">C8</f>
        <v>0</v>
      </c>
      <c r="D83" s="214">
        <f t="shared" ref="D83:D103" si="47">Q$19+IF(C83&lt;=600,C83*Q$23,600*Q$23+(C83-600)*Q$24)</f>
        <v>7.75</v>
      </c>
      <c r="E83" s="214">
        <f t="shared" ref="E83:E103" ca="1" si="48">Q$36+IF(C83&lt;=600,C83*Q$40,600*Q$40+(C83-600)*Q$42)</f>
        <v>6.75</v>
      </c>
      <c r="F83" s="214">
        <f t="shared" ref="F83:F103" ca="1" si="49">E83-D83</f>
        <v>-1</v>
      </c>
      <c r="G83" s="448">
        <f t="shared" ref="G83:G103" ca="1" si="50">F83/D83*100</f>
        <v>-12.903225806451612</v>
      </c>
      <c r="H83" s="266">
        <f ca="1">E83</f>
        <v>6.75</v>
      </c>
      <c r="I83" s="214">
        <f t="shared" ref="I83:I103" ca="1" si="51">Q$60+IF(C83&lt;=600,C83*Q$64,600*Q$64+(C83-600)*Q$66)</f>
        <v>6.75</v>
      </c>
      <c r="J83" s="214">
        <f t="shared" ref="J83:J103" ca="1" si="52">I83-H83</f>
        <v>0</v>
      </c>
      <c r="K83" s="448">
        <f t="shared" ref="K83:K103" ca="1" si="53">J83/H83*100</f>
        <v>0</v>
      </c>
      <c r="Q83" s="481" t="s">
        <v>152</v>
      </c>
      <c r="R83" s="155"/>
    </row>
    <row r="84" spans="1:22">
      <c r="A84" s="174" t="s">
        <v>450</v>
      </c>
      <c r="B84" s="174" t="s">
        <v>458</v>
      </c>
      <c r="C84" s="94">
        <f t="shared" si="46"/>
        <v>50</v>
      </c>
      <c r="D84" s="94">
        <f t="shared" si="47"/>
        <v>11.888</v>
      </c>
      <c r="E84" s="94">
        <f t="shared" ca="1" si="48"/>
        <v>11.3735</v>
      </c>
      <c r="F84" s="94">
        <f t="shared" ca="1" si="49"/>
        <v>-0.51449999999999996</v>
      </c>
      <c r="G84" s="444">
        <f t="shared" ca="1" si="50"/>
        <v>-4.3278936742934047</v>
      </c>
      <c r="H84" s="221">
        <f t="shared" ref="H84:H103" ca="1" si="54">E84</f>
        <v>11.3735</v>
      </c>
      <c r="I84" s="94">
        <f t="shared" ca="1" si="51"/>
        <v>11.786000000000001</v>
      </c>
      <c r="J84" s="94">
        <f t="shared" ca="1" si="52"/>
        <v>0.41250000000000142</v>
      </c>
      <c r="K84" s="444">
        <f t="shared" ca="1" si="53"/>
        <v>3.6268518925572728</v>
      </c>
      <c r="Q84" s="482" t="s">
        <v>435</v>
      </c>
      <c r="R84" s="480">
        <f ca="1">SUM(R48:R57)-Q34</f>
        <v>0</v>
      </c>
    </row>
    <row r="85" spans="1:22">
      <c r="A85" s="174" t="s">
        <v>450</v>
      </c>
      <c r="B85" s="174" t="s">
        <v>458</v>
      </c>
      <c r="C85" s="94">
        <f t="shared" si="46"/>
        <v>100</v>
      </c>
      <c r="D85" s="94">
        <f t="shared" si="47"/>
        <v>16.026</v>
      </c>
      <c r="E85" s="94">
        <f t="shared" ca="1" si="48"/>
        <v>15.997</v>
      </c>
      <c r="F85" s="94">
        <f t="shared" ca="1" si="49"/>
        <v>-2.8999999999999915E-2</v>
      </c>
      <c r="G85" s="444">
        <f t="shared" ca="1" si="50"/>
        <v>-0.18095594658679592</v>
      </c>
      <c r="H85" s="221">
        <f t="shared" ca="1" si="54"/>
        <v>15.997</v>
      </c>
      <c r="I85" s="94">
        <f t="shared" ca="1" si="51"/>
        <v>16.822000000000003</v>
      </c>
      <c r="J85" s="94">
        <f t="shared" ca="1" si="52"/>
        <v>0.82500000000000284</v>
      </c>
      <c r="K85" s="444">
        <f t="shared" ca="1" si="53"/>
        <v>5.1572169781834276</v>
      </c>
      <c r="Q85" s="483" t="s">
        <v>437</v>
      </c>
      <c r="R85" s="471">
        <f ca="1">SUM(R72:R81)-Q58</f>
        <v>0</v>
      </c>
    </row>
    <row r="86" spans="1:22">
      <c r="A86" s="174" t="s">
        <v>450</v>
      </c>
      <c r="B86" s="174" t="s">
        <v>458</v>
      </c>
      <c r="C86" s="94">
        <f t="shared" si="46"/>
        <v>150</v>
      </c>
      <c r="D86" s="94">
        <f t="shared" si="47"/>
        <v>20.164000000000001</v>
      </c>
      <c r="E86" s="94">
        <f t="shared" ca="1" si="48"/>
        <v>20.6205</v>
      </c>
      <c r="F86" s="94">
        <f t="shared" ca="1" si="49"/>
        <v>0.45649999999999835</v>
      </c>
      <c r="G86" s="444">
        <f t="shared" ca="1" si="50"/>
        <v>2.2639357270382776</v>
      </c>
      <c r="H86" s="221">
        <f t="shared" ca="1" si="54"/>
        <v>20.6205</v>
      </c>
      <c r="I86" s="94">
        <f t="shared" ca="1" si="51"/>
        <v>21.858000000000001</v>
      </c>
      <c r="J86" s="94">
        <f t="shared" ca="1" si="52"/>
        <v>1.2375000000000007</v>
      </c>
      <c r="K86" s="444">
        <f t="shared" ca="1" si="53"/>
        <v>6.0013093765912604</v>
      </c>
    </row>
    <row r="87" spans="1:22">
      <c r="A87" s="174" t="s">
        <v>450</v>
      </c>
      <c r="B87" s="174" t="s">
        <v>458</v>
      </c>
      <c r="C87" s="94">
        <f t="shared" si="46"/>
        <v>200</v>
      </c>
      <c r="D87" s="94">
        <f t="shared" si="47"/>
        <v>24.302</v>
      </c>
      <c r="E87" s="94">
        <f t="shared" ca="1" si="48"/>
        <v>25.244</v>
      </c>
      <c r="F87" s="94">
        <f t="shared" ca="1" si="49"/>
        <v>0.94200000000000017</v>
      </c>
      <c r="G87" s="444">
        <f t="shared" ca="1" si="50"/>
        <v>3.8762241790799115</v>
      </c>
      <c r="H87" s="221">
        <f t="shared" ca="1" si="54"/>
        <v>25.244</v>
      </c>
      <c r="I87" s="94">
        <f t="shared" ca="1" si="51"/>
        <v>26.894000000000002</v>
      </c>
      <c r="J87" s="94">
        <f t="shared" ca="1" si="52"/>
        <v>1.6500000000000021</v>
      </c>
      <c r="K87" s="444">
        <f t="shared" ca="1" si="53"/>
        <v>6.536206623356053</v>
      </c>
    </row>
    <row r="88" spans="1:22">
      <c r="A88" s="174" t="s">
        <v>450</v>
      </c>
      <c r="B88" s="174" t="s">
        <v>458</v>
      </c>
      <c r="C88" s="94">
        <f t="shared" si="46"/>
        <v>300</v>
      </c>
      <c r="D88" s="94">
        <f t="shared" si="47"/>
        <v>32.578000000000003</v>
      </c>
      <c r="E88" s="94">
        <f t="shared" ca="1" si="48"/>
        <v>34.491</v>
      </c>
      <c r="F88" s="94">
        <f t="shared" ca="1" si="49"/>
        <v>1.9129999999999967</v>
      </c>
      <c r="G88" s="444">
        <f t="shared" ca="1" si="50"/>
        <v>5.8720608999938504</v>
      </c>
      <c r="H88" s="221">
        <f t="shared" ca="1" si="54"/>
        <v>34.491</v>
      </c>
      <c r="I88" s="94">
        <f t="shared" ca="1" si="51"/>
        <v>36.966000000000001</v>
      </c>
      <c r="J88" s="94">
        <f t="shared" ca="1" si="52"/>
        <v>2.4750000000000014</v>
      </c>
      <c r="K88" s="444">
        <f t="shared" ca="1" si="53"/>
        <v>7.1757849873880186</v>
      </c>
    </row>
    <row r="89" spans="1:22">
      <c r="A89" s="174" t="s">
        <v>450</v>
      </c>
      <c r="B89" s="174" t="s">
        <v>458</v>
      </c>
      <c r="C89" s="94">
        <f t="shared" si="46"/>
        <v>400</v>
      </c>
      <c r="D89" s="94">
        <f t="shared" si="47"/>
        <v>40.853999999999999</v>
      </c>
      <c r="E89" s="94">
        <f t="shared" ca="1" si="48"/>
        <v>43.738</v>
      </c>
      <c r="F89" s="94">
        <f t="shared" ca="1" si="49"/>
        <v>2.8840000000000003</v>
      </c>
      <c r="G89" s="444">
        <f t="shared" ca="1" si="50"/>
        <v>7.059284280608999</v>
      </c>
      <c r="H89" s="221">
        <f t="shared" ca="1" si="54"/>
        <v>43.738</v>
      </c>
      <c r="I89" s="94">
        <f t="shared" ca="1" si="51"/>
        <v>47.038000000000004</v>
      </c>
      <c r="J89" s="94">
        <f t="shared" ca="1" si="52"/>
        <v>3.3000000000000043</v>
      </c>
      <c r="K89" s="444">
        <f t="shared" ca="1" si="53"/>
        <v>7.5449266084411821</v>
      </c>
    </row>
    <row r="90" spans="1:22">
      <c r="A90" s="283" t="s">
        <v>450</v>
      </c>
      <c r="B90" s="283" t="s">
        <v>458</v>
      </c>
      <c r="C90" s="95">
        <f t="shared" si="46"/>
        <v>500</v>
      </c>
      <c r="D90" s="95">
        <f t="shared" si="47"/>
        <v>49.13</v>
      </c>
      <c r="E90" s="95">
        <f t="shared" ca="1" si="48"/>
        <v>52.984999999999999</v>
      </c>
      <c r="F90" s="95">
        <f t="shared" ca="1" si="49"/>
        <v>3.8549999999999969</v>
      </c>
      <c r="G90" s="445">
        <f t="shared" ca="1" si="50"/>
        <v>7.8465296153063235</v>
      </c>
      <c r="H90" s="267">
        <f t="shared" ca="1" si="54"/>
        <v>52.984999999999999</v>
      </c>
      <c r="I90" s="95">
        <f t="shared" ca="1" si="51"/>
        <v>57.11</v>
      </c>
      <c r="J90" s="95">
        <f t="shared" ca="1" si="52"/>
        <v>4.125</v>
      </c>
      <c r="K90" s="445">
        <f t="shared" ca="1" si="53"/>
        <v>7.7852222327073699</v>
      </c>
    </row>
    <row r="91" spans="1:22">
      <c r="A91" s="174" t="s">
        <v>450</v>
      </c>
      <c r="B91" s="174" t="s">
        <v>458</v>
      </c>
      <c r="C91" s="94">
        <f t="shared" si="46"/>
        <v>600</v>
      </c>
      <c r="D91" s="94">
        <f t="shared" si="47"/>
        <v>57.405999999999999</v>
      </c>
      <c r="E91" s="94">
        <f t="shared" ca="1" si="48"/>
        <v>62.231999999999999</v>
      </c>
      <c r="F91" s="94">
        <f t="shared" ca="1" si="49"/>
        <v>4.8260000000000005</v>
      </c>
      <c r="G91" s="444">
        <f t="shared" ca="1" si="50"/>
        <v>8.406786747029928</v>
      </c>
      <c r="H91" s="221">
        <f t="shared" ca="1" si="54"/>
        <v>62.231999999999999</v>
      </c>
      <c r="I91" s="94">
        <f t="shared" ca="1" si="51"/>
        <v>67.182000000000002</v>
      </c>
      <c r="J91" s="94">
        <f t="shared" ca="1" si="52"/>
        <v>4.9500000000000028</v>
      </c>
      <c r="K91" s="444">
        <f t="shared" ca="1" si="53"/>
        <v>7.9541072117238762</v>
      </c>
    </row>
    <row r="92" spans="1:22">
      <c r="A92" s="174" t="s">
        <v>450</v>
      </c>
      <c r="B92" s="174" t="s">
        <v>458</v>
      </c>
      <c r="C92" s="94">
        <f t="shared" si="46"/>
        <v>700</v>
      </c>
      <c r="D92" s="94">
        <f t="shared" si="47"/>
        <v>68.603999999999999</v>
      </c>
      <c r="E92" s="94">
        <f t="shared" ca="1" si="48"/>
        <v>72.94</v>
      </c>
      <c r="F92" s="94">
        <f t="shared" ca="1" si="49"/>
        <v>4.3359999999999985</v>
      </c>
      <c r="G92" s="444">
        <f t="shared" ca="1" si="50"/>
        <v>6.3203311760247196</v>
      </c>
      <c r="H92" s="221">
        <f t="shared" ca="1" si="54"/>
        <v>72.94</v>
      </c>
      <c r="I92" s="94">
        <f t="shared" ca="1" si="51"/>
        <v>77.254000000000005</v>
      </c>
      <c r="J92" s="94">
        <f t="shared" ca="1" si="52"/>
        <v>4.3140000000000072</v>
      </c>
      <c r="K92" s="444">
        <f t="shared" ca="1" si="53"/>
        <v>5.9144502330682851</v>
      </c>
    </row>
    <row r="93" spans="1:22">
      <c r="A93" s="174" t="s">
        <v>450</v>
      </c>
      <c r="B93" s="174" t="s">
        <v>458</v>
      </c>
      <c r="C93" s="94">
        <f t="shared" si="46"/>
        <v>800</v>
      </c>
      <c r="D93" s="94">
        <f t="shared" si="47"/>
        <v>79.801999999999992</v>
      </c>
      <c r="E93" s="94">
        <f t="shared" ca="1" si="48"/>
        <v>83.647999999999996</v>
      </c>
      <c r="F93" s="94">
        <f t="shared" ca="1" si="49"/>
        <v>3.8460000000000036</v>
      </c>
      <c r="G93" s="444">
        <f t="shared" ca="1" si="50"/>
        <v>4.8194280845091653</v>
      </c>
      <c r="H93" s="221">
        <f t="shared" ca="1" si="54"/>
        <v>83.647999999999996</v>
      </c>
      <c r="I93" s="94">
        <f t="shared" ca="1" si="51"/>
        <v>87.326000000000008</v>
      </c>
      <c r="J93" s="94">
        <f t="shared" ca="1" si="52"/>
        <v>3.6780000000000115</v>
      </c>
      <c r="K93" s="444">
        <f t="shared" ca="1" si="53"/>
        <v>4.3969969395562494</v>
      </c>
    </row>
    <row r="94" spans="1:22">
      <c r="A94" s="174" t="s">
        <v>450</v>
      </c>
      <c r="B94" s="174" t="s">
        <v>458</v>
      </c>
      <c r="C94" s="94">
        <f t="shared" si="46"/>
        <v>900</v>
      </c>
      <c r="D94" s="94">
        <f t="shared" si="47"/>
        <v>91</v>
      </c>
      <c r="E94" s="94">
        <f t="shared" ca="1" si="48"/>
        <v>94.355999999999995</v>
      </c>
      <c r="F94" s="94">
        <f t="shared" ca="1" si="49"/>
        <v>3.3559999999999945</v>
      </c>
      <c r="G94" s="444">
        <f t="shared" ca="1" si="50"/>
        <v>3.6879120879120819</v>
      </c>
      <c r="H94" s="221">
        <f t="shared" ca="1" si="54"/>
        <v>94.355999999999995</v>
      </c>
      <c r="I94" s="94">
        <f t="shared" ca="1" si="51"/>
        <v>97.397999999999996</v>
      </c>
      <c r="J94" s="94">
        <f t="shared" ca="1" si="52"/>
        <v>3.0420000000000016</v>
      </c>
      <c r="K94" s="444">
        <f t="shared" ca="1" si="53"/>
        <v>3.2239603204883651</v>
      </c>
    </row>
    <row r="95" spans="1:22">
      <c r="A95" s="174" t="s">
        <v>450</v>
      </c>
      <c r="B95" s="174" t="s">
        <v>458</v>
      </c>
      <c r="C95" s="94">
        <f t="shared" si="46"/>
        <v>1000</v>
      </c>
      <c r="D95" s="94">
        <f t="shared" si="47"/>
        <v>102.19800000000001</v>
      </c>
      <c r="E95" s="94">
        <f t="shared" ca="1" si="48"/>
        <v>105.06399999999999</v>
      </c>
      <c r="F95" s="94">
        <f t="shared" ca="1" si="49"/>
        <v>2.8659999999999854</v>
      </c>
      <c r="G95" s="444">
        <f t="shared" ca="1" si="50"/>
        <v>2.8043601636039703</v>
      </c>
      <c r="H95" s="221">
        <f t="shared" ca="1" si="54"/>
        <v>105.06399999999999</v>
      </c>
      <c r="I95" s="94">
        <f t="shared" ca="1" si="51"/>
        <v>107.47</v>
      </c>
      <c r="J95" s="94">
        <f t="shared" ca="1" si="52"/>
        <v>2.4060000000000059</v>
      </c>
      <c r="K95" s="444">
        <f t="shared" ca="1" si="53"/>
        <v>2.2900327419477713</v>
      </c>
    </row>
    <row r="96" spans="1:22">
      <c r="A96" s="174" t="s">
        <v>450</v>
      </c>
      <c r="B96" s="174" t="s">
        <v>458</v>
      </c>
      <c r="C96" s="94">
        <f t="shared" si="46"/>
        <v>1100</v>
      </c>
      <c r="D96" s="94">
        <f t="shared" si="47"/>
        <v>113.39599999999999</v>
      </c>
      <c r="E96" s="94">
        <f t="shared" ca="1" si="48"/>
        <v>115.77199999999999</v>
      </c>
      <c r="F96" s="94">
        <f t="shared" ca="1" si="49"/>
        <v>2.3760000000000048</v>
      </c>
      <c r="G96" s="444">
        <f t="shared" ca="1" si="50"/>
        <v>2.0953120039507613</v>
      </c>
      <c r="H96" s="221">
        <f t="shared" ca="1" si="54"/>
        <v>115.77199999999999</v>
      </c>
      <c r="I96" s="94">
        <f t="shared" ca="1" si="51"/>
        <v>117.542</v>
      </c>
      <c r="J96" s="94">
        <f t="shared" ca="1" si="52"/>
        <v>1.7700000000000102</v>
      </c>
      <c r="K96" s="444">
        <f t="shared" ca="1" si="53"/>
        <v>1.5288670835780762</v>
      </c>
    </row>
    <row r="97" spans="1:11">
      <c r="A97" s="282" t="s">
        <v>450</v>
      </c>
      <c r="B97" s="282" t="s">
        <v>458</v>
      </c>
      <c r="C97" s="285">
        <f t="shared" si="46"/>
        <v>1200</v>
      </c>
      <c r="D97" s="285">
        <f t="shared" si="47"/>
        <v>124.59399999999999</v>
      </c>
      <c r="E97" s="285">
        <f t="shared" ca="1" si="48"/>
        <v>126.47999999999999</v>
      </c>
      <c r="F97" s="285">
        <f t="shared" ca="1" si="49"/>
        <v>1.8859999999999957</v>
      </c>
      <c r="G97" s="446">
        <f t="shared" ca="1" si="50"/>
        <v>1.51371655135881</v>
      </c>
      <c r="H97" s="375">
        <f t="shared" ca="1" si="54"/>
        <v>126.47999999999999</v>
      </c>
      <c r="I97" s="285">
        <f t="shared" ca="1" si="51"/>
        <v>127.614</v>
      </c>
      <c r="J97" s="285">
        <f t="shared" ca="1" si="52"/>
        <v>1.1340000000000146</v>
      </c>
      <c r="K97" s="446">
        <f t="shared" ca="1" si="53"/>
        <v>0.89658444022771544</v>
      </c>
    </row>
    <row r="98" spans="1:11">
      <c r="A98" s="174" t="s">
        <v>450</v>
      </c>
      <c r="B98" s="174" t="s">
        <v>458</v>
      </c>
      <c r="C98" s="94">
        <f t="shared" si="46"/>
        <v>1300</v>
      </c>
      <c r="D98" s="94">
        <f t="shared" si="47"/>
        <v>135.792</v>
      </c>
      <c r="E98" s="94">
        <f t="shared" ca="1" si="48"/>
        <v>137.18799999999999</v>
      </c>
      <c r="F98" s="94">
        <f t="shared" ca="1" si="49"/>
        <v>1.3959999999999866</v>
      </c>
      <c r="G98" s="444">
        <f t="shared" ca="1" si="50"/>
        <v>1.0280428891245337</v>
      </c>
      <c r="H98" s="221">
        <f t="shared" ca="1" si="54"/>
        <v>137.18799999999999</v>
      </c>
      <c r="I98" s="94">
        <f t="shared" ca="1" si="51"/>
        <v>137.68600000000001</v>
      </c>
      <c r="J98" s="94">
        <f t="shared" ca="1" si="52"/>
        <v>0.49800000000001887</v>
      </c>
      <c r="K98" s="444">
        <f t="shared" ca="1" si="53"/>
        <v>0.36300551068607961</v>
      </c>
    </row>
    <row r="99" spans="1:11">
      <c r="A99" s="174" t="s">
        <v>450</v>
      </c>
      <c r="B99" s="174" t="s">
        <v>458</v>
      </c>
      <c r="C99" s="94">
        <f t="shared" si="46"/>
        <v>1400</v>
      </c>
      <c r="D99" s="94">
        <f t="shared" si="47"/>
        <v>146.99</v>
      </c>
      <c r="E99" s="94">
        <f t="shared" ca="1" si="48"/>
        <v>147.89600000000002</v>
      </c>
      <c r="F99" s="94">
        <f t="shared" ca="1" si="49"/>
        <v>0.90600000000000591</v>
      </c>
      <c r="G99" s="444">
        <f t="shared" ca="1" si="50"/>
        <v>0.61636846043948967</v>
      </c>
      <c r="H99" s="221">
        <f t="shared" ca="1" si="54"/>
        <v>147.89600000000002</v>
      </c>
      <c r="I99" s="94">
        <f t="shared" ca="1" si="51"/>
        <v>147.75800000000001</v>
      </c>
      <c r="J99" s="94">
        <f t="shared" ca="1" si="52"/>
        <v>-0.13800000000000523</v>
      </c>
      <c r="K99" s="444">
        <f t="shared" ca="1" si="53"/>
        <v>-9.3308811597342195E-2</v>
      </c>
    </row>
    <row r="100" spans="1:11">
      <c r="A100" s="174" t="s">
        <v>450</v>
      </c>
      <c r="B100" s="174" t="s">
        <v>458</v>
      </c>
      <c r="C100" s="94">
        <f t="shared" si="46"/>
        <v>1500</v>
      </c>
      <c r="D100" s="94">
        <f t="shared" si="47"/>
        <v>158.18799999999999</v>
      </c>
      <c r="E100" s="94">
        <f t="shared" ca="1" si="48"/>
        <v>158.60399999999998</v>
      </c>
      <c r="F100" s="94">
        <f t="shared" ca="1" si="49"/>
        <v>0.41599999999999682</v>
      </c>
      <c r="G100" s="444">
        <f t="shared" ca="1" si="50"/>
        <v>0.26297822843704755</v>
      </c>
      <c r="H100" s="221">
        <f t="shared" ca="1" si="54"/>
        <v>158.60399999999998</v>
      </c>
      <c r="I100" s="94">
        <f t="shared" ca="1" si="51"/>
        <v>157.83000000000001</v>
      </c>
      <c r="J100" s="94">
        <f t="shared" ca="1" si="52"/>
        <v>-0.77399999999997249</v>
      </c>
      <c r="K100" s="444">
        <f t="shared" ca="1" si="53"/>
        <v>-0.48800786865398887</v>
      </c>
    </row>
    <row r="101" spans="1:11">
      <c r="A101" s="174" t="s">
        <v>450</v>
      </c>
      <c r="B101" s="174" t="s">
        <v>458</v>
      </c>
      <c r="C101" s="94">
        <f t="shared" si="46"/>
        <v>1600</v>
      </c>
      <c r="D101" s="94">
        <f t="shared" si="47"/>
        <v>169.386</v>
      </c>
      <c r="E101" s="94">
        <f t="shared" ca="1" si="48"/>
        <v>169.31200000000001</v>
      </c>
      <c r="F101" s="94">
        <f t="shared" ca="1" si="49"/>
        <v>-7.3999999999983856E-2</v>
      </c>
      <c r="G101" s="444">
        <f t="shared" ca="1" si="50"/>
        <v>-4.3687199650492871E-2</v>
      </c>
      <c r="H101" s="221">
        <f t="shared" ca="1" si="54"/>
        <v>169.31200000000001</v>
      </c>
      <c r="I101" s="94">
        <f t="shared" ca="1" si="51"/>
        <v>167.90199999999999</v>
      </c>
      <c r="J101" s="94">
        <f t="shared" ca="1" si="52"/>
        <v>-1.410000000000025</v>
      </c>
      <c r="K101" s="444">
        <f t="shared" ca="1" si="53"/>
        <v>-0.83278208278209742</v>
      </c>
    </row>
    <row r="102" spans="1:11">
      <c r="A102" s="174" t="s">
        <v>450</v>
      </c>
      <c r="B102" s="174" t="s">
        <v>458</v>
      </c>
      <c r="C102" s="94">
        <f t="shared" si="46"/>
        <v>2000</v>
      </c>
      <c r="D102" s="94">
        <f t="shared" si="47"/>
        <v>214.178</v>
      </c>
      <c r="E102" s="94">
        <f t="shared" ca="1" si="48"/>
        <v>212.14400000000001</v>
      </c>
      <c r="F102" s="94">
        <f t="shared" ca="1" si="49"/>
        <v>-2.0339999999999918</v>
      </c>
      <c r="G102" s="444">
        <f t="shared" ca="1" si="50"/>
        <v>-0.9496773711585651</v>
      </c>
      <c r="H102" s="221">
        <f t="shared" ca="1" si="54"/>
        <v>212.14400000000001</v>
      </c>
      <c r="I102" s="94">
        <f t="shared" ca="1" si="51"/>
        <v>208.19</v>
      </c>
      <c r="J102" s="94">
        <f t="shared" ca="1" si="52"/>
        <v>-3.9540000000000077</v>
      </c>
      <c r="K102" s="444">
        <f t="shared" ca="1" si="53"/>
        <v>-1.8638283430122971</v>
      </c>
    </row>
    <row r="103" spans="1:11">
      <c r="A103" s="283" t="s">
        <v>450</v>
      </c>
      <c r="B103" s="283" t="s">
        <v>458</v>
      </c>
      <c r="C103" s="95">
        <f t="shared" si="46"/>
        <v>2600</v>
      </c>
      <c r="D103" s="95">
        <f t="shared" si="47"/>
        <v>281.36599999999999</v>
      </c>
      <c r="E103" s="95">
        <f t="shared" ca="1" si="48"/>
        <v>276.392</v>
      </c>
      <c r="F103" s="95">
        <f t="shared" ca="1" si="49"/>
        <v>-4.9739999999999895</v>
      </c>
      <c r="G103" s="445">
        <f t="shared" ca="1" si="50"/>
        <v>-1.7678042123070983</v>
      </c>
      <c r="H103" s="267">
        <f t="shared" ca="1" si="54"/>
        <v>276.392</v>
      </c>
      <c r="I103" s="95">
        <f t="shared" ca="1" si="51"/>
        <v>268.62200000000001</v>
      </c>
      <c r="J103" s="95">
        <f t="shared" ca="1" si="52"/>
        <v>-7.7699999999999818</v>
      </c>
      <c r="K103" s="445">
        <f t="shared" ca="1" si="53"/>
        <v>-2.8112246374714109</v>
      </c>
    </row>
    <row r="104" spans="1:11">
      <c r="A104" s="344" t="s">
        <v>451</v>
      </c>
      <c r="B104" s="297"/>
      <c r="C104" s="297"/>
      <c r="D104" s="297"/>
      <c r="E104" s="2"/>
      <c r="F104" s="297"/>
      <c r="G104" s="457"/>
      <c r="H104" s="2"/>
      <c r="I104" s="2"/>
      <c r="J104" s="297"/>
      <c r="K104" s="457"/>
    </row>
    <row r="105" spans="1:11">
      <c r="A105" s="345" t="str">
        <f>"The average residential customer uses "&amp;TEXT(C$22,"#,###")&amp;" kilowatt hours per month"</f>
        <v>The average residential customer uses 1,200 kilowatt hours per month</v>
      </c>
      <c r="B105" s="96"/>
      <c r="C105" s="96"/>
      <c r="D105" s="96"/>
      <c r="E105"/>
      <c r="F105" s="96"/>
      <c r="G105" s="458"/>
      <c r="H105"/>
      <c r="I105"/>
      <c r="J105" s="96"/>
      <c r="K105" s="458"/>
    </row>
    <row r="106" spans="1:11">
      <c r="A106" s="335" t="s">
        <v>452</v>
      </c>
      <c r="B106"/>
      <c r="C106"/>
      <c r="D106"/>
      <c r="E106"/>
      <c r="F106" s="96"/>
      <c r="G106" s="458"/>
      <c r="H106"/>
      <c r="I106"/>
      <c r="J106" s="96"/>
      <c r="K106" s="458"/>
    </row>
    <row r="107" spans="1:11">
      <c r="A107" s="284" t="s">
        <v>457</v>
      </c>
      <c r="B107" s="298"/>
      <c r="C107" s="298"/>
      <c r="D107" s="298"/>
      <c r="E107" s="346"/>
      <c r="F107" s="298"/>
      <c r="G107" s="459"/>
      <c r="H107" s="346"/>
      <c r="I107" s="346"/>
      <c r="J107" s="298"/>
      <c r="K107" s="459"/>
    </row>
    <row r="108" spans="1:11">
      <c r="A108" s="294" t="s">
        <v>450</v>
      </c>
      <c r="B108" s="294" t="s">
        <v>459</v>
      </c>
      <c r="C108" s="214">
        <f t="shared" ref="C108:C128" si="55">C8</f>
        <v>0</v>
      </c>
      <c r="D108" s="214">
        <f t="shared" ref="D108:D128" si="56">Q$19+IF(C108&lt;=600,C108*Q$23,600*Q$23+(C108-600)*Q$24)</f>
        <v>7.75</v>
      </c>
      <c r="E108" s="214">
        <f t="shared" ref="E108:E128" ca="1" si="57">Q$36+IF(C108&lt;=600,C108*Q$41,600*Q$41+(C108-600)*Q$43)</f>
        <v>6.75</v>
      </c>
      <c r="F108" s="214">
        <f t="shared" ref="F108:F128" ca="1" si="58">E108-D108</f>
        <v>-1</v>
      </c>
      <c r="G108" s="448">
        <f t="shared" ref="G108:G128" ca="1" si="59">F108/D108*100</f>
        <v>-12.903225806451612</v>
      </c>
      <c r="H108" s="266">
        <f t="shared" ref="H108:H128" ca="1" si="60">E108</f>
        <v>6.75</v>
      </c>
      <c r="I108" s="214">
        <f t="shared" ref="I108:I128" ca="1" si="61">Q$60+IF(C108&lt;=600,C108*Q$65,600*Q$65+(C108-600)*Q$67)</f>
        <v>6.75</v>
      </c>
      <c r="J108" s="214">
        <f t="shared" ref="J108:J128" ca="1" si="62">I108-H108</f>
        <v>0</v>
      </c>
      <c r="K108" s="448">
        <f t="shared" ref="K108:K128" ca="1" si="63">J108/H108*100</f>
        <v>0</v>
      </c>
    </row>
    <row r="109" spans="1:11">
      <c r="A109" s="174" t="s">
        <v>450</v>
      </c>
      <c r="B109" s="174" t="s">
        <v>459</v>
      </c>
      <c r="C109" s="94">
        <f t="shared" si="55"/>
        <v>50</v>
      </c>
      <c r="D109" s="94">
        <f t="shared" si="56"/>
        <v>11.888</v>
      </c>
      <c r="E109" s="94">
        <f t="shared" ca="1" si="57"/>
        <v>11.3735</v>
      </c>
      <c r="F109" s="94">
        <f t="shared" ca="1" si="58"/>
        <v>-0.51449999999999996</v>
      </c>
      <c r="G109" s="444">
        <f t="shared" ca="1" si="59"/>
        <v>-4.3278936742934047</v>
      </c>
      <c r="H109" s="221">
        <f t="shared" ca="1" si="60"/>
        <v>11.3735</v>
      </c>
      <c r="I109" s="94">
        <f t="shared" ca="1" si="61"/>
        <v>11.786000000000001</v>
      </c>
      <c r="J109" s="94">
        <f t="shared" ca="1" si="62"/>
        <v>0.41250000000000142</v>
      </c>
      <c r="K109" s="444">
        <f t="shared" ca="1" si="63"/>
        <v>3.6268518925572728</v>
      </c>
    </row>
    <row r="110" spans="1:11">
      <c r="A110" s="174" t="s">
        <v>450</v>
      </c>
      <c r="B110" s="174" t="s">
        <v>459</v>
      </c>
      <c r="C110" s="94">
        <f t="shared" si="55"/>
        <v>100</v>
      </c>
      <c r="D110" s="94">
        <f t="shared" si="56"/>
        <v>16.026</v>
      </c>
      <c r="E110" s="94">
        <f t="shared" ca="1" si="57"/>
        <v>15.997</v>
      </c>
      <c r="F110" s="94">
        <f t="shared" ca="1" si="58"/>
        <v>-2.8999999999999915E-2</v>
      </c>
      <c r="G110" s="444">
        <f t="shared" ca="1" si="59"/>
        <v>-0.18095594658679592</v>
      </c>
      <c r="H110" s="221">
        <f t="shared" ca="1" si="60"/>
        <v>15.997</v>
      </c>
      <c r="I110" s="94">
        <f t="shared" ca="1" si="61"/>
        <v>16.822000000000003</v>
      </c>
      <c r="J110" s="94">
        <f t="shared" ca="1" si="62"/>
        <v>0.82500000000000284</v>
      </c>
      <c r="K110" s="444">
        <f t="shared" ca="1" si="63"/>
        <v>5.1572169781834276</v>
      </c>
    </row>
    <row r="111" spans="1:11">
      <c r="A111" s="174" t="s">
        <v>450</v>
      </c>
      <c r="B111" s="174" t="s">
        <v>459</v>
      </c>
      <c r="C111" s="94">
        <f t="shared" si="55"/>
        <v>150</v>
      </c>
      <c r="D111" s="94">
        <f t="shared" si="56"/>
        <v>20.164000000000001</v>
      </c>
      <c r="E111" s="94">
        <f t="shared" ca="1" si="57"/>
        <v>20.6205</v>
      </c>
      <c r="F111" s="94">
        <f t="shared" ca="1" si="58"/>
        <v>0.45649999999999835</v>
      </c>
      <c r="G111" s="444">
        <f t="shared" ca="1" si="59"/>
        <v>2.2639357270382776</v>
      </c>
      <c r="H111" s="221">
        <f t="shared" ca="1" si="60"/>
        <v>20.6205</v>
      </c>
      <c r="I111" s="94">
        <f t="shared" ca="1" si="61"/>
        <v>21.858000000000001</v>
      </c>
      <c r="J111" s="94">
        <f t="shared" ca="1" si="62"/>
        <v>1.2375000000000007</v>
      </c>
      <c r="K111" s="444">
        <f t="shared" ca="1" si="63"/>
        <v>6.0013093765912604</v>
      </c>
    </row>
    <row r="112" spans="1:11">
      <c r="A112" s="174" t="s">
        <v>450</v>
      </c>
      <c r="B112" s="174" t="s">
        <v>459</v>
      </c>
      <c r="C112" s="94">
        <f t="shared" si="55"/>
        <v>200</v>
      </c>
      <c r="D112" s="94">
        <f t="shared" si="56"/>
        <v>24.302</v>
      </c>
      <c r="E112" s="94">
        <f t="shared" ca="1" si="57"/>
        <v>25.244</v>
      </c>
      <c r="F112" s="94">
        <f t="shared" ca="1" si="58"/>
        <v>0.94200000000000017</v>
      </c>
      <c r="G112" s="444">
        <f t="shared" ca="1" si="59"/>
        <v>3.8762241790799115</v>
      </c>
      <c r="H112" s="221">
        <f t="shared" ca="1" si="60"/>
        <v>25.244</v>
      </c>
      <c r="I112" s="94">
        <f t="shared" ca="1" si="61"/>
        <v>26.894000000000002</v>
      </c>
      <c r="J112" s="94">
        <f t="shared" ca="1" si="62"/>
        <v>1.6500000000000021</v>
      </c>
      <c r="K112" s="444">
        <f t="shared" ca="1" si="63"/>
        <v>6.536206623356053</v>
      </c>
    </row>
    <row r="113" spans="1:11">
      <c r="A113" s="174" t="s">
        <v>450</v>
      </c>
      <c r="B113" s="174" t="s">
        <v>459</v>
      </c>
      <c r="C113" s="94">
        <f t="shared" si="55"/>
        <v>300</v>
      </c>
      <c r="D113" s="94">
        <f t="shared" si="56"/>
        <v>32.578000000000003</v>
      </c>
      <c r="E113" s="94">
        <f t="shared" ca="1" si="57"/>
        <v>34.491</v>
      </c>
      <c r="F113" s="94">
        <f t="shared" ca="1" si="58"/>
        <v>1.9129999999999967</v>
      </c>
      <c r="G113" s="444">
        <f t="shared" ca="1" si="59"/>
        <v>5.8720608999938504</v>
      </c>
      <c r="H113" s="221">
        <f t="shared" ca="1" si="60"/>
        <v>34.491</v>
      </c>
      <c r="I113" s="94">
        <f t="shared" ca="1" si="61"/>
        <v>36.966000000000001</v>
      </c>
      <c r="J113" s="94">
        <f t="shared" ca="1" si="62"/>
        <v>2.4750000000000014</v>
      </c>
      <c r="K113" s="444">
        <f t="shared" ca="1" si="63"/>
        <v>7.1757849873880186</v>
      </c>
    </row>
    <row r="114" spans="1:11">
      <c r="A114" s="174" t="s">
        <v>450</v>
      </c>
      <c r="B114" s="174" t="s">
        <v>459</v>
      </c>
      <c r="C114" s="94">
        <f t="shared" si="55"/>
        <v>400</v>
      </c>
      <c r="D114" s="94">
        <f t="shared" si="56"/>
        <v>40.853999999999999</v>
      </c>
      <c r="E114" s="94">
        <f t="shared" ca="1" si="57"/>
        <v>43.738</v>
      </c>
      <c r="F114" s="94">
        <f t="shared" ca="1" si="58"/>
        <v>2.8840000000000003</v>
      </c>
      <c r="G114" s="444">
        <f t="shared" ca="1" si="59"/>
        <v>7.059284280608999</v>
      </c>
      <c r="H114" s="221">
        <f t="shared" ca="1" si="60"/>
        <v>43.738</v>
      </c>
      <c r="I114" s="94">
        <f t="shared" ca="1" si="61"/>
        <v>47.038000000000004</v>
      </c>
      <c r="J114" s="94">
        <f t="shared" ca="1" si="62"/>
        <v>3.3000000000000043</v>
      </c>
      <c r="K114" s="444">
        <f t="shared" ca="1" si="63"/>
        <v>7.5449266084411821</v>
      </c>
    </row>
    <row r="115" spans="1:11">
      <c r="A115" s="283" t="s">
        <v>450</v>
      </c>
      <c r="B115" s="283" t="s">
        <v>459</v>
      </c>
      <c r="C115" s="95">
        <f t="shared" si="55"/>
        <v>500</v>
      </c>
      <c r="D115" s="95">
        <f t="shared" si="56"/>
        <v>49.13</v>
      </c>
      <c r="E115" s="95">
        <f t="shared" ca="1" si="57"/>
        <v>52.984999999999999</v>
      </c>
      <c r="F115" s="95">
        <f t="shared" ca="1" si="58"/>
        <v>3.8549999999999969</v>
      </c>
      <c r="G115" s="445">
        <f t="shared" ca="1" si="59"/>
        <v>7.8465296153063235</v>
      </c>
      <c r="H115" s="267">
        <f t="shared" ca="1" si="60"/>
        <v>52.984999999999999</v>
      </c>
      <c r="I115" s="95">
        <f t="shared" ca="1" si="61"/>
        <v>57.11</v>
      </c>
      <c r="J115" s="95">
        <f t="shared" ca="1" si="62"/>
        <v>4.125</v>
      </c>
      <c r="K115" s="445">
        <f t="shared" ca="1" si="63"/>
        <v>7.7852222327073699</v>
      </c>
    </row>
    <row r="116" spans="1:11">
      <c r="A116" s="174" t="s">
        <v>450</v>
      </c>
      <c r="B116" s="174" t="s">
        <v>459</v>
      </c>
      <c r="C116" s="94">
        <f t="shared" si="55"/>
        <v>600</v>
      </c>
      <c r="D116" s="94">
        <f t="shared" si="56"/>
        <v>57.405999999999999</v>
      </c>
      <c r="E116" s="94">
        <f t="shared" ca="1" si="57"/>
        <v>62.231999999999999</v>
      </c>
      <c r="F116" s="94">
        <f t="shared" ca="1" si="58"/>
        <v>4.8260000000000005</v>
      </c>
      <c r="G116" s="444">
        <f t="shared" ca="1" si="59"/>
        <v>8.406786747029928</v>
      </c>
      <c r="H116" s="221">
        <f t="shared" ca="1" si="60"/>
        <v>62.231999999999999</v>
      </c>
      <c r="I116" s="94">
        <f t="shared" ca="1" si="61"/>
        <v>67.182000000000002</v>
      </c>
      <c r="J116" s="94">
        <f t="shared" ca="1" si="62"/>
        <v>4.9500000000000028</v>
      </c>
      <c r="K116" s="444">
        <f t="shared" ca="1" si="63"/>
        <v>7.9541072117238762</v>
      </c>
    </row>
    <row r="117" spans="1:11">
      <c r="A117" s="174" t="s">
        <v>450</v>
      </c>
      <c r="B117" s="174" t="s">
        <v>459</v>
      </c>
      <c r="C117" s="94">
        <f t="shared" si="55"/>
        <v>700</v>
      </c>
      <c r="D117" s="94">
        <f t="shared" si="56"/>
        <v>68.603999999999999</v>
      </c>
      <c r="E117" s="94">
        <f t="shared" ca="1" si="57"/>
        <v>72.94</v>
      </c>
      <c r="F117" s="94">
        <f t="shared" ca="1" si="58"/>
        <v>4.3359999999999985</v>
      </c>
      <c r="G117" s="444">
        <f t="shared" ca="1" si="59"/>
        <v>6.3203311760247196</v>
      </c>
      <c r="H117" s="221">
        <f t="shared" ca="1" si="60"/>
        <v>72.94</v>
      </c>
      <c r="I117" s="94">
        <f t="shared" ca="1" si="61"/>
        <v>77.254000000000005</v>
      </c>
      <c r="J117" s="94">
        <f t="shared" ca="1" si="62"/>
        <v>4.3140000000000072</v>
      </c>
      <c r="K117" s="444">
        <f t="shared" ca="1" si="63"/>
        <v>5.9144502330682851</v>
      </c>
    </row>
    <row r="118" spans="1:11">
      <c r="A118" s="174" t="s">
        <v>450</v>
      </c>
      <c r="B118" s="174" t="s">
        <v>459</v>
      </c>
      <c r="C118" s="94">
        <f t="shared" si="55"/>
        <v>800</v>
      </c>
      <c r="D118" s="94">
        <f t="shared" si="56"/>
        <v>79.801999999999992</v>
      </c>
      <c r="E118" s="94">
        <f t="shared" ca="1" si="57"/>
        <v>83.647999999999996</v>
      </c>
      <c r="F118" s="94">
        <f t="shared" ca="1" si="58"/>
        <v>3.8460000000000036</v>
      </c>
      <c r="G118" s="444">
        <f t="shared" ca="1" si="59"/>
        <v>4.8194280845091653</v>
      </c>
      <c r="H118" s="221">
        <f t="shared" ca="1" si="60"/>
        <v>83.647999999999996</v>
      </c>
      <c r="I118" s="94">
        <f t="shared" ca="1" si="61"/>
        <v>87.326000000000008</v>
      </c>
      <c r="J118" s="94">
        <f t="shared" ca="1" si="62"/>
        <v>3.6780000000000115</v>
      </c>
      <c r="K118" s="444">
        <f t="shared" ca="1" si="63"/>
        <v>4.3969969395562494</v>
      </c>
    </row>
    <row r="119" spans="1:11">
      <c r="A119" s="174" t="s">
        <v>450</v>
      </c>
      <c r="B119" s="174" t="s">
        <v>459</v>
      </c>
      <c r="C119" s="94">
        <f t="shared" si="55"/>
        <v>900</v>
      </c>
      <c r="D119" s="94">
        <f t="shared" si="56"/>
        <v>91</v>
      </c>
      <c r="E119" s="94">
        <f t="shared" ca="1" si="57"/>
        <v>94.355999999999995</v>
      </c>
      <c r="F119" s="94">
        <f t="shared" ca="1" si="58"/>
        <v>3.3559999999999945</v>
      </c>
      <c r="G119" s="444">
        <f t="shared" ca="1" si="59"/>
        <v>3.6879120879120819</v>
      </c>
      <c r="H119" s="221">
        <f t="shared" ca="1" si="60"/>
        <v>94.355999999999995</v>
      </c>
      <c r="I119" s="94">
        <f t="shared" ca="1" si="61"/>
        <v>97.397999999999996</v>
      </c>
      <c r="J119" s="94">
        <f t="shared" ca="1" si="62"/>
        <v>3.0420000000000016</v>
      </c>
      <c r="K119" s="444">
        <f t="shared" ca="1" si="63"/>
        <v>3.2239603204883651</v>
      </c>
    </row>
    <row r="120" spans="1:11">
      <c r="A120" s="174" t="s">
        <v>450</v>
      </c>
      <c r="B120" s="174" t="s">
        <v>459</v>
      </c>
      <c r="C120" s="94">
        <f t="shared" si="55"/>
        <v>1000</v>
      </c>
      <c r="D120" s="94">
        <f t="shared" si="56"/>
        <v>102.19800000000001</v>
      </c>
      <c r="E120" s="94">
        <f t="shared" ca="1" si="57"/>
        <v>105.06399999999999</v>
      </c>
      <c r="F120" s="94">
        <f t="shared" ca="1" si="58"/>
        <v>2.8659999999999854</v>
      </c>
      <c r="G120" s="444">
        <f t="shared" ca="1" si="59"/>
        <v>2.8043601636039703</v>
      </c>
      <c r="H120" s="221">
        <f t="shared" ca="1" si="60"/>
        <v>105.06399999999999</v>
      </c>
      <c r="I120" s="94">
        <f t="shared" ca="1" si="61"/>
        <v>107.47</v>
      </c>
      <c r="J120" s="94">
        <f t="shared" ca="1" si="62"/>
        <v>2.4060000000000059</v>
      </c>
      <c r="K120" s="444">
        <f t="shared" ca="1" si="63"/>
        <v>2.2900327419477713</v>
      </c>
    </row>
    <row r="121" spans="1:11">
      <c r="A121" s="174" t="s">
        <v>450</v>
      </c>
      <c r="B121" s="174" t="s">
        <v>459</v>
      </c>
      <c r="C121" s="94">
        <f t="shared" si="55"/>
        <v>1100</v>
      </c>
      <c r="D121" s="94">
        <f t="shared" si="56"/>
        <v>113.39599999999999</v>
      </c>
      <c r="E121" s="94">
        <f t="shared" ca="1" si="57"/>
        <v>115.77199999999999</v>
      </c>
      <c r="F121" s="94">
        <f t="shared" ca="1" si="58"/>
        <v>2.3760000000000048</v>
      </c>
      <c r="G121" s="444">
        <f t="shared" ca="1" si="59"/>
        <v>2.0953120039507613</v>
      </c>
      <c r="H121" s="221">
        <f t="shared" ca="1" si="60"/>
        <v>115.77199999999999</v>
      </c>
      <c r="I121" s="94">
        <f t="shared" ca="1" si="61"/>
        <v>117.542</v>
      </c>
      <c r="J121" s="94">
        <f t="shared" ca="1" si="62"/>
        <v>1.7700000000000102</v>
      </c>
      <c r="K121" s="444">
        <f t="shared" ca="1" si="63"/>
        <v>1.5288670835780762</v>
      </c>
    </row>
    <row r="122" spans="1:11">
      <c r="A122" s="282" t="s">
        <v>450</v>
      </c>
      <c r="B122" s="282" t="s">
        <v>459</v>
      </c>
      <c r="C122" s="285">
        <f t="shared" si="55"/>
        <v>1200</v>
      </c>
      <c r="D122" s="285">
        <f t="shared" si="56"/>
        <v>124.59399999999999</v>
      </c>
      <c r="E122" s="285">
        <f t="shared" ca="1" si="57"/>
        <v>126.47999999999999</v>
      </c>
      <c r="F122" s="285">
        <f t="shared" ca="1" si="58"/>
        <v>1.8859999999999957</v>
      </c>
      <c r="G122" s="446">
        <f t="shared" ca="1" si="59"/>
        <v>1.51371655135881</v>
      </c>
      <c r="H122" s="375">
        <f t="shared" ca="1" si="60"/>
        <v>126.47999999999999</v>
      </c>
      <c r="I122" s="285">
        <f t="shared" ca="1" si="61"/>
        <v>127.614</v>
      </c>
      <c r="J122" s="285">
        <f t="shared" ca="1" si="62"/>
        <v>1.1340000000000146</v>
      </c>
      <c r="K122" s="446">
        <f t="shared" ca="1" si="63"/>
        <v>0.89658444022771544</v>
      </c>
    </row>
    <row r="123" spans="1:11">
      <c r="A123" s="174" t="s">
        <v>450</v>
      </c>
      <c r="B123" s="174" t="s">
        <v>459</v>
      </c>
      <c r="C123" s="94">
        <f t="shared" si="55"/>
        <v>1300</v>
      </c>
      <c r="D123" s="94">
        <f t="shared" si="56"/>
        <v>135.792</v>
      </c>
      <c r="E123" s="94">
        <f t="shared" ca="1" si="57"/>
        <v>137.18799999999999</v>
      </c>
      <c r="F123" s="94">
        <f t="shared" ca="1" si="58"/>
        <v>1.3959999999999866</v>
      </c>
      <c r="G123" s="444">
        <f t="shared" ca="1" si="59"/>
        <v>1.0280428891245337</v>
      </c>
      <c r="H123" s="221">
        <f t="shared" ca="1" si="60"/>
        <v>137.18799999999999</v>
      </c>
      <c r="I123" s="94">
        <f t="shared" ca="1" si="61"/>
        <v>137.68600000000001</v>
      </c>
      <c r="J123" s="94">
        <f t="shared" ca="1" si="62"/>
        <v>0.49800000000001887</v>
      </c>
      <c r="K123" s="444">
        <f t="shared" ca="1" si="63"/>
        <v>0.36300551068607961</v>
      </c>
    </row>
    <row r="124" spans="1:11">
      <c r="A124" s="174" t="s">
        <v>450</v>
      </c>
      <c r="B124" s="174" t="s">
        <v>459</v>
      </c>
      <c r="C124" s="94">
        <f t="shared" si="55"/>
        <v>1400</v>
      </c>
      <c r="D124" s="94">
        <f t="shared" si="56"/>
        <v>146.99</v>
      </c>
      <c r="E124" s="94">
        <f t="shared" ca="1" si="57"/>
        <v>147.89600000000002</v>
      </c>
      <c r="F124" s="94">
        <f t="shared" ca="1" si="58"/>
        <v>0.90600000000000591</v>
      </c>
      <c r="G124" s="444">
        <f t="shared" ca="1" si="59"/>
        <v>0.61636846043948967</v>
      </c>
      <c r="H124" s="221">
        <f t="shared" ca="1" si="60"/>
        <v>147.89600000000002</v>
      </c>
      <c r="I124" s="94">
        <f t="shared" ca="1" si="61"/>
        <v>147.75800000000001</v>
      </c>
      <c r="J124" s="94">
        <f t="shared" ca="1" si="62"/>
        <v>-0.13800000000000523</v>
      </c>
      <c r="K124" s="444">
        <f t="shared" ca="1" si="63"/>
        <v>-9.3308811597342195E-2</v>
      </c>
    </row>
    <row r="125" spans="1:11">
      <c r="A125" s="174" t="s">
        <v>450</v>
      </c>
      <c r="B125" s="174" t="s">
        <v>459</v>
      </c>
      <c r="C125" s="94">
        <f t="shared" si="55"/>
        <v>1500</v>
      </c>
      <c r="D125" s="94">
        <f t="shared" si="56"/>
        <v>158.18799999999999</v>
      </c>
      <c r="E125" s="94">
        <f t="shared" ca="1" si="57"/>
        <v>158.60399999999998</v>
      </c>
      <c r="F125" s="94">
        <f t="shared" ca="1" si="58"/>
        <v>0.41599999999999682</v>
      </c>
      <c r="G125" s="444">
        <f t="shared" ca="1" si="59"/>
        <v>0.26297822843704755</v>
      </c>
      <c r="H125" s="221">
        <f t="shared" ca="1" si="60"/>
        <v>158.60399999999998</v>
      </c>
      <c r="I125" s="94">
        <f t="shared" ca="1" si="61"/>
        <v>157.83000000000001</v>
      </c>
      <c r="J125" s="94">
        <f t="shared" ca="1" si="62"/>
        <v>-0.77399999999997249</v>
      </c>
      <c r="K125" s="444">
        <f t="shared" ca="1" si="63"/>
        <v>-0.48800786865398887</v>
      </c>
    </row>
    <row r="126" spans="1:11">
      <c r="A126" s="174" t="s">
        <v>450</v>
      </c>
      <c r="B126" s="174" t="s">
        <v>459</v>
      </c>
      <c r="C126" s="94">
        <f t="shared" si="55"/>
        <v>1600</v>
      </c>
      <c r="D126" s="94">
        <f t="shared" si="56"/>
        <v>169.386</v>
      </c>
      <c r="E126" s="94">
        <f t="shared" ca="1" si="57"/>
        <v>169.31200000000001</v>
      </c>
      <c r="F126" s="94">
        <f t="shared" ca="1" si="58"/>
        <v>-7.3999999999983856E-2</v>
      </c>
      <c r="G126" s="444">
        <f t="shared" ca="1" si="59"/>
        <v>-4.3687199650492871E-2</v>
      </c>
      <c r="H126" s="221">
        <f t="shared" ca="1" si="60"/>
        <v>169.31200000000001</v>
      </c>
      <c r="I126" s="94">
        <f t="shared" ca="1" si="61"/>
        <v>167.90199999999999</v>
      </c>
      <c r="J126" s="94">
        <f t="shared" ca="1" si="62"/>
        <v>-1.410000000000025</v>
      </c>
      <c r="K126" s="444">
        <f t="shared" ca="1" si="63"/>
        <v>-0.83278208278209742</v>
      </c>
    </row>
    <row r="127" spans="1:11">
      <c r="A127" s="174" t="s">
        <v>450</v>
      </c>
      <c r="B127" s="174" t="s">
        <v>459</v>
      </c>
      <c r="C127" s="94">
        <f t="shared" si="55"/>
        <v>2000</v>
      </c>
      <c r="D127" s="94">
        <f t="shared" si="56"/>
        <v>214.178</v>
      </c>
      <c r="E127" s="94">
        <f t="shared" ca="1" si="57"/>
        <v>212.14400000000001</v>
      </c>
      <c r="F127" s="94">
        <f t="shared" ca="1" si="58"/>
        <v>-2.0339999999999918</v>
      </c>
      <c r="G127" s="444">
        <f t="shared" ca="1" si="59"/>
        <v>-0.9496773711585651</v>
      </c>
      <c r="H127" s="221">
        <f t="shared" ca="1" si="60"/>
        <v>212.14400000000001</v>
      </c>
      <c r="I127" s="94">
        <f t="shared" ca="1" si="61"/>
        <v>208.19</v>
      </c>
      <c r="J127" s="94">
        <f t="shared" ca="1" si="62"/>
        <v>-3.9540000000000077</v>
      </c>
      <c r="K127" s="444">
        <f t="shared" ca="1" si="63"/>
        <v>-1.8638283430122971</v>
      </c>
    </row>
    <row r="128" spans="1:11">
      <c r="A128" s="283" t="s">
        <v>450</v>
      </c>
      <c r="B128" s="283" t="s">
        <v>459</v>
      </c>
      <c r="C128" s="95">
        <f t="shared" si="55"/>
        <v>2600</v>
      </c>
      <c r="D128" s="95">
        <f t="shared" si="56"/>
        <v>281.36599999999999</v>
      </c>
      <c r="E128" s="95">
        <f t="shared" ca="1" si="57"/>
        <v>276.392</v>
      </c>
      <c r="F128" s="95">
        <f t="shared" ca="1" si="58"/>
        <v>-4.9739999999999895</v>
      </c>
      <c r="G128" s="445">
        <f t="shared" ca="1" si="59"/>
        <v>-1.7678042123070983</v>
      </c>
      <c r="H128" s="267">
        <f t="shared" ca="1" si="60"/>
        <v>276.392</v>
      </c>
      <c r="I128" s="95">
        <f t="shared" ca="1" si="61"/>
        <v>268.62200000000001</v>
      </c>
      <c r="J128" s="95">
        <f t="shared" ca="1" si="62"/>
        <v>-7.7699999999999818</v>
      </c>
      <c r="K128" s="445">
        <f t="shared" ca="1" si="63"/>
        <v>-2.8112246374714109</v>
      </c>
    </row>
    <row r="129" spans="1:11">
      <c r="A129" s="344" t="s">
        <v>451</v>
      </c>
      <c r="B129" s="297"/>
      <c r="C129" s="297"/>
      <c r="D129" s="297"/>
      <c r="E129" s="2"/>
      <c r="F129" s="297"/>
      <c r="G129" s="457"/>
      <c r="H129" s="2"/>
      <c r="I129" s="2"/>
      <c r="J129" s="297"/>
      <c r="K129" s="457"/>
    </row>
    <row r="130" spans="1:11">
      <c r="A130" s="345" t="str">
        <f>"The average residential customer uses "&amp;TEXT(C$22,"#,###")&amp;" kilowatt hours per month"</f>
        <v>The average residential customer uses 1,200 kilowatt hours per month</v>
      </c>
      <c r="B130" s="96"/>
      <c r="C130" s="96"/>
      <c r="D130" s="96"/>
      <c r="E130"/>
      <c r="F130" s="96"/>
      <c r="G130" s="458"/>
      <c r="H130"/>
      <c r="I130"/>
      <c r="J130" s="96"/>
      <c r="K130" s="458"/>
    </row>
    <row r="131" spans="1:11">
      <c r="A131" s="335" t="s">
        <v>452</v>
      </c>
      <c r="B131"/>
      <c r="C131"/>
      <c r="D131"/>
      <c r="E131"/>
      <c r="F131" s="96"/>
      <c r="G131" s="458"/>
      <c r="H131"/>
      <c r="I131"/>
      <c r="J131" s="96"/>
      <c r="K131" s="458"/>
    </row>
    <row r="132" spans="1:11">
      <c r="A132" s="284" t="s">
        <v>457</v>
      </c>
      <c r="B132" s="298"/>
      <c r="C132" s="298"/>
      <c r="D132" s="298"/>
      <c r="E132" s="346"/>
      <c r="F132" s="298"/>
      <c r="G132" s="459"/>
      <c r="H132" s="346"/>
      <c r="I132" s="346"/>
      <c r="J132" s="298"/>
      <c r="K132" s="459"/>
    </row>
    <row r="133" spans="1:11">
      <c r="A133" s="294" t="s">
        <v>450</v>
      </c>
      <c r="B133" s="294" t="s">
        <v>460</v>
      </c>
      <c r="C133" s="214">
        <f t="shared" ref="C133:C153" si="64">C33</f>
        <v>0</v>
      </c>
      <c r="D133" s="214">
        <f t="shared" ref="D133:D153" si="65">Q$19+IF(C133&lt;=600,C133*Q$23,600*Q$23+(C133-600)*Q$24)</f>
        <v>7.75</v>
      </c>
      <c r="E133" s="214">
        <f t="shared" ref="E133:E153" ca="1" si="66">Q$36+IF(C133&lt;=600,C133*Y$41,600*Y$41+(C133-600)*Y$43)</f>
        <v>6.75</v>
      </c>
      <c r="F133" s="214">
        <f t="shared" ref="F133:F152" ca="1" si="67">E133-D133</f>
        <v>-1</v>
      </c>
      <c r="G133" s="448">
        <f t="shared" ref="G133:G152" ca="1" si="68">F133/D133*100</f>
        <v>-12.903225806451612</v>
      </c>
      <c r="H133" s="266">
        <f t="shared" ref="H133:H153" ca="1" si="69">E133</f>
        <v>6.75</v>
      </c>
      <c r="I133" s="214">
        <f t="shared" ref="I133:I153" ca="1" si="70">Q$60+IF(C133&lt;=600,C133*Y$65,600*Y$65+(C133-600)*Y$67)</f>
        <v>6.75</v>
      </c>
      <c r="J133" s="214">
        <f t="shared" ref="J133:J152" ca="1" si="71">I133-H133</f>
        <v>0</v>
      </c>
      <c r="K133" s="448">
        <f t="shared" ref="K133:K152" ca="1" si="72">J133/H133*100</f>
        <v>0</v>
      </c>
    </row>
    <row r="134" spans="1:11">
      <c r="A134" s="174" t="s">
        <v>450</v>
      </c>
      <c r="B134" s="174" t="s">
        <v>460</v>
      </c>
      <c r="C134" s="94">
        <f t="shared" si="64"/>
        <v>50</v>
      </c>
      <c r="D134" s="94">
        <f t="shared" si="65"/>
        <v>11.888</v>
      </c>
      <c r="E134" s="94">
        <f t="shared" ca="1" si="66"/>
        <v>11.373385769777382</v>
      </c>
      <c r="F134" s="94">
        <f t="shared" ca="1" si="67"/>
        <v>-0.51461423022261776</v>
      </c>
      <c r="G134" s="444">
        <f t="shared" ca="1" si="68"/>
        <v>-4.3288545610920073</v>
      </c>
      <c r="H134" s="221">
        <f t="shared" ca="1" si="69"/>
        <v>11.373385769777382</v>
      </c>
      <c r="I134" s="94">
        <f t="shared" ca="1" si="70"/>
        <v>11.786105028661039</v>
      </c>
      <c r="J134" s="94">
        <f t="shared" ca="1" si="71"/>
        <v>0.41271925888365679</v>
      </c>
      <c r="K134" s="444">
        <f t="shared" ca="1" si="72"/>
        <v>3.6288161435654458</v>
      </c>
    </row>
    <row r="135" spans="1:11">
      <c r="A135" s="174" t="s">
        <v>450</v>
      </c>
      <c r="B135" s="174" t="s">
        <v>460</v>
      </c>
      <c r="C135" s="94">
        <f t="shared" si="64"/>
        <v>100</v>
      </c>
      <c r="D135" s="94">
        <f t="shared" si="65"/>
        <v>16.026</v>
      </c>
      <c r="E135" s="94">
        <f t="shared" ca="1" si="66"/>
        <v>15.996771539554766</v>
      </c>
      <c r="F135" s="94">
        <f t="shared" ca="1" si="67"/>
        <v>-2.922846044523375E-2</v>
      </c>
      <c r="G135" s="444">
        <f t="shared" ca="1" si="68"/>
        <v>-0.18238150783248316</v>
      </c>
      <c r="H135" s="221">
        <f t="shared" ca="1" si="69"/>
        <v>15.996771539554766</v>
      </c>
      <c r="I135" s="94">
        <f t="shared" ca="1" si="70"/>
        <v>16.822210057322078</v>
      </c>
      <c r="J135" s="94">
        <f t="shared" ca="1" si="71"/>
        <v>0.82543851776731181</v>
      </c>
      <c r="K135" s="444">
        <f t="shared" ca="1" si="72"/>
        <v>5.1600319209802636</v>
      </c>
    </row>
    <row r="136" spans="1:11">
      <c r="A136" s="174" t="s">
        <v>450</v>
      </c>
      <c r="B136" s="174" t="s">
        <v>460</v>
      </c>
      <c r="C136" s="94">
        <f t="shared" si="64"/>
        <v>150</v>
      </c>
      <c r="D136" s="94">
        <f t="shared" si="65"/>
        <v>20.164000000000001</v>
      </c>
      <c r="E136" s="94">
        <f t="shared" ca="1" si="66"/>
        <v>20.62015730933215</v>
      </c>
      <c r="F136" s="94">
        <f t="shared" ca="1" si="67"/>
        <v>0.45615730933214849</v>
      </c>
      <c r="G136" s="444">
        <f t="shared" ca="1" si="68"/>
        <v>2.262236209740867</v>
      </c>
      <c r="H136" s="221">
        <f t="shared" ca="1" si="69"/>
        <v>20.62015730933215</v>
      </c>
      <c r="I136" s="94">
        <f t="shared" ca="1" si="70"/>
        <v>21.858315085983119</v>
      </c>
      <c r="J136" s="94">
        <f t="shared" ca="1" si="71"/>
        <v>1.2381577766509686</v>
      </c>
      <c r="K136" s="444">
        <f t="shared" ca="1" si="72"/>
        <v>6.0045990827170383</v>
      </c>
    </row>
    <row r="137" spans="1:11">
      <c r="A137" s="174" t="s">
        <v>450</v>
      </c>
      <c r="B137" s="174" t="s">
        <v>460</v>
      </c>
      <c r="C137" s="94">
        <f t="shared" si="64"/>
        <v>200</v>
      </c>
      <c r="D137" s="94">
        <f t="shared" si="65"/>
        <v>24.302</v>
      </c>
      <c r="E137" s="94">
        <f t="shared" ca="1" si="66"/>
        <v>25.243543079109532</v>
      </c>
      <c r="F137" s="94">
        <f t="shared" ca="1" si="67"/>
        <v>0.9415430791095325</v>
      </c>
      <c r="G137" s="444">
        <f t="shared" ca="1" si="68"/>
        <v>3.8743440009445003</v>
      </c>
      <c r="H137" s="221">
        <f t="shared" ca="1" si="69"/>
        <v>25.243543079109532</v>
      </c>
      <c r="I137" s="94">
        <f t="shared" ca="1" si="70"/>
        <v>26.894420114644156</v>
      </c>
      <c r="J137" s="94">
        <f t="shared" ca="1" si="71"/>
        <v>1.6508770355346236</v>
      </c>
      <c r="K137" s="444">
        <f t="shared" ca="1" si="72"/>
        <v>6.5397992285037763</v>
      </c>
    </row>
    <row r="138" spans="1:11">
      <c r="A138" s="174" t="s">
        <v>450</v>
      </c>
      <c r="B138" s="174" t="s">
        <v>460</v>
      </c>
      <c r="C138" s="94">
        <f t="shared" si="64"/>
        <v>300</v>
      </c>
      <c r="D138" s="94">
        <f t="shared" si="65"/>
        <v>32.578000000000003</v>
      </c>
      <c r="E138" s="94">
        <f t="shared" ca="1" si="66"/>
        <v>34.4903146186643</v>
      </c>
      <c r="F138" s="94">
        <f t="shared" ca="1" si="67"/>
        <v>1.912314618664297</v>
      </c>
      <c r="G138" s="444">
        <f t="shared" ca="1" si="68"/>
        <v>5.8699570835051169</v>
      </c>
      <c r="H138" s="221">
        <f t="shared" ca="1" si="69"/>
        <v>34.4903146186643</v>
      </c>
      <c r="I138" s="94">
        <f t="shared" ca="1" si="70"/>
        <v>36.966630171966237</v>
      </c>
      <c r="J138" s="94">
        <f t="shared" ca="1" si="71"/>
        <v>2.4763155533019372</v>
      </c>
      <c r="K138" s="444">
        <f t="shared" ca="1" si="72"/>
        <v>7.1797418512439108</v>
      </c>
    </row>
    <row r="139" spans="1:11">
      <c r="A139" s="174" t="s">
        <v>450</v>
      </c>
      <c r="B139" s="174" t="s">
        <v>460</v>
      </c>
      <c r="C139" s="94">
        <f t="shared" si="64"/>
        <v>400</v>
      </c>
      <c r="D139" s="94">
        <f t="shared" si="65"/>
        <v>40.853999999999999</v>
      </c>
      <c r="E139" s="94">
        <f t="shared" ca="1" si="66"/>
        <v>43.737086158219064</v>
      </c>
      <c r="F139" s="94">
        <f t="shared" ca="1" si="67"/>
        <v>2.883086158219065</v>
      </c>
      <c r="G139" s="444">
        <f t="shared" ca="1" si="68"/>
        <v>7.0570474328561827</v>
      </c>
      <c r="H139" s="221">
        <f t="shared" ca="1" si="69"/>
        <v>43.737086158219064</v>
      </c>
      <c r="I139" s="94">
        <f t="shared" ca="1" si="70"/>
        <v>47.038840229288311</v>
      </c>
      <c r="J139" s="94">
        <f t="shared" ca="1" si="71"/>
        <v>3.3017540710692472</v>
      </c>
      <c r="K139" s="444">
        <f t="shared" ca="1" si="72"/>
        <v>7.5490947410742919</v>
      </c>
    </row>
    <row r="140" spans="1:11">
      <c r="A140" s="283" t="s">
        <v>450</v>
      </c>
      <c r="B140" s="283" t="s">
        <v>460</v>
      </c>
      <c r="C140" s="95">
        <f t="shared" si="64"/>
        <v>500</v>
      </c>
      <c r="D140" s="95">
        <f t="shared" si="65"/>
        <v>49.13</v>
      </c>
      <c r="E140" s="95">
        <f t="shared" ca="1" si="66"/>
        <v>52.983857697773828</v>
      </c>
      <c r="F140" s="95">
        <f t="shared" ca="1" si="67"/>
        <v>3.8538576977738259</v>
      </c>
      <c r="G140" s="445">
        <f t="shared" ca="1" si="68"/>
        <v>7.8442045548011912</v>
      </c>
      <c r="H140" s="267">
        <f t="shared" ca="1" si="69"/>
        <v>52.983857697773828</v>
      </c>
      <c r="I140" s="95">
        <f t="shared" ca="1" si="70"/>
        <v>57.111050286610393</v>
      </c>
      <c r="J140" s="95">
        <f t="shared" ca="1" si="71"/>
        <v>4.1271925888365644</v>
      </c>
      <c r="K140" s="445">
        <f t="shared" ca="1" si="72"/>
        <v>7.789528298181982</v>
      </c>
    </row>
    <row r="141" spans="1:11">
      <c r="A141" s="174" t="s">
        <v>450</v>
      </c>
      <c r="B141" s="174" t="s">
        <v>460</v>
      </c>
      <c r="C141" s="94">
        <f t="shared" si="64"/>
        <v>600</v>
      </c>
      <c r="D141" s="94">
        <f t="shared" si="65"/>
        <v>57.405999999999999</v>
      </c>
      <c r="E141" s="94">
        <f t="shared" ca="1" si="66"/>
        <v>62.230629237328593</v>
      </c>
      <c r="F141" s="94">
        <f t="shared" ca="1" si="67"/>
        <v>4.8246292373285939</v>
      </c>
      <c r="G141" s="444">
        <f t="shared" ca="1" si="68"/>
        <v>8.4043989083520785</v>
      </c>
      <c r="H141" s="221">
        <f t="shared" ca="1" si="69"/>
        <v>62.230629237328593</v>
      </c>
      <c r="I141" s="94">
        <f t="shared" ca="1" si="70"/>
        <v>67.183260343932474</v>
      </c>
      <c r="J141" s="94">
        <f t="shared" ca="1" si="71"/>
        <v>4.9526311066038815</v>
      </c>
      <c r="K141" s="444">
        <f t="shared" ca="1" si="72"/>
        <v>7.958510410871888</v>
      </c>
    </row>
    <row r="142" spans="1:11">
      <c r="A142" s="174" t="s">
        <v>450</v>
      </c>
      <c r="B142" s="174" t="s">
        <v>460</v>
      </c>
      <c r="C142" s="94">
        <f t="shared" si="64"/>
        <v>700</v>
      </c>
      <c r="D142" s="94">
        <f t="shared" si="65"/>
        <v>68.603999999999999</v>
      </c>
      <c r="E142" s="94">
        <f t="shared" ca="1" si="66"/>
        <v>72.938400776883356</v>
      </c>
      <c r="F142" s="94">
        <f t="shared" ca="1" si="67"/>
        <v>4.3344007768833563</v>
      </c>
      <c r="G142" s="444">
        <f t="shared" ca="1" si="68"/>
        <v>6.3180000829155087</v>
      </c>
      <c r="H142" s="221">
        <f t="shared" ca="1" si="69"/>
        <v>72.938400776883356</v>
      </c>
      <c r="I142" s="94">
        <f t="shared" ca="1" si="70"/>
        <v>77.255470401254556</v>
      </c>
      <c r="J142" s="94">
        <f t="shared" ca="1" si="71"/>
        <v>4.3170696243712001</v>
      </c>
      <c r="K142" s="444">
        <f t="shared" ca="1" si="72"/>
        <v>5.9187884274800622</v>
      </c>
    </row>
    <row r="143" spans="1:11">
      <c r="A143" s="174" t="s">
        <v>450</v>
      </c>
      <c r="B143" s="174" t="s">
        <v>460</v>
      </c>
      <c r="C143" s="94">
        <f t="shared" si="64"/>
        <v>800</v>
      </c>
      <c r="D143" s="94">
        <f t="shared" si="65"/>
        <v>79.801999999999992</v>
      </c>
      <c r="E143" s="94">
        <f t="shared" ca="1" si="66"/>
        <v>83.646172316438125</v>
      </c>
      <c r="F143" s="94">
        <f t="shared" ca="1" si="67"/>
        <v>3.844172316438133</v>
      </c>
      <c r="G143" s="444">
        <f t="shared" ca="1" si="68"/>
        <v>4.8171378116314543</v>
      </c>
      <c r="H143" s="221">
        <f t="shared" ca="1" si="69"/>
        <v>83.646172316438125</v>
      </c>
      <c r="I143" s="94">
        <f t="shared" ca="1" si="70"/>
        <v>87.327680458576623</v>
      </c>
      <c r="J143" s="94">
        <f t="shared" ca="1" si="71"/>
        <v>3.6815081421384974</v>
      </c>
      <c r="K143" s="444">
        <f t="shared" ca="1" si="72"/>
        <v>4.4012870406205167</v>
      </c>
    </row>
    <row r="144" spans="1:11">
      <c r="A144" s="174" t="s">
        <v>450</v>
      </c>
      <c r="B144" s="174" t="s">
        <v>460</v>
      </c>
      <c r="C144" s="94">
        <f t="shared" si="64"/>
        <v>900</v>
      </c>
      <c r="D144" s="94">
        <f t="shared" si="65"/>
        <v>91</v>
      </c>
      <c r="E144" s="94">
        <f t="shared" ca="1" si="66"/>
        <v>94.353943855992895</v>
      </c>
      <c r="F144" s="94">
        <f t="shared" ca="1" si="67"/>
        <v>3.3539438559928954</v>
      </c>
      <c r="G144" s="444">
        <f t="shared" ca="1" si="68"/>
        <v>3.6856525890031819</v>
      </c>
      <c r="H144" s="221">
        <f t="shared" ca="1" si="69"/>
        <v>94.353943855992895</v>
      </c>
      <c r="I144" s="94">
        <f t="shared" ca="1" si="70"/>
        <v>97.399890515898704</v>
      </c>
      <c r="J144" s="94">
        <f t="shared" ca="1" si="71"/>
        <v>3.0459466599058089</v>
      </c>
      <c r="K144" s="444">
        <f t="shared" ca="1" si="72"/>
        <v>3.2282134009731123</v>
      </c>
    </row>
    <row r="145" spans="1:11">
      <c r="A145" s="174" t="s">
        <v>450</v>
      </c>
      <c r="B145" s="174" t="s">
        <v>460</v>
      </c>
      <c r="C145" s="94">
        <f t="shared" si="64"/>
        <v>1000</v>
      </c>
      <c r="D145" s="94">
        <f t="shared" si="65"/>
        <v>102.19800000000001</v>
      </c>
      <c r="E145" s="94">
        <f t="shared" ca="1" si="66"/>
        <v>105.06171539554765</v>
      </c>
      <c r="F145" s="94">
        <f t="shared" ca="1" si="67"/>
        <v>2.8637153955476435</v>
      </c>
      <c r="G145" s="444">
        <f t="shared" ca="1" si="68"/>
        <v>2.8021246947568872</v>
      </c>
      <c r="H145" s="221">
        <f t="shared" ca="1" si="69"/>
        <v>105.06171539554765</v>
      </c>
      <c r="I145" s="94">
        <f t="shared" ca="1" si="70"/>
        <v>107.47210057322079</v>
      </c>
      <c r="J145" s="94">
        <f t="shared" ca="1" si="71"/>
        <v>2.4103851776731346</v>
      </c>
      <c r="K145" s="444">
        <f t="shared" ca="1" si="72"/>
        <v>2.2942564459358552</v>
      </c>
    </row>
    <row r="146" spans="1:11">
      <c r="A146" s="174" t="s">
        <v>450</v>
      </c>
      <c r="B146" s="174" t="s">
        <v>460</v>
      </c>
      <c r="C146" s="94">
        <f t="shared" si="64"/>
        <v>1100</v>
      </c>
      <c r="D146" s="94">
        <f t="shared" si="65"/>
        <v>113.39599999999999</v>
      </c>
      <c r="E146" s="94">
        <f t="shared" ca="1" si="66"/>
        <v>115.76948693510242</v>
      </c>
      <c r="F146" s="94">
        <f t="shared" ca="1" si="67"/>
        <v>2.3734869351024344</v>
      </c>
      <c r="G146" s="444">
        <f t="shared" ca="1" si="68"/>
        <v>2.0930958191668441</v>
      </c>
      <c r="H146" s="221">
        <f t="shared" ca="1" si="69"/>
        <v>115.76948693510242</v>
      </c>
      <c r="I146" s="94">
        <f t="shared" ca="1" si="70"/>
        <v>117.54431063054287</v>
      </c>
      <c r="J146" s="94">
        <f t="shared" ca="1" si="71"/>
        <v>1.7748236954404462</v>
      </c>
      <c r="K146" s="444">
        <f t="shared" ca="1" si="72"/>
        <v>1.5330669094485747</v>
      </c>
    </row>
    <row r="147" spans="1:11">
      <c r="A147" s="282" t="s">
        <v>450</v>
      </c>
      <c r="B147" s="282" t="s">
        <v>460</v>
      </c>
      <c r="C147" s="285">
        <f t="shared" si="64"/>
        <v>1200</v>
      </c>
      <c r="D147" s="285">
        <f t="shared" si="65"/>
        <v>124.59399999999999</v>
      </c>
      <c r="E147" s="285">
        <f t="shared" ca="1" si="66"/>
        <v>126.47725847465719</v>
      </c>
      <c r="F147" s="285">
        <f t="shared" ca="1" si="67"/>
        <v>1.8832584746571968</v>
      </c>
      <c r="G147" s="446">
        <f t="shared" ca="1" si="68"/>
        <v>1.511516184292339</v>
      </c>
      <c r="H147" s="375">
        <f t="shared" ca="1" si="69"/>
        <v>126.47725847465719</v>
      </c>
      <c r="I147" s="285">
        <f t="shared" ca="1" si="70"/>
        <v>127.61652068786495</v>
      </c>
      <c r="J147" s="285">
        <f t="shared" ca="1" si="71"/>
        <v>1.1392622132077577</v>
      </c>
      <c r="K147" s="446">
        <f t="shared" ca="1" si="72"/>
        <v>0.90076447493209755</v>
      </c>
    </row>
    <row r="148" spans="1:11">
      <c r="A148" s="174" t="s">
        <v>450</v>
      </c>
      <c r="B148" s="174" t="s">
        <v>460</v>
      </c>
      <c r="C148" s="94">
        <f t="shared" si="64"/>
        <v>1300</v>
      </c>
      <c r="D148" s="94">
        <f t="shared" si="65"/>
        <v>135.792</v>
      </c>
      <c r="E148" s="94">
        <f t="shared" ca="1" si="66"/>
        <v>137.18503001421195</v>
      </c>
      <c r="F148" s="94">
        <f t="shared" ca="1" si="67"/>
        <v>1.3930300142119449</v>
      </c>
      <c r="G148" s="444">
        <f t="shared" ca="1" si="68"/>
        <v>1.0258557309796932</v>
      </c>
      <c r="H148" s="221">
        <f t="shared" ca="1" si="69"/>
        <v>137.18503001421195</v>
      </c>
      <c r="I148" s="94">
        <f t="shared" ca="1" si="70"/>
        <v>137.68873074518703</v>
      </c>
      <c r="J148" s="94">
        <f t="shared" ca="1" si="71"/>
        <v>0.50370073097508339</v>
      </c>
      <c r="K148" s="444">
        <f t="shared" ca="1" si="72"/>
        <v>0.36716887471096632</v>
      </c>
    </row>
    <row r="149" spans="1:11">
      <c r="A149" s="174" t="s">
        <v>450</v>
      </c>
      <c r="B149" s="174" t="s">
        <v>460</v>
      </c>
      <c r="C149" s="94">
        <f t="shared" si="64"/>
        <v>1400</v>
      </c>
      <c r="D149" s="94">
        <f t="shared" si="65"/>
        <v>146.99</v>
      </c>
      <c r="E149" s="94">
        <f t="shared" ca="1" si="66"/>
        <v>147.8928015537667</v>
      </c>
      <c r="F149" s="94">
        <f t="shared" ca="1" si="67"/>
        <v>0.90280155376669313</v>
      </c>
      <c r="G149" s="444">
        <f t="shared" ca="1" si="68"/>
        <v>0.61419249865071979</v>
      </c>
      <c r="H149" s="221">
        <f t="shared" ca="1" si="69"/>
        <v>147.8928015537667</v>
      </c>
      <c r="I149" s="94">
        <f t="shared" ca="1" si="70"/>
        <v>147.76094080250908</v>
      </c>
      <c r="J149" s="94">
        <f t="shared" ca="1" si="71"/>
        <v>-0.13186075125761931</v>
      </c>
      <c r="K149" s="444">
        <f t="shared" ca="1" si="72"/>
        <v>-8.9159681791328493E-2</v>
      </c>
    </row>
    <row r="150" spans="1:11">
      <c r="A150" s="174" t="s">
        <v>450</v>
      </c>
      <c r="B150" s="174" t="s">
        <v>460</v>
      </c>
      <c r="C150" s="94">
        <f t="shared" si="64"/>
        <v>1500</v>
      </c>
      <c r="D150" s="94">
        <f t="shared" si="65"/>
        <v>158.18799999999999</v>
      </c>
      <c r="E150" s="94">
        <f t="shared" ca="1" si="66"/>
        <v>158.60057309332149</v>
      </c>
      <c r="F150" s="94">
        <f t="shared" ca="1" si="67"/>
        <v>0.41257309332149816</v>
      </c>
      <c r="G150" s="444">
        <f t="shared" ca="1" si="68"/>
        <v>0.2608118778425027</v>
      </c>
      <c r="H150" s="221">
        <f t="shared" ca="1" si="69"/>
        <v>158.60057309332149</v>
      </c>
      <c r="I150" s="94">
        <f t="shared" ca="1" si="70"/>
        <v>157.83315085983116</v>
      </c>
      <c r="J150" s="94">
        <f t="shared" ca="1" si="71"/>
        <v>-0.76742223349032201</v>
      </c>
      <c r="K150" s="444">
        <f t="shared" ca="1" si="72"/>
        <v>-0.48387103433653195</v>
      </c>
    </row>
    <row r="151" spans="1:11">
      <c r="A151" s="174" t="s">
        <v>450</v>
      </c>
      <c r="B151" s="174" t="s">
        <v>460</v>
      </c>
      <c r="C151" s="94">
        <f t="shared" si="64"/>
        <v>1600</v>
      </c>
      <c r="D151" s="94">
        <f t="shared" si="65"/>
        <v>169.386</v>
      </c>
      <c r="E151" s="94">
        <f t="shared" ca="1" si="66"/>
        <v>169.30834463287624</v>
      </c>
      <c r="F151" s="94">
        <f t="shared" ca="1" si="67"/>
        <v>-7.7655367123753649E-2</v>
      </c>
      <c r="G151" s="444">
        <f t="shared" ca="1" si="68"/>
        <v>-4.5845209830655223E-2</v>
      </c>
      <c r="H151" s="221">
        <f t="shared" ca="1" si="69"/>
        <v>169.30834463287624</v>
      </c>
      <c r="I151" s="94">
        <f t="shared" ca="1" si="70"/>
        <v>167.90536091715325</v>
      </c>
      <c r="J151" s="94">
        <f t="shared" ca="1" si="71"/>
        <v>-1.4029837157229963</v>
      </c>
      <c r="K151" s="444">
        <f t="shared" ca="1" si="72"/>
        <v>-0.82865597603307106</v>
      </c>
    </row>
    <row r="152" spans="1:11">
      <c r="A152" s="174" t="s">
        <v>450</v>
      </c>
      <c r="B152" s="174" t="s">
        <v>460</v>
      </c>
      <c r="C152" s="94">
        <f t="shared" si="64"/>
        <v>2000</v>
      </c>
      <c r="D152" s="94">
        <f t="shared" si="65"/>
        <v>214.178</v>
      </c>
      <c r="E152" s="94">
        <f t="shared" ca="1" si="66"/>
        <v>212.13943079109532</v>
      </c>
      <c r="F152" s="94">
        <f t="shared" ca="1" si="67"/>
        <v>-2.0385692089046756</v>
      </c>
      <c r="G152" s="444">
        <f t="shared" ca="1" si="68"/>
        <v>-0.95181074102133545</v>
      </c>
      <c r="H152" s="221">
        <f t="shared" ca="1" si="69"/>
        <v>212.13943079109532</v>
      </c>
      <c r="I152" s="94">
        <f t="shared" ca="1" si="70"/>
        <v>208.19420114644157</v>
      </c>
      <c r="J152" s="94">
        <f t="shared" ca="1" si="71"/>
        <v>-3.9452296446537503</v>
      </c>
      <c r="K152" s="444">
        <f t="shared" ca="1" si="72"/>
        <v>-1.8597342464536082</v>
      </c>
    </row>
    <row r="153" spans="1:11">
      <c r="A153" s="283" t="s">
        <v>450</v>
      </c>
      <c r="B153" s="283" t="s">
        <v>460</v>
      </c>
      <c r="C153" s="95">
        <f t="shared" si="64"/>
        <v>2600</v>
      </c>
      <c r="D153" s="95">
        <f t="shared" si="65"/>
        <v>281.36599999999999</v>
      </c>
      <c r="E153" s="95">
        <f t="shared" ca="1" si="66"/>
        <v>276.38606002842391</v>
      </c>
      <c r="F153" s="95">
        <f t="shared" ref="F153" ca="1" si="73">E153-D153</f>
        <v>-4.9799399715760728</v>
      </c>
      <c r="G153" s="445">
        <f t="shared" ref="G153" ca="1" si="74">F153/D153*100</f>
        <v>-1.7699153314814415</v>
      </c>
      <c r="H153" s="267">
        <f t="shared" ca="1" si="69"/>
        <v>276.38606002842391</v>
      </c>
      <c r="I153" s="95">
        <f t="shared" ca="1" si="70"/>
        <v>268.62746149037406</v>
      </c>
      <c r="J153" s="95">
        <f t="shared" ref="J153" ca="1" si="75">I153-H153</f>
        <v>-7.7585985380498528</v>
      </c>
      <c r="K153" s="445">
        <f t="shared" ref="K153" ca="1" si="76">J153/H153*100</f>
        <v>-2.8071598608308785</v>
      </c>
    </row>
    <row r="154" spans="1:11">
      <c r="A154" s="344" t="s">
        <v>451</v>
      </c>
      <c r="B154" s="297"/>
      <c r="C154" s="297"/>
      <c r="D154" s="297"/>
      <c r="E154" s="2"/>
      <c r="F154" s="297"/>
      <c r="G154" s="266"/>
      <c r="H154" s="2"/>
      <c r="I154" s="2"/>
      <c r="J154" s="297"/>
      <c r="K154" s="266"/>
    </row>
    <row r="155" spans="1:11">
      <c r="A155" s="345" t="str">
        <f>"The average residential customer uses "&amp;TEXT(C$22,"#,###")&amp;" kilowatt hours per month"</f>
        <v>The average residential customer uses 1,200 kilowatt hours per month</v>
      </c>
      <c r="B155" s="96"/>
      <c r="C155" s="96"/>
      <c r="D155" s="96"/>
      <c r="E155"/>
      <c r="F155" s="96"/>
      <c r="G155" s="221"/>
      <c r="H155"/>
      <c r="I155"/>
      <c r="J155" s="96"/>
      <c r="K155" s="221"/>
    </row>
    <row r="156" spans="1:11">
      <c r="A156" s="335" t="s">
        <v>452</v>
      </c>
      <c r="B156"/>
      <c r="C156"/>
      <c r="D156"/>
      <c r="E156"/>
      <c r="F156" s="96"/>
      <c r="G156" s="221"/>
      <c r="H156"/>
      <c r="I156"/>
      <c r="J156" s="96"/>
      <c r="K156" s="221"/>
    </row>
    <row r="157" spans="1:11">
      <c r="A157" s="284" t="s">
        <v>457</v>
      </c>
      <c r="B157" s="298"/>
      <c r="C157" s="298"/>
      <c r="D157" s="298"/>
      <c r="E157" s="346"/>
      <c r="F157" s="298"/>
      <c r="G157" s="267"/>
      <c r="H157" s="346"/>
      <c r="I157" s="346"/>
      <c r="J157" s="298"/>
      <c r="K157" s="267"/>
    </row>
  </sheetData>
  <phoneticPr fontId="37" type="noConversion"/>
  <printOptions horizontalCentered="1"/>
  <pageMargins left="0.2" right="0.2" top="0.2" bottom="0.2" header="0" footer="0"/>
  <pageSetup fitToHeight="0" orientation="landscape" r:id="rId1"/>
  <rowBreaks count="7" manualBreakCount="7">
    <brk id="32" max="10" man="1"/>
    <brk id="33" min="11" max="16" man="1"/>
    <brk id="57" max="10" man="1"/>
    <brk id="57" min="11" max="16" man="1"/>
    <brk id="82" max="10" man="1"/>
    <brk id="107" max="10" man="1"/>
    <brk id="1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600A-ABDA-450F-8D6F-77E72671DB83}">
  <sheetPr>
    <pageSetUpPr fitToPage="1"/>
  </sheetPr>
  <dimension ref="A1:AF261"/>
  <sheetViews>
    <sheetView showGridLines="0" zoomScale="70" zoomScaleNormal="70" zoomScaleSheetLayoutView="75" workbookViewId="0">
      <pane ySplit="7" topLeftCell="A32" activePane="bottomLeft" state="frozen"/>
      <selection activeCell="C2" sqref="C2"/>
      <selection pane="bottomLeft" activeCell="C2" sqref="C2"/>
    </sheetView>
  </sheetViews>
  <sheetFormatPr defaultRowHeight="15.75"/>
  <cols>
    <col min="1" max="1" width="7.625" bestFit="1" customWidth="1"/>
    <col min="2" max="2" width="11.75" bestFit="1" customWidth="1"/>
    <col min="3" max="4" width="6.75" style="93" bestFit="1" customWidth="1"/>
    <col min="5" max="5" width="8.5" style="93" bestFit="1" customWidth="1"/>
    <col min="6" max="9" width="10.25" style="93" customWidth="1"/>
    <col min="10" max="13" width="10.25" style="93" hidden="1" customWidth="1"/>
    <col min="14" max="14" width="46.25" style="110" bestFit="1" customWidth="1"/>
    <col min="15" max="15" width="7.125" style="110" bestFit="1" customWidth="1"/>
    <col min="16" max="16" width="12.625" style="110" bestFit="1" customWidth="1"/>
    <col min="17" max="17" width="7.625" style="110" bestFit="1" customWidth="1"/>
    <col min="18" max="18" width="41" style="110" bestFit="1" customWidth="1"/>
    <col min="19" max="19" width="13.375" style="111" customWidth="1"/>
    <col min="20" max="20" width="16.5" style="38" customWidth="1"/>
    <col min="21" max="21" width="16.5" style="111" customWidth="1"/>
    <col min="22" max="32" width="16.5" customWidth="1"/>
  </cols>
  <sheetData>
    <row r="1" spans="1:22">
      <c r="A1" s="326" t="s">
        <v>165</v>
      </c>
      <c r="B1" s="351"/>
      <c r="C1" s="327"/>
      <c r="D1" s="327"/>
      <c r="E1" s="327"/>
      <c r="F1" s="327"/>
      <c r="G1" s="327"/>
      <c r="H1" s="327"/>
      <c r="I1" s="287"/>
      <c r="J1" s="327"/>
      <c r="K1" s="327"/>
      <c r="L1" s="327"/>
      <c r="M1" s="287"/>
    </row>
    <row r="2" spans="1:22">
      <c r="A2" s="329" t="s">
        <v>345</v>
      </c>
      <c r="B2" s="278"/>
      <c r="C2" s="288"/>
      <c r="D2" s="288"/>
      <c r="E2" s="288"/>
      <c r="F2" s="288"/>
      <c r="G2" s="288"/>
      <c r="H2" s="288"/>
      <c r="I2" s="343"/>
      <c r="J2" s="288"/>
      <c r="K2" s="288"/>
      <c r="L2" s="288"/>
      <c r="M2" s="343"/>
    </row>
    <row r="3" spans="1:22">
      <c r="A3" s="329" t="s">
        <v>442</v>
      </c>
      <c r="B3" s="278"/>
      <c r="C3" s="288"/>
      <c r="D3" s="288"/>
      <c r="E3" s="288"/>
      <c r="F3" s="331"/>
      <c r="G3" s="331"/>
      <c r="H3" s="331"/>
      <c r="I3" s="341"/>
      <c r="J3" s="331"/>
      <c r="K3" s="331"/>
      <c r="L3" s="331"/>
      <c r="M3" s="341"/>
    </row>
    <row r="4" spans="1:22" s="213" customFormat="1">
      <c r="A4" s="522"/>
      <c r="B4" s="522"/>
      <c r="C4" s="522"/>
      <c r="D4" s="522"/>
      <c r="E4" s="522"/>
      <c r="F4" s="447" t="s">
        <v>552</v>
      </c>
      <c r="G4" s="447"/>
      <c r="H4" s="447"/>
      <c r="I4" s="548"/>
      <c r="J4" s="447"/>
      <c r="K4" s="447"/>
      <c r="L4" s="447"/>
      <c r="M4" s="548"/>
      <c r="N4" s="207" t="s">
        <v>165</v>
      </c>
      <c r="O4" s="262"/>
      <c r="P4" s="262"/>
      <c r="Q4" s="262"/>
      <c r="R4" s="262"/>
      <c r="S4" s="263"/>
      <c r="T4" s="279"/>
      <c r="U4" s="261"/>
    </row>
    <row r="5" spans="1:22" s="213" customFormat="1">
      <c r="A5" s="237"/>
      <c r="B5" s="237"/>
      <c r="C5" s="369" t="s">
        <v>424</v>
      </c>
      <c r="D5" s="369" t="s">
        <v>4</v>
      </c>
      <c r="E5" s="370"/>
      <c r="F5" s="328" t="s">
        <v>435</v>
      </c>
      <c r="G5" s="328"/>
      <c r="H5" s="286"/>
      <c r="I5" s="254"/>
      <c r="J5" s="328" t="s">
        <v>437</v>
      </c>
      <c r="K5" s="328"/>
      <c r="L5" s="286"/>
      <c r="M5" s="254"/>
      <c r="N5" s="219" t="s">
        <v>345</v>
      </c>
      <c r="O5" s="261"/>
      <c r="P5" s="261"/>
      <c r="Q5" s="261"/>
      <c r="R5" s="261"/>
      <c r="S5" s="264"/>
      <c r="T5" s="279"/>
      <c r="U5" s="261"/>
    </row>
    <row r="6" spans="1:22">
      <c r="A6" s="94"/>
      <c r="B6" s="94"/>
      <c r="C6" s="369" t="s">
        <v>461</v>
      </c>
      <c r="D6" s="370" t="s">
        <v>464</v>
      </c>
      <c r="E6" s="369"/>
      <c r="F6" s="546"/>
      <c r="G6" s="334"/>
      <c r="H6" s="334"/>
      <c r="I6" s="167" t="s">
        <v>428</v>
      </c>
      <c r="J6" s="546"/>
      <c r="K6" s="334"/>
      <c r="L6" s="334"/>
      <c r="M6" s="167" t="s">
        <v>428</v>
      </c>
      <c r="N6" s="265" t="s">
        <v>342</v>
      </c>
      <c r="O6" s="204"/>
      <c r="P6" s="204"/>
      <c r="Q6" s="204"/>
      <c r="R6" s="204"/>
      <c r="S6" s="206"/>
      <c r="U6" s="278"/>
    </row>
    <row r="7" spans="1:22">
      <c r="A7" s="283" t="s">
        <v>130</v>
      </c>
      <c r="B7" s="283" t="s">
        <v>447</v>
      </c>
      <c r="C7" s="371" t="s">
        <v>139</v>
      </c>
      <c r="D7" s="371" t="s">
        <v>139</v>
      </c>
      <c r="E7" s="371" t="s">
        <v>4</v>
      </c>
      <c r="F7" s="310" t="s">
        <v>341</v>
      </c>
      <c r="G7" s="230" t="s">
        <v>346</v>
      </c>
      <c r="H7" s="165" t="s">
        <v>348</v>
      </c>
      <c r="I7" s="165" t="s">
        <v>348</v>
      </c>
      <c r="J7" s="310" t="s">
        <v>341</v>
      </c>
      <c r="K7" s="230" t="s">
        <v>346</v>
      </c>
      <c r="L7" s="165" t="s">
        <v>348</v>
      </c>
      <c r="M7" s="165" t="s">
        <v>348</v>
      </c>
      <c r="N7" s="180"/>
      <c r="O7" s="180"/>
      <c r="P7" s="180" t="s">
        <v>90</v>
      </c>
      <c r="Q7" s="181" t="s">
        <v>130</v>
      </c>
      <c r="R7" s="181" t="s">
        <v>336</v>
      </c>
      <c r="S7" s="367" t="s">
        <v>143</v>
      </c>
    </row>
    <row r="8" spans="1:22">
      <c r="A8" s="174" t="s">
        <v>136</v>
      </c>
      <c r="B8" s="174" t="s">
        <v>458</v>
      </c>
      <c r="C8" s="273">
        <v>15</v>
      </c>
      <c r="D8" s="94">
        <v>300</v>
      </c>
      <c r="E8" s="94">
        <f>C8*D8</f>
        <v>4500</v>
      </c>
      <c r="F8" s="94">
        <f>SUMIFS(S$52:S$55,Q$52:Q$55,A8,R$52:R$55,"Bill")+(S$56+S$58)*(C8-15)+S$59*1000+IF(E8&lt;=9000,S$60*(E8-1000),S$60*8000+S$61*(E8-9000))</f>
        <v>422.255</v>
      </c>
      <c r="G8" s="94">
        <f ca="1">SUMIFS(S$115:S$118,Q$115:Q$118,A8,R$115:R$118,"Bill")+(S$119+S$121)*(C8-15)+IF(B8="Summer",S$122,IF(B8="Winter",S$123,AF$123))*1000+IF(B8="Summer",S$124,IF(B8="Winter",S$125,AF$125))*(E8-1000)</f>
        <v>424.95</v>
      </c>
      <c r="H8" s="94">
        <f t="shared" ref="H8" ca="1" si="0">G8-F8</f>
        <v>2.6949999999999932</v>
      </c>
      <c r="I8" s="444">
        <f t="shared" ref="I8" ca="1" si="1">H8/F8*100</f>
        <v>0.63823992611099767</v>
      </c>
      <c r="J8" s="221">
        <f ca="1">G8</f>
        <v>424.95</v>
      </c>
      <c r="K8" s="94">
        <f ca="1">SUMIFS(S$192:S$195,Q$192:Q$195,A8,R$192:R$195,"Bill")+(S$196+S$198)*(C8-15)+IF(B8="Summer",S$199,IF(B8="Winter",S$200,AF$200))*1000+IF(B8="Summer",S$201,IF(B8="Winter",S$202,AF$202))*(E8-1000)</f>
        <v>424.16999999999996</v>
      </c>
      <c r="L8" s="94">
        <f t="shared" ref="L8" ca="1" si="2">K8-J8</f>
        <v>-0.78000000000002956</v>
      </c>
      <c r="M8" s="444">
        <f t="shared" ref="M8:M22" ca="1" si="3">L8/J8*100</f>
        <v>-0.18355100600071292</v>
      </c>
      <c r="N8" s="208" t="s">
        <v>154</v>
      </c>
      <c r="O8" s="98" t="s">
        <v>337</v>
      </c>
      <c r="P8" s="97" t="s">
        <v>2</v>
      </c>
      <c r="Q8" s="97" t="s">
        <v>136</v>
      </c>
      <c r="R8" s="97" t="s">
        <v>271</v>
      </c>
      <c r="S8" s="97">
        <f>SUMIFS('Normalized Units'!I:I,'Normalized Units'!B:B,"Normalized Billing Units",'Normalized Units'!C:C,N$4,'Normalized Units'!D:D,P8,'Normalized Units'!F:F,Q8,'Normalized Units'!H:H,R8)</f>
        <v>39261.300000000003</v>
      </c>
      <c r="T8"/>
      <c r="U8" s="280"/>
    </row>
    <row r="9" spans="1:22">
      <c r="A9" s="174" t="s">
        <v>136</v>
      </c>
      <c r="B9" s="174" t="s">
        <v>458</v>
      </c>
      <c r="C9" s="273">
        <v>15</v>
      </c>
      <c r="D9" s="94">
        <v>500</v>
      </c>
      <c r="E9" s="94">
        <f t="shared" ref="E9:E22" si="4">C9*D9</f>
        <v>7500</v>
      </c>
      <c r="F9" s="94">
        <f t="shared" ref="F9:F22" si="5">SUMIFS(S$52:S$55,Q$52:Q$55,A9,R$52:R$55,"Bill")+(S$56+S$58)*(C9-15)+S$59*1000+IF(E9&lt;=9000,S$60*(E9-1000),S$60*8000+S$61*(E9-9000))</f>
        <v>673.68499999999995</v>
      </c>
      <c r="G9" s="94">
        <f t="shared" ref="G9:G22" ca="1" si="6">SUMIFS(S$115:S$118,Q$115:Q$118,A9,R$115:R$118,"Bill")+(S$119+S$121)*(C9-15)+IF(B9="Summer",S$122,IF(B9="Winter",S$123,AF$123))*1000+IF(B9="Summer",S$124,IF(B9="Winter",S$125,AF$125))*(E9-1000)</f>
        <v>676.53</v>
      </c>
      <c r="H9" s="94">
        <f t="shared" ref="H9:H22" ca="1" si="7">G9-F9</f>
        <v>2.8450000000000273</v>
      </c>
      <c r="I9" s="444">
        <f t="shared" ref="I9:I22" ca="1" si="8">H9/F9*100</f>
        <v>0.42230419261227836</v>
      </c>
      <c r="J9" s="221">
        <f t="shared" ref="J9:J22" ca="1" si="9">G9</f>
        <v>676.53</v>
      </c>
      <c r="K9" s="94">
        <f t="shared" ref="K9:K22" ca="1" si="10">SUMIFS(S$192:S$195,Q$192:Q$195,A9,R$192:R$195,"Bill")+(S$196+S$198)*(C9-15)+IF(B9="Summer",S$199,IF(B9="Winter",S$200,AF$200))*1000+IF(B9="Summer",S$201,IF(B9="Winter",S$202,AF$202))*(E9-1000)</f>
        <v>675.21</v>
      </c>
      <c r="L9" s="94">
        <f t="shared" ref="L9:L22" ca="1" si="11">K9-J9</f>
        <v>-1.3199999999999363</v>
      </c>
      <c r="M9" s="444">
        <f t="shared" ca="1" si="3"/>
        <v>-0.19511329874505734</v>
      </c>
      <c r="N9" s="184" t="s">
        <v>154</v>
      </c>
      <c r="O9" s="57" t="s">
        <v>337</v>
      </c>
      <c r="P9" s="55" t="s">
        <v>2</v>
      </c>
      <c r="Q9" s="55" t="s">
        <v>137</v>
      </c>
      <c r="R9" s="55" t="s">
        <v>271</v>
      </c>
      <c r="S9" s="55">
        <f>SUMIFS('Normalized Units'!I:I,'Normalized Units'!B:B,"Normalized Billing Units",'Normalized Units'!C:C,N$4,'Normalized Units'!D:D,P9,'Normalized Units'!F:F,Q9,'Normalized Units'!H:H,R9)</f>
        <v>2717.666666666667</v>
      </c>
      <c r="T9" s="280"/>
      <c r="U9" s="48"/>
      <c r="V9" s="111"/>
    </row>
    <row r="10" spans="1:22">
      <c r="A10" s="174" t="s">
        <v>136</v>
      </c>
      <c r="B10" s="174" t="s">
        <v>458</v>
      </c>
      <c r="C10" s="273">
        <v>15</v>
      </c>
      <c r="D10" s="94">
        <v>700</v>
      </c>
      <c r="E10" s="94">
        <f t="shared" si="4"/>
        <v>10500</v>
      </c>
      <c r="F10" s="94">
        <f t="shared" si="5"/>
        <v>917.3</v>
      </c>
      <c r="G10" s="94">
        <f t="shared" ca="1" si="6"/>
        <v>928.11000000000013</v>
      </c>
      <c r="H10" s="94">
        <f t="shared" ca="1" si="7"/>
        <v>10.810000000000173</v>
      </c>
      <c r="I10" s="444">
        <f t="shared" ca="1" si="8"/>
        <v>1.178458519568317</v>
      </c>
      <c r="J10" s="221">
        <f t="shared" ca="1" si="9"/>
        <v>928.11000000000013</v>
      </c>
      <c r="K10" s="94">
        <f t="shared" ca="1" si="10"/>
        <v>926.25</v>
      </c>
      <c r="L10" s="94">
        <f t="shared" ca="1" si="11"/>
        <v>-1.8600000000001273</v>
      </c>
      <c r="M10" s="444">
        <f t="shared" ca="1" si="3"/>
        <v>-0.2004072793095783</v>
      </c>
      <c r="N10" s="184" t="s">
        <v>154</v>
      </c>
      <c r="O10" s="57" t="s">
        <v>337</v>
      </c>
      <c r="P10" s="55" t="s">
        <v>2</v>
      </c>
      <c r="Q10" s="55" t="s">
        <v>132</v>
      </c>
      <c r="R10" s="55" t="s">
        <v>217</v>
      </c>
      <c r="S10" s="55">
        <f>SUMIFS('Normalized Units'!I:I,'Normalized Units'!B:B,"Normalized Billing Units",'Normalized Units'!C:C,N$4,'Normalized Units'!D:D,P10,'Normalized Units'!F:F,Q10,'Normalized Units'!H:H,R10)</f>
        <v>24552.924358974364</v>
      </c>
      <c r="T10" s="280"/>
      <c r="U10" s="380"/>
      <c r="V10" s="111"/>
    </row>
    <row r="11" spans="1:22">
      <c r="A11" s="174" t="s">
        <v>136</v>
      </c>
      <c r="B11" s="174" t="s">
        <v>458</v>
      </c>
      <c r="C11" s="273">
        <v>25</v>
      </c>
      <c r="D11" s="94">
        <v>300</v>
      </c>
      <c r="E11" s="94">
        <f t="shared" si="4"/>
        <v>7500</v>
      </c>
      <c r="F11" s="94">
        <f t="shared" si="5"/>
        <v>722.18499999999995</v>
      </c>
      <c r="G11" s="94">
        <f t="shared" ca="1" si="6"/>
        <v>725.93000000000006</v>
      </c>
      <c r="H11" s="94">
        <f t="shared" ca="1" si="7"/>
        <v>3.7450000000001182</v>
      </c>
      <c r="I11" s="444">
        <f t="shared" ca="1" si="8"/>
        <v>0.51856518759045378</v>
      </c>
      <c r="J11" s="221">
        <f t="shared" ca="1" si="9"/>
        <v>725.93000000000006</v>
      </c>
      <c r="K11" s="94">
        <f t="shared" ca="1" si="10"/>
        <v>724.5100000000001</v>
      </c>
      <c r="L11" s="94">
        <f t="shared" ca="1" si="11"/>
        <v>-1.4199999999999591</v>
      </c>
      <c r="M11" s="444">
        <f t="shared" ca="1" si="3"/>
        <v>-0.19561114708029134</v>
      </c>
      <c r="N11" s="184" t="s">
        <v>154</v>
      </c>
      <c r="O11" s="57" t="s">
        <v>337</v>
      </c>
      <c r="P11" s="55" t="s">
        <v>2</v>
      </c>
      <c r="Q11" s="55" t="s">
        <v>132</v>
      </c>
      <c r="R11" s="55" t="s">
        <v>139</v>
      </c>
      <c r="S11" s="55">
        <f>SUMIFS('Normalized Units'!I:I,'Normalized Units'!B:B,"Normalized Billing Units",'Normalized Units'!C:C,N$4,'Normalized Units'!D:D,P11,'Normalized Units'!F:F,Q11,'Normalized Units'!H:H,R11)</f>
        <v>14515.131233595803</v>
      </c>
      <c r="T11" s="280"/>
      <c r="U11" s="380"/>
      <c r="V11" s="380"/>
    </row>
    <row r="12" spans="1:22">
      <c r="A12" s="174" t="s">
        <v>136</v>
      </c>
      <c r="B12" s="174" t="s">
        <v>458</v>
      </c>
      <c r="C12" s="273">
        <v>25</v>
      </c>
      <c r="D12" s="94">
        <v>500</v>
      </c>
      <c r="E12" s="94">
        <f t="shared" si="4"/>
        <v>12500</v>
      </c>
      <c r="F12" s="94">
        <f t="shared" si="5"/>
        <v>1123</v>
      </c>
      <c r="G12" s="94">
        <f t="shared" ca="1" si="6"/>
        <v>1145.23</v>
      </c>
      <c r="H12" s="94">
        <f t="shared" ca="1" si="7"/>
        <v>22.230000000000018</v>
      </c>
      <c r="I12" s="444">
        <f t="shared" ca="1" si="8"/>
        <v>1.9795191451469296</v>
      </c>
      <c r="J12" s="221">
        <f t="shared" ca="1" si="9"/>
        <v>1145.23</v>
      </c>
      <c r="K12" s="94">
        <f t="shared" ca="1" si="10"/>
        <v>1142.9100000000001</v>
      </c>
      <c r="L12" s="94">
        <f t="shared" ca="1" si="11"/>
        <v>-2.3199999999999363</v>
      </c>
      <c r="M12" s="444">
        <f t="shared" ca="1" si="3"/>
        <v>-0.20257939453209717</v>
      </c>
      <c r="N12" s="184" t="s">
        <v>154</v>
      </c>
      <c r="O12" s="57" t="s">
        <v>337</v>
      </c>
      <c r="P12" s="55" t="s">
        <v>2</v>
      </c>
      <c r="Q12" s="55" t="s">
        <v>132</v>
      </c>
      <c r="R12" s="55" t="s">
        <v>331</v>
      </c>
      <c r="S12" s="55">
        <f>'Normalized Units'!U197+'Normalized Units'!J197+'Normalized Units'!K197+'Normalized Units'!L197</f>
        <v>4543828.2322019441</v>
      </c>
      <c r="T12" s="280"/>
      <c r="U12" s="380"/>
      <c r="V12" s="380"/>
    </row>
    <row r="13" spans="1:22">
      <c r="A13" s="174" t="s">
        <v>136</v>
      </c>
      <c r="B13" s="174" t="s">
        <v>458</v>
      </c>
      <c r="C13" s="273">
        <v>25</v>
      </c>
      <c r="D13" s="94">
        <v>700</v>
      </c>
      <c r="E13" s="94">
        <f t="shared" si="4"/>
        <v>17500</v>
      </c>
      <c r="F13" s="94">
        <f t="shared" si="5"/>
        <v>1516</v>
      </c>
      <c r="G13" s="94">
        <f t="shared" ca="1" si="6"/>
        <v>1564.53</v>
      </c>
      <c r="H13" s="94">
        <f t="shared" ca="1" si="7"/>
        <v>48.529999999999973</v>
      </c>
      <c r="I13" s="444">
        <f t="shared" ca="1" si="8"/>
        <v>3.2011873350923468</v>
      </c>
      <c r="J13" s="221">
        <f t="shared" ca="1" si="9"/>
        <v>1564.53</v>
      </c>
      <c r="K13" s="94">
        <f t="shared" ca="1" si="10"/>
        <v>1561.31</v>
      </c>
      <c r="L13" s="94">
        <f t="shared" ca="1" si="11"/>
        <v>-3.2200000000000273</v>
      </c>
      <c r="M13" s="444">
        <f t="shared" ca="1" si="3"/>
        <v>-0.20581260825935119</v>
      </c>
      <c r="N13" s="184" t="s">
        <v>154</v>
      </c>
      <c r="O13" s="57" t="s">
        <v>337</v>
      </c>
      <c r="P13" s="55" t="s">
        <v>2</v>
      </c>
      <c r="Q13" s="55" t="s">
        <v>132</v>
      </c>
      <c r="R13" s="55" t="s">
        <v>329</v>
      </c>
      <c r="S13" s="55">
        <f>'Normalized Units'!M197+'Normalized Units'!N197+'Normalized Units'!O197+'Normalized Units'!P197+'Normalized Units'!Q197+'Normalized Units'!R197+'Normalized Units'!S197+'Normalized Units'!T197</f>
        <v>9022904.0179224666</v>
      </c>
      <c r="T13" s="280"/>
      <c r="U13"/>
    </row>
    <row r="14" spans="1:22">
      <c r="A14" s="174" t="s">
        <v>136</v>
      </c>
      <c r="B14" s="174" t="s">
        <v>458</v>
      </c>
      <c r="C14" s="273">
        <v>50</v>
      </c>
      <c r="D14" s="94">
        <v>300</v>
      </c>
      <c r="E14" s="94">
        <f t="shared" si="4"/>
        <v>15000</v>
      </c>
      <c r="F14" s="94">
        <f t="shared" si="5"/>
        <v>1440.75</v>
      </c>
      <c r="G14" s="94">
        <f t="shared" ca="1" si="6"/>
        <v>1478.3799999999999</v>
      </c>
      <c r="H14" s="94">
        <f t="shared" ca="1" si="7"/>
        <v>37.629999999999882</v>
      </c>
      <c r="I14" s="444">
        <f t="shared" ca="1" si="8"/>
        <v>2.6118341141766357</v>
      </c>
      <c r="J14" s="221">
        <f t="shared" ca="1" si="9"/>
        <v>1478.3799999999999</v>
      </c>
      <c r="K14" s="94">
        <f t="shared" ca="1" si="10"/>
        <v>1475.36</v>
      </c>
      <c r="L14" s="94">
        <f t="shared" ca="1" si="11"/>
        <v>-3.0199999999999818</v>
      </c>
      <c r="M14" s="444">
        <f t="shared" ca="1" si="3"/>
        <v>-0.20427765527130928</v>
      </c>
      <c r="N14" s="184" t="s">
        <v>154</v>
      </c>
      <c r="O14" s="57" t="s">
        <v>337</v>
      </c>
      <c r="P14" s="55" t="s">
        <v>2</v>
      </c>
      <c r="Q14" s="55" t="s">
        <v>132</v>
      </c>
      <c r="R14" s="55" t="s">
        <v>332</v>
      </c>
      <c r="S14" s="55">
        <f>'Normalized Units'!U198+'Normalized Units'!J198+'Normalized Units'!K198+'Normalized Units'!L198</f>
        <v>2388645.8613681756</v>
      </c>
      <c r="T14" s="280"/>
      <c r="U14" s="48"/>
    </row>
    <row r="15" spans="1:22">
      <c r="A15" s="174" t="s">
        <v>136</v>
      </c>
      <c r="B15" s="174" t="s">
        <v>458</v>
      </c>
      <c r="C15" s="273">
        <v>50</v>
      </c>
      <c r="D15" s="94">
        <v>500</v>
      </c>
      <c r="E15" s="94">
        <f t="shared" si="4"/>
        <v>25000</v>
      </c>
      <c r="F15" s="94">
        <f t="shared" si="5"/>
        <v>2226.75</v>
      </c>
      <c r="G15" s="94">
        <f t="shared" ca="1" si="6"/>
        <v>2316.98</v>
      </c>
      <c r="H15" s="94">
        <f t="shared" ca="1" si="7"/>
        <v>90.230000000000018</v>
      </c>
      <c r="I15" s="444">
        <f t="shared" ca="1" si="8"/>
        <v>4.0520938587627713</v>
      </c>
      <c r="J15" s="221">
        <f t="shared" ca="1" si="9"/>
        <v>2316.98</v>
      </c>
      <c r="K15" s="94">
        <f t="shared" ca="1" si="10"/>
        <v>2312.1600000000003</v>
      </c>
      <c r="L15" s="94">
        <f t="shared" ca="1" si="11"/>
        <v>-4.819999999999709</v>
      </c>
      <c r="M15" s="444">
        <f t="shared" ca="1" si="3"/>
        <v>-0.20802941760393739</v>
      </c>
      <c r="N15" s="184" t="s">
        <v>154</v>
      </c>
      <c r="O15" s="57" t="s">
        <v>337</v>
      </c>
      <c r="P15" s="55" t="s">
        <v>2</v>
      </c>
      <c r="Q15" s="55" t="s">
        <v>132</v>
      </c>
      <c r="R15" s="55" t="s">
        <v>330</v>
      </c>
      <c r="S15" s="55">
        <f>'Normalized Units'!M198+'Normalized Units'!N198+'Normalized Units'!O198+'Normalized Units'!P198+'Normalized Units'!Q198+'Normalized Units'!R198+'Normalized Units'!S198+'Normalized Units'!T198</f>
        <v>4718794.3162805056</v>
      </c>
      <c r="T15" s="280"/>
      <c r="U15"/>
    </row>
    <row r="16" spans="1:22">
      <c r="A16" s="174" t="s">
        <v>136</v>
      </c>
      <c r="B16" s="174" t="s">
        <v>458</v>
      </c>
      <c r="C16" s="273">
        <v>50</v>
      </c>
      <c r="D16" s="94">
        <v>700</v>
      </c>
      <c r="E16" s="94">
        <f t="shared" si="4"/>
        <v>35000</v>
      </c>
      <c r="F16" s="94">
        <f t="shared" si="5"/>
        <v>3012.75</v>
      </c>
      <c r="G16" s="94">
        <f t="shared" ca="1" si="6"/>
        <v>3155.5800000000004</v>
      </c>
      <c r="H16" s="94">
        <f t="shared" ca="1" si="7"/>
        <v>142.83000000000038</v>
      </c>
      <c r="I16" s="444">
        <f t="shared" ca="1" si="8"/>
        <v>4.7408513816280928</v>
      </c>
      <c r="J16" s="221">
        <f t="shared" ca="1" si="9"/>
        <v>3155.5800000000004</v>
      </c>
      <c r="K16" s="94">
        <f t="shared" ca="1" si="10"/>
        <v>3148.9600000000005</v>
      </c>
      <c r="L16" s="94">
        <f t="shared" ca="1" si="11"/>
        <v>-6.6199999999998909</v>
      </c>
      <c r="M16" s="444">
        <f t="shared" ca="1" si="3"/>
        <v>-0.20978710728296826</v>
      </c>
      <c r="N16" s="184" t="s">
        <v>154</v>
      </c>
      <c r="O16" s="57" t="s">
        <v>337</v>
      </c>
      <c r="P16" s="55" t="s">
        <v>2</v>
      </c>
      <c r="Q16" s="55" t="s">
        <v>132</v>
      </c>
      <c r="R16" s="55" t="s">
        <v>333</v>
      </c>
      <c r="S16" s="55">
        <f>'Normalized Units'!U199+'Normalized Units'!J199+'Normalized Units'!K199+'Normalized Units'!L199</f>
        <v>320577.79258987459</v>
      </c>
      <c r="T16" s="280"/>
      <c r="U16"/>
    </row>
    <row r="17" spans="1:21">
      <c r="A17" s="174" t="s">
        <v>136</v>
      </c>
      <c r="B17" s="174" t="s">
        <v>458</v>
      </c>
      <c r="C17" s="273">
        <v>75</v>
      </c>
      <c r="D17" s="94">
        <v>300</v>
      </c>
      <c r="E17" s="94">
        <f t="shared" si="4"/>
        <v>22500</v>
      </c>
      <c r="F17" s="94">
        <f t="shared" si="5"/>
        <v>2151.5</v>
      </c>
      <c r="G17" s="94">
        <f t="shared" ca="1" si="6"/>
        <v>2230.83</v>
      </c>
      <c r="H17" s="94">
        <f t="shared" ca="1" si="7"/>
        <v>79.329999999999927</v>
      </c>
      <c r="I17" s="444">
        <f t="shared" ca="1" si="8"/>
        <v>3.687194980246336</v>
      </c>
      <c r="J17" s="221">
        <f t="shared" ca="1" si="9"/>
        <v>2230.83</v>
      </c>
      <c r="K17" s="94">
        <f t="shared" ca="1" si="10"/>
        <v>2226.21</v>
      </c>
      <c r="L17" s="94">
        <f t="shared" ca="1" si="11"/>
        <v>-4.6199999999998909</v>
      </c>
      <c r="M17" s="444">
        <f t="shared" ca="1" si="3"/>
        <v>-0.20709780664595201</v>
      </c>
      <c r="N17" s="184" t="s">
        <v>154</v>
      </c>
      <c r="O17" s="57" t="s">
        <v>337</v>
      </c>
      <c r="P17" s="55" t="s">
        <v>2</v>
      </c>
      <c r="Q17" s="55" t="s">
        <v>132</v>
      </c>
      <c r="R17" s="55" t="s">
        <v>334</v>
      </c>
      <c r="S17" s="55">
        <f>'Normalized Units'!M199+'Normalized Units'!N199+'Normalized Units'!O199+'Normalized Units'!P199+'Normalized Units'!Q199+'Normalized Units'!R199+'Normalized Units'!S199+'Normalized Units'!T199</f>
        <v>609628.61704140075</v>
      </c>
      <c r="T17" s="280"/>
      <c r="U17"/>
    </row>
    <row r="18" spans="1:21">
      <c r="A18" s="174" t="s">
        <v>136</v>
      </c>
      <c r="B18" s="174" t="s">
        <v>458</v>
      </c>
      <c r="C18" s="273">
        <v>75</v>
      </c>
      <c r="D18" s="94">
        <v>500</v>
      </c>
      <c r="E18" s="94">
        <f t="shared" si="4"/>
        <v>37500</v>
      </c>
      <c r="F18" s="94">
        <f t="shared" si="5"/>
        <v>3330.5</v>
      </c>
      <c r="G18" s="94">
        <f t="shared" ca="1" si="6"/>
        <v>3488.7300000000005</v>
      </c>
      <c r="H18" s="94">
        <f t="shared" ca="1" si="7"/>
        <v>158.23000000000047</v>
      </c>
      <c r="I18" s="444">
        <f t="shared" ca="1" si="8"/>
        <v>4.750938297552934</v>
      </c>
      <c r="J18" s="221">
        <f t="shared" ca="1" si="9"/>
        <v>3488.7300000000005</v>
      </c>
      <c r="K18" s="94">
        <f t="shared" ca="1" si="10"/>
        <v>3481.4100000000003</v>
      </c>
      <c r="L18" s="94">
        <f t="shared" ca="1" si="11"/>
        <v>-7.3200000000001637</v>
      </c>
      <c r="M18" s="444">
        <f t="shared" ca="1" si="3"/>
        <v>-0.20981847262471334</v>
      </c>
      <c r="N18" s="209" t="s">
        <v>154</v>
      </c>
      <c r="O18" s="103" t="s">
        <v>337</v>
      </c>
      <c r="P18" s="105" t="s">
        <v>2</v>
      </c>
      <c r="Q18" s="105" t="s">
        <v>132</v>
      </c>
      <c r="R18" s="105" t="s">
        <v>138</v>
      </c>
      <c r="S18" s="105">
        <f>SUMIFS('Normalized Units'!I:I,'Normalized Units'!B:B,"Normalized Billing Units",'Normalized Units'!C:C,N$4,'Normalized Units'!D:D,P18,'Normalized Units'!F:F,Q18,'Normalized Units'!H:H,R18)</f>
        <v>113</v>
      </c>
      <c r="T18" s="280"/>
      <c r="U18"/>
    </row>
    <row r="19" spans="1:21">
      <c r="A19" s="174" t="s">
        <v>136</v>
      </c>
      <c r="B19" s="174" t="s">
        <v>458</v>
      </c>
      <c r="C19" s="273">
        <v>75</v>
      </c>
      <c r="D19" s="94">
        <v>700</v>
      </c>
      <c r="E19" s="94">
        <f t="shared" si="4"/>
        <v>52500</v>
      </c>
      <c r="F19" s="94">
        <f t="shared" si="5"/>
        <v>4509.5</v>
      </c>
      <c r="G19" s="94">
        <f t="shared" ca="1" si="6"/>
        <v>4746.63</v>
      </c>
      <c r="H19" s="94">
        <f t="shared" ca="1" si="7"/>
        <v>237.13000000000011</v>
      </c>
      <c r="I19" s="444">
        <f t="shared" ca="1" si="8"/>
        <v>5.2584543740991263</v>
      </c>
      <c r="J19" s="221">
        <f t="shared" ca="1" si="9"/>
        <v>4746.63</v>
      </c>
      <c r="K19" s="94">
        <f t="shared" ca="1" si="10"/>
        <v>4736.6100000000006</v>
      </c>
      <c r="L19" s="94">
        <f t="shared" ca="1" si="11"/>
        <v>-10.019999999999527</v>
      </c>
      <c r="M19" s="444">
        <f t="shared" ca="1" si="3"/>
        <v>-0.21109713628404839</v>
      </c>
      <c r="N19" s="208" t="s">
        <v>154</v>
      </c>
      <c r="O19" s="98" t="s">
        <v>337</v>
      </c>
      <c r="P19" s="97" t="s">
        <v>3</v>
      </c>
      <c r="Q19" s="97" t="s">
        <v>136</v>
      </c>
      <c r="R19" s="97" t="s">
        <v>271</v>
      </c>
      <c r="S19" s="97">
        <f>SUMIFS('Normalized Units'!I:I,'Normalized Units'!B:B,"Normalized Billing Units",'Normalized Units'!C:C,N$4,'Normalized Units'!D:D,P19,'Normalized Units'!F:F,Q19,'Normalized Units'!H:H,R19)</f>
        <v>137486.80000000002</v>
      </c>
      <c r="T19" s="280"/>
      <c r="U19" s="48"/>
    </row>
    <row r="20" spans="1:21">
      <c r="A20" s="174" t="s">
        <v>136</v>
      </c>
      <c r="B20" s="174" t="s">
        <v>458</v>
      </c>
      <c r="C20" s="273">
        <v>100</v>
      </c>
      <c r="D20" s="94">
        <v>300</v>
      </c>
      <c r="E20" s="94">
        <f t="shared" si="4"/>
        <v>30000</v>
      </c>
      <c r="F20" s="94">
        <f t="shared" si="5"/>
        <v>2862.25</v>
      </c>
      <c r="G20" s="94">
        <f t="shared" ca="1" si="6"/>
        <v>2983.28</v>
      </c>
      <c r="H20" s="94">
        <f t="shared" ca="1" si="7"/>
        <v>121.0300000000002</v>
      </c>
      <c r="I20" s="444">
        <f t="shared" ca="1" si="8"/>
        <v>4.2284915713162796</v>
      </c>
      <c r="J20" s="221">
        <f t="shared" ca="1" si="9"/>
        <v>2983.28</v>
      </c>
      <c r="K20" s="94">
        <f t="shared" ca="1" si="10"/>
        <v>2977.0600000000004</v>
      </c>
      <c r="L20" s="94">
        <f t="shared" ca="1" si="11"/>
        <v>-6.2199999999997999</v>
      </c>
      <c r="M20" s="444">
        <f t="shared" ca="1" si="3"/>
        <v>-0.20849534740285189</v>
      </c>
      <c r="N20" s="184" t="s">
        <v>154</v>
      </c>
      <c r="O20" s="57" t="s">
        <v>337</v>
      </c>
      <c r="P20" s="55" t="s">
        <v>3</v>
      </c>
      <c r="Q20" s="55" t="s">
        <v>136</v>
      </c>
      <c r="R20" s="55" t="s">
        <v>272</v>
      </c>
      <c r="S20" s="55">
        <f>SUMIFS('Normalized Units'!I:I,'Normalized Units'!B:B,"Normalized Billing Units",'Normalized Units'!C:C,N$4,'Normalized Units'!D:D,P20,'Normalized Units'!F:F,Q20,'Normalized Units'!H:H,R20)</f>
        <v>2.6301369863013697</v>
      </c>
      <c r="T20" s="280"/>
      <c r="U20" s="48"/>
    </row>
    <row r="21" spans="1:21">
      <c r="A21" s="174" t="s">
        <v>136</v>
      </c>
      <c r="B21" s="174" t="s">
        <v>458</v>
      </c>
      <c r="C21" s="273">
        <v>100</v>
      </c>
      <c r="D21" s="94">
        <v>500</v>
      </c>
      <c r="E21" s="94">
        <f t="shared" si="4"/>
        <v>50000</v>
      </c>
      <c r="F21" s="94">
        <f t="shared" si="5"/>
        <v>4434.25</v>
      </c>
      <c r="G21" s="94">
        <f t="shared" ca="1" si="6"/>
        <v>4660.4800000000005</v>
      </c>
      <c r="H21" s="94">
        <f t="shared" ca="1" si="7"/>
        <v>226.23000000000047</v>
      </c>
      <c r="I21" s="444">
        <f t="shared" ca="1" si="8"/>
        <v>5.1018774313581883</v>
      </c>
      <c r="J21" s="221">
        <f t="shared" ca="1" si="9"/>
        <v>4660.4800000000005</v>
      </c>
      <c r="K21" s="94">
        <f t="shared" ca="1" si="10"/>
        <v>4650.6600000000008</v>
      </c>
      <c r="L21" s="94">
        <f t="shared" ca="1" si="11"/>
        <v>-9.819999999999709</v>
      </c>
      <c r="M21" s="444">
        <f t="shared" ca="1" si="3"/>
        <v>-0.21070790991485228</v>
      </c>
      <c r="N21" s="184" t="s">
        <v>154</v>
      </c>
      <c r="O21" s="57" t="s">
        <v>337</v>
      </c>
      <c r="P21" s="55" t="s">
        <v>3</v>
      </c>
      <c r="Q21" s="55" t="s">
        <v>137</v>
      </c>
      <c r="R21" s="55" t="s">
        <v>271</v>
      </c>
      <c r="S21" s="55">
        <f>SUMIFS('Normalized Units'!I:I,'Normalized Units'!B:B,"Normalized Billing Units",'Normalized Units'!C:C,N$4,'Normalized Units'!D:D,P21,'Normalized Units'!F:F,Q21,'Normalized Units'!H:H,R21)</f>
        <v>64614.799999999988</v>
      </c>
      <c r="T21" s="280"/>
      <c r="U21" s="48"/>
    </row>
    <row r="22" spans="1:21">
      <c r="A22" s="174" t="s">
        <v>136</v>
      </c>
      <c r="B22" s="174" t="s">
        <v>458</v>
      </c>
      <c r="C22" s="273">
        <v>100</v>
      </c>
      <c r="D22" s="94">
        <v>700</v>
      </c>
      <c r="E22" s="94">
        <f t="shared" si="4"/>
        <v>70000</v>
      </c>
      <c r="F22" s="94">
        <f t="shared" si="5"/>
        <v>6006.25</v>
      </c>
      <c r="G22" s="94">
        <f t="shared" ca="1" si="6"/>
        <v>6337.68</v>
      </c>
      <c r="H22" s="94">
        <f t="shared" ca="1" si="7"/>
        <v>331.43000000000029</v>
      </c>
      <c r="I22" s="444">
        <f t="shared" ca="1" si="8"/>
        <v>5.518085327783564</v>
      </c>
      <c r="J22" s="221">
        <f t="shared" ca="1" si="9"/>
        <v>6337.68</v>
      </c>
      <c r="K22" s="94">
        <f t="shared" ca="1" si="10"/>
        <v>6324.26</v>
      </c>
      <c r="L22" s="94">
        <f t="shared" ca="1" si="11"/>
        <v>-13.420000000000073</v>
      </c>
      <c r="M22" s="444">
        <f t="shared" ca="1" si="3"/>
        <v>-0.21174940987869492</v>
      </c>
      <c r="N22" s="184" t="s">
        <v>154</v>
      </c>
      <c r="O22" s="57" t="s">
        <v>337</v>
      </c>
      <c r="P22" s="55" t="s">
        <v>3</v>
      </c>
      <c r="Q22" s="55" t="s">
        <v>137</v>
      </c>
      <c r="R22" s="55" t="s">
        <v>272</v>
      </c>
      <c r="S22" s="55">
        <f>SUMIFS('Normalized Units'!I:I,'Normalized Units'!B:B,"Normalized Billing Units",'Normalized Units'!C:C,N$4,'Normalized Units'!D:D,P22,'Normalized Units'!F:F,Q22,'Normalized Units'!H:H,R22)</f>
        <v>63.471232876712314</v>
      </c>
      <c r="T22" s="280"/>
      <c r="U22" s="48"/>
    </row>
    <row r="23" spans="1:21">
      <c r="A23" s="344" t="s">
        <v>451</v>
      </c>
      <c r="B23" s="297"/>
      <c r="C23" s="297"/>
      <c r="D23" s="297"/>
      <c r="E23" s="297"/>
      <c r="F23" s="297"/>
      <c r="G23" s="297"/>
      <c r="H23" s="297"/>
      <c r="I23" s="457"/>
      <c r="J23" s="297"/>
      <c r="K23" s="297"/>
      <c r="L23" s="297"/>
      <c r="M23" s="457"/>
      <c r="N23" s="184" t="s">
        <v>154</v>
      </c>
      <c r="O23" s="57" t="s">
        <v>337</v>
      </c>
      <c r="P23" s="55" t="s">
        <v>3</v>
      </c>
      <c r="Q23" s="55" t="s">
        <v>132</v>
      </c>
      <c r="R23" s="55" t="s">
        <v>217</v>
      </c>
      <c r="S23" s="55">
        <f>SUMIFS('Normalized Units'!I:I,'Normalized Units'!B:B,"Normalized Billing Units",'Normalized Units'!C:C,N$4,'Normalized Units'!D:D,P23,'Normalized Units'!F:F,Q23,'Normalized Units'!H:H,R23)</f>
        <v>1187878.7378205128</v>
      </c>
      <c r="T23" s="280"/>
      <c r="U23" s="48"/>
    </row>
    <row r="24" spans="1:21">
      <c r="A24" s="335" t="s">
        <v>452</v>
      </c>
      <c r="B24" s="96"/>
      <c r="C24" s="96"/>
      <c r="D24" s="96"/>
      <c r="E24" s="96"/>
      <c r="F24" s="96"/>
      <c r="G24" s="96"/>
      <c r="H24" s="96"/>
      <c r="I24" s="458"/>
      <c r="J24" s="96"/>
      <c r="K24" s="96"/>
      <c r="L24" s="96"/>
      <c r="M24" s="458"/>
      <c r="N24" s="184" t="s">
        <v>154</v>
      </c>
      <c r="O24" s="57" t="s">
        <v>337</v>
      </c>
      <c r="P24" s="55" t="s">
        <v>3</v>
      </c>
      <c r="Q24" s="55" t="s">
        <v>132</v>
      </c>
      <c r="R24" s="55" t="s">
        <v>219</v>
      </c>
      <c r="S24" s="55">
        <f>SUMIFS('Normalized Units'!I:I,'Normalized Units'!B:B,"Normalized Billing Units",'Normalized Units'!C:C,N$4,'Normalized Units'!D:D,P24,'Normalized Units'!F:F,Q24,'Normalized Units'!H:H,R24)</f>
        <v>2130.0812961011588</v>
      </c>
      <c r="T24" s="280"/>
      <c r="U24" s="48"/>
    </row>
    <row r="25" spans="1:21">
      <c r="A25" s="284" t="s">
        <v>457</v>
      </c>
      <c r="B25" s="298"/>
      <c r="C25" s="298"/>
      <c r="D25" s="298"/>
      <c r="E25" s="298"/>
      <c r="F25" s="298"/>
      <c r="G25" s="298"/>
      <c r="H25" s="298"/>
      <c r="I25" s="459"/>
      <c r="J25" s="298"/>
      <c r="K25" s="298"/>
      <c r="L25" s="298"/>
      <c r="M25" s="459"/>
      <c r="N25" s="184" t="s">
        <v>154</v>
      </c>
      <c r="O25" s="57" t="s">
        <v>337</v>
      </c>
      <c r="P25" s="55" t="s">
        <v>3</v>
      </c>
      <c r="Q25" s="55" t="s">
        <v>132</v>
      </c>
      <c r="R25" s="55" t="s">
        <v>139</v>
      </c>
      <c r="S25" s="55">
        <f>SUMIFS('Normalized Units'!I:I,'Normalized Units'!B:B,"Normalized Billing Units",'Normalized Units'!C:C,N$4,'Normalized Units'!D:D,P25,'Normalized Units'!F:F,Q25,'Normalized Units'!H:H,R25)</f>
        <v>715183.48293963249</v>
      </c>
      <c r="T25" s="280"/>
      <c r="U25" s="48"/>
    </row>
    <row r="26" spans="1:21">
      <c r="A26" s="294" t="s">
        <v>136</v>
      </c>
      <c r="B26" s="294" t="s">
        <v>459</v>
      </c>
      <c r="C26" s="255">
        <v>15</v>
      </c>
      <c r="D26" s="214">
        <v>300</v>
      </c>
      <c r="E26" s="214">
        <f>C26*D26</f>
        <v>4500</v>
      </c>
      <c r="F26" s="214">
        <f>SUMIFS(S$52:S$55,Q$52:Q$55,A26,R$52:R$55,"Bill")+(S$56+S$58)*(C26-15)+S$59*1000+IF(E26&lt;=9000,S$60*(E26-1000),S$60*8000+S$61*(E26-9000))</f>
        <v>422.255</v>
      </c>
      <c r="G26" s="214">
        <f ca="1">SUMIFS(S$115:S$118,Q$115:Q$118,A26,R$115:R$118,"Bill")+(S$119+S$121)*(C26-15)+IF(B26="Summer",S$122,IF(B26="Winter",S$123,AF$123))*1000+IF(B26="Summer",S$124,IF(B26="Winter",S$125,AF$125))*(E26-1000)</f>
        <v>424.95</v>
      </c>
      <c r="H26" s="214">
        <f t="shared" ref="H26:H40" ca="1" si="12">G26-F26</f>
        <v>2.6949999999999932</v>
      </c>
      <c r="I26" s="448">
        <f t="shared" ref="I26:I40" ca="1" si="13">H26/F26*100</f>
        <v>0.63823992611099767</v>
      </c>
      <c r="J26" s="221">
        <f ca="1">G26</f>
        <v>424.95</v>
      </c>
      <c r="K26" s="94">
        <f ca="1">SUMIFS(S$192:S$195,Q$192:Q$195,A26,R$192:R$195,"Bill")+(S$196+S$198)*(C26-15)+IF(B26="Summer",S$199,IF(B26="Winter",S$200,AF$200))*1000+IF(B26="Summer",S$201,IF(B26="Winter",S$202,AF$202))*(E26-1000)</f>
        <v>424.16999999999996</v>
      </c>
      <c r="L26" s="94">
        <f t="shared" ref="L26:L40" ca="1" si="14">K26-J26</f>
        <v>-0.78000000000002956</v>
      </c>
      <c r="M26" s="444">
        <f t="shared" ref="M26:M40" ca="1" si="15">L26/J26*100</f>
        <v>-0.18355100600071292</v>
      </c>
      <c r="N26" s="184" t="s">
        <v>154</v>
      </c>
      <c r="O26" s="57" t="s">
        <v>337</v>
      </c>
      <c r="P26" s="55" t="s">
        <v>3</v>
      </c>
      <c r="Q26" s="55" t="s">
        <v>132</v>
      </c>
      <c r="R26" s="55" t="s">
        <v>331</v>
      </c>
      <c r="S26" s="55">
        <f>'Normalized Units'!U200+'Normalized Units'!J200+'Normalized Units'!K200+'Normalized Units'!L200</f>
        <v>40665144.85601677</v>
      </c>
      <c r="T26" s="280"/>
      <c r="U26" s="48"/>
    </row>
    <row r="27" spans="1:21">
      <c r="A27" s="174" t="s">
        <v>136</v>
      </c>
      <c r="B27" s="174" t="s">
        <v>459</v>
      </c>
      <c r="C27" s="273">
        <v>15</v>
      </c>
      <c r="D27" s="94">
        <v>500</v>
      </c>
      <c r="E27" s="94">
        <f t="shared" ref="E27:E40" si="16">C27*D27</f>
        <v>7500</v>
      </c>
      <c r="F27" s="94">
        <f t="shared" ref="F27:F40" si="17">SUMIFS(S$52:S$55,Q$52:Q$55,A27,R$52:R$55,"Bill")+(S$56+S$58)*(C27-15)+S$59*1000+IF(E27&lt;=9000,S$60*(E27-1000),S$60*8000+S$61*(E27-9000))</f>
        <v>673.68499999999995</v>
      </c>
      <c r="G27" s="94">
        <f t="shared" ref="G27:G40" ca="1" si="18">SUMIFS(S$115:S$118,Q$115:Q$118,A27,R$115:R$118,"Bill")+(S$119+S$121)*(C27-15)+IF(B27="Summer",S$122,IF(B27="Winter",S$123,AF$123))*1000+IF(B27="Summer",S$124,IF(B27="Winter",S$125,AF$125))*(E27-1000)</f>
        <v>676.53</v>
      </c>
      <c r="H27" s="94">
        <f t="shared" ca="1" si="12"/>
        <v>2.8450000000000273</v>
      </c>
      <c r="I27" s="444">
        <f t="shared" ca="1" si="13"/>
        <v>0.42230419261227836</v>
      </c>
      <c r="J27" s="221">
        <f t="shared" ref="J27:J40" ca="1" si="19">G27</f>
        <v>676.53</v>
      </c>
      <c r="K27" s="94">
        <f t="shared" ref="K27:K40" ca="1" si="20">SUMIFS(S$192:S$195,Q$192:Q$195,A27,R$192:R$195,"Bill")+(S$196+S$198)*(C27-15)+IF(B27="Summer",S$199,IF(B27="Winter",S$200,AF$200))*1000+IF(B27="Summer",S$201,IF(B27="Winter",S$202,AF$202))*(E27-1000)</f>
        <v>675.21</v>
      </c>
      <c r="L27" s="94">
        <f t="shared" ca="1" si="14"/>
        <v>-1.3199999999999363</v>
      </c>
      <c r="M27" s="444">
        <f t="shared" ca="1" si="15"/>
        <v>-0.19511329874505734</v>
      </c>
      <c r="N27" s="184" t="s">
        <v>154</v>
      </c>
      <c r="O27" s="57" t="s">
        <v>337</v>
      </c>
      <c r="P27" s="55" t="s">
        <v>3</v>
      </c>
      <c r="Q27" s="55" t="s">
        <v>132</v>
      </c>
      <c r="R27" s="55" t="s">
        <v>329</v>
      </c>
      <c r="S27" s="55">
        <f>'Normalized Units'!M200+'Normalized Units'!N200+'Normalized Units'!O200+'Normalized Units'!P200+'Normalized Units'!Q200+'Normalized Units'!R200+'Normalized Units'!S200+'Normalized Units'!T200</f>
        <v>84302260.980933905</v>
      </c>
      <c r="T27" s="280"/>
      <c r="U27" s="48"/>
    </row>
    <row r="28" spans="1:21">
      <c r="A28" s="174" t="s">
        <v>136</v>
      </c>
      <c r="B28" s="174" t="s">
        <v>459</v>
      </c>
      <c r="C28" s="273">
        <v>15</v>
      </c>
      <c r="D28" s="94">
        <v>700</v>
      </c>
      <c r="E28" s="94">
        <f t="shared" si="16"/>
        <v>10500</v>
      </c>
      <c r="F28" s="94">
        <f t="shared" si="17"/>
        <v>917.3</v>
      </c>
      <c r="G28" s="94">
        <f t="shared" ca="1" si="18"/>
        <v>928.11000000000013</v>
      </c>
      <c r="H28" s="94">
        <f t="shared" ca="1" si="12"/>
        <v>10.810000000000173</v>
      </c>
      <c r="I28" s="444">
        <f t="shared" ca="1" si="13"/>
        <v>1.178458519568317</v>
      </c>
      <c r="J28" s="221">
        <f t="shared" ca="1" si="19"/>
        <v>928.11000000000013</v>
      </c>
      <c r="K28" s="94">
        <f t="shared" ca="1" si="20"/>
        <v>926.25</v>
      </c>
      <c r="L28" s="94">
        <f t="shared" ca="1" si="14"/>
        <v>-1.8600000000001273</v>
      </c>
      <c r="M28" s="444">
        <f t="shared" ca="1" si="15"/>
        <v>-0.2004072793095783</v>
      </c>
      <c r="N28" s="184" t="s">
        <v>154</v>
      </c>
      <c r="O28" s="57" t="s">
        <v>337</v>
      </c>
      <c r="P28" s="55" t="s">
        <v>3</v>
      </c>
      <c r="Q28" s="55" t="s">
        <v>132</v>
      </c>
      <c r="R28" s="55" t="s">
        <v>332</v>
      </c>
      <c r="S28" s="55">
        <f>'Normalized Units'!U201+'Normalized Units'!J201+'Normalized Units'!K201+'Normalized Units'!L201</f>
        <v>94280285.642981142</v>
      </c>
      <c r="T28" s="280"/>
      <c r="U28" s="48"/>
    </row>
    <row r="29" spans="1:21">
      <c r="A29" s="174" t="s">
        <v>136</v>
      </c>
      <c r="B29" s="174" t="s">
        <v>459</v>
      </c>
      <c r="C29" s="273">
        <v>25</v>
      </c>
      <c r="D29" s="94">
        <v>300</v>
      </c>
      <c r="E29" s="94">
        <f t="shared" si="16"/>
        <v>7500</v>
      </c>
      <c r="F29" s="94">
        <f t="shared" si="17"/>
        <v>722.18499999999995</v>
      </c>
      <c r="G29" s="94">
        <f t="shared" ca="1" si="18"/>
        <v>725.93000000000006</v>
      </c>
      <c r="H29" s="94">
        <f t="shared" ca="1" si="12"/>
        <v>3.7450000000001182</v>
      </c>
      <c r="I29" s="444">
        <f t="shared" ca="1" si="13"/>
        <v>0.51856518759045378</v>
      </c>
      <c r="J29" s="221">
        <f t="shared" ca="1" si="19"/>
        <v>725.93000000000006</v>
      </c>
      <c r="K29" s="94">
        <f t="shared" ca="1" si="20"/>
        <v>724.5100000000001</v>
      </c>
      <c r="L29" s="94">
        <f t="shared" ca="1" si="14"/>
        <v>-1.4199999999999591</v>
      </c>
      <c r="M29" s="444">
        <f t="shared" ca="1" si="15"/>
        <v>-0.19561114708029134</v>
      </c>
      <c r="N29" s="184" t="s">
        <v>154</v>
      </c>
      <c r="O29" s="57" t="s">
        <v>337</v>
      </c>
      <c r="P29" s="55" t="s">
        <v>3</v>
      </c>
      <c r="Q29" s="55" t="s">
        <v>132</v>
      </c>
      <c r="R29" s="55" t="s">
        <v>330</v>
      </c>
      <c r="S29" s="55">
        <f>'Normalized Units'!M201+'Normalized Units'!N201+'Normalized Units'!O201+'Normalized Units'!P201+'Normalized Units'!Q201+'Normalized Units'!R201+'Normalized Units'!S201+'Normalized Units'!T201</f>
        <v>178859455.26006928</v>
      </c>
      <c r="T29" s="280"/>
      <c r="U29" s="48"/>
    </row>
    <row r="30" spans="1:21">
      <c r="A30" s="174" t="s">
        <v>136</v>
      </c>
      <c r="B30" s="174" t="s">
        <v>459</v>
      </c>
      <c r="C30" s="273">
        <v>25</v>
      </c>
      <c r="D30" s="94">
        <v>500</v>
      </c>
      <c r="E30" s="94">
        <f t="shared" si="16"/>
        <v>12500</v>
      </c>
      <c r="F30" s="94">
        <f t="shared" si="17"/>
        <v>1123</v>
      </c>
      <c r="G30" s="94">
        <f t="shared" ca="1" si="18"/>
        <v>1145.23</v>
      </c>
      <c r="H30" s="94">
        <f t="shared" ca="1" si="12"/>
        <v>22.230000000000018</v>
      </c>
      <c r="I30" s="444">
        <f t="shared" ca="1" si="13"/>
        <v>1.9795191451469296</v>
      </c>
      <c r="J30" s="221">
        <f t="shared" ca="1" si="19"/>
        <v>1145.23</v>
      </c>
      <c r="K30" s="94">
        <f t="shared" ca="1" si="20"/>
        <v>1142.9100000000001</v>
      </c>
      <c r="L30" s="94">
        <f t="shared" ca="1" si="14"/>
        <v>-2.3199999999999363</v>
      </c>
      <c r="M30" s="444">
        <f t="shared" ca="1" si="15"/>
        <v>-0.20257939453209717</v>
      </c>
      <c r="N30" s="184" t="s">
        <v>154</v>
      </c>
      <c r="O30" s="57" t="s">
        <v>337</v>
      </c>
      <c r="P30" s="55" t="s">
        <v>3</v>
      </c>
      <c r="Q30" s="55" t="s">
        <v>132</v>
      </c>
      <c r="R30" s="55" t="s">
        <v>333</v>
      </c>
      <c r="S30" s="55">
        <f>'Normalized Units'!U202+'Normalized Units'!J202+'Normalized Units'!K202+'Normalized Units'!L202</f>
        <v>44281607.6443692</v>
      </c>
      <c r="T30" s="280"/>
      <c r="U30" s="48"/>
    </row>
    <row r="31" spans="1:21">
      <c r="A31" s="174" t="s">
        <v>136</v>
      </c>
      <c r="B31" s="174" t="s">
        <v>459</v>
      </c>
      <c r="C31" s="273">
        <v>25</v>
      </c>
      <c r="D31" s="94">
        <v>700</v>
      </c>
      <c r="E31" s="94">
        <f t="shared" si="16"/>
        <v>17500</v>
      </c>
      <c r="F31" s="94">
        <f t="shared" si="17"/>
        <v>1516</v>
      </c>
      <c r="G31" s="94">
        <f t="shared" ca="1" si="18"/>
        <v>1564.53</v>
      </c>
      <c r="H31" s="94">
        <f t="shared" ca="1" si="12"/>
        <v>48.529999999999973</v>
      </c>
      <c r="I31" s="444">
        <f t="shared" ca="1" si="13"/>
        <v>3.2011873350923468</v>
      </c>
      <c r="J31" s="221">
        <f t="shared" ca="1" si="19"/>
        <v>1564.53</v>
      </c>
      <c r="K31" s="94">
        <f t="shared" ca="1" si="20"/>
        <v>1561.31</v>
      </c>
      <c r="L31" s="94">
        <f t="shared" ca="1" si="14"/>
        <v>-3.2200000000000273</v>
      </c>
      <c r="M31" s="444">
        <f t="shared" ca="1" si="15"/>
        <v>-0.20581260825935119</v>
      </c>
      <c r="N31" s="184" t="s">
        <v>154</v>
      </c>
      <c r="O31" s="57" t="s">
        <v>337</v>
      </c>
      <c r="P31" s="55" t="s">
        <v>3</v>
      </c>
      <c r="Q31" s="55" t="s">
        <v>132</v>
      </c>
      <c r="R31" s="55" t="s">
        <v>334</v>
      </c>
      <c r="S31" s="55">
        <f>'Normalized Units'!M202+'Normalized Units'!N202+'Normalized Units'!O202+'Normalized Units'!P202+'Normalized Units'!Q202+'Normalized Units'!R202+'Normalized Units'!S202+'Normalized Units'!T202</f>
        <v>65014231.927946553</v>
      </c>
      <c r="T31" s="280"/>
      <c r="U31" s="48"/>
    </row>
    <row r="32" spans="1:21">
      <c r="A32" s="174" t="s">
        <v>136</v>
      </c>
      <c r="B32" s="174" t="s">
        <v>459</v>
      </c>
      <c r="C32" s="273">
        <v>50</v>
      </c>
      <c r="D32" s="94">
        <v>300</v>
      </c>
      <c r="E32" s="94">
        <f t="shared" si="16"/>
        <v>15000</v>
      </c>
      <c r="F32" s="94">
        <f t="shared" si="17"/>
        <v>1440.75</v>
      </c>
      <c r="G32" s="94">
        <f t="shared" ca="1" si="18"/>
        <v>1478.3799999999999</v>
      </c>
      <c r="H32" s="94">
        <f t="shared" ca="1" si="12"/>
        <v>37.629999999999882</v>
      </c>
      <c r="I32" s="444">
        <f t="shared" ca="1" si="13"/>
        <v>2.6118341141766357</v>
      </c>
      <c r="J32" s="221">
        <f t="shared" ca="1" si="19"/>
        <v>1478.3799999999999</v>
      </c>
      <c r="K32" s="94">
        <f t="shared" ca="1" si="20"/>
        <v>1475.36</v>
      </c>
      <c r="L32" s="94">
        <f t="shared" ca="1" si="14"/>
        <v>-3.0199999999999818</v>
      </c>
      <c r="M32" s="444">
        <f t="shared" ca="1" si="15"/>
        <v>-0.20427765527130928</v>
      </c>
      <c r="N32" s="184" t="s">
        <v>154</v>
      </c>
      <c r="O32" s="57" t="s">
        <v>337</v>
      </c>
      <c r="P32" s="55" t="s">
        <v>3</v>
      </c>
      <c r="Q32" s="55" t="s">
        <v>132</v>
      </c>
      <c r="R32" s="55" t="s">
        <v>138</v>
      </c>
      <c r="S32" s="55">
        <f>SUMIFS('Normalized Units'!I:I,'Normalized Units'!B:B,"Normalized Billing Units",'Normalized Units'!C:C,N$4,'Normalized Units'!D:D,P32,'Normalized Units'!F:F,Q32,'Normalized Units'!H:H,R32)</f>
        <v>108913.48275862068</v>
      </c>
      <c r="T32" s="280"/>
      <c r="U32" s="48"/>
    </row>
    <row r="33" spans="1:21">
      <c r="A33" s="174" t="s">
        <v>136</v>
      </c>
      <c r="B33" s="174" t="s">
        <v>459</v>
      </c>
      <c r="C33" s="273">
        <v>50</v>
      </c>
      <c r="D33" s="94">
        <v>500</v>
      </c>
      <c r="E33" s="94">
        <f t="shared" si="16"/>
        <v>25000</v>
      </c>
      <c r="F33" s="94">
        <f t="shared" si="17"/>
        <v>2226.75</v>
      </c>
      <c r="G33" s="94">
        <f t="shared" ca="1" si="18"/>
        <v>2316.98</v>
      </c>
      <c r="H33" s="94">
        <f t="shared" ca="1" si="12"/>
        <v>90.230000000000018</v>
      </c>
      <c r="I33" s="444">
        <f t="shared" ca="1" si="13"/>
        <v>4.0520938587627713</v>
      </c>
      <c r="J33" s="221">
        <f t="shared" ca="1" si="19"/>
        <v>2316.98</v>
      </c>
      <c r="K33" s="94">
        <f t="shared" ca="1" si="20"/>
        <v>2312.1600000000003</v>
      </c>
      <c r="L33" s="94">
        <f t="shared" ca="1" si="14"/>
        <v>-4.819999999999709</v>
      </c>
      <c r="M33" s="444">
        <f t="shared" ca="1" si="15"/>
        <v>-0.20802941760393739</v>
      </c>
      <c r="N33" s="184" t="s">
        <v>154</v>
      </c>
      <c r="O33" s="57" t="s">
        <v>337</v>
      </c>
      <c r="P33" s="55" t="s">
        <v>3</v>
      </c>
      <c r="Q33" s="55" t="s">
        <v>132</v>
      </c>
      <c r="R33" s="122" t="s">
        <v>303</v>
      </c>
      <c r="S33" s="55">
        <f>SUMIFS('Normalized Units'!I:I,'Normalized Units'!B:B,"Normalized Billing Units",'Normalized Units'!C:C,N$4,'Normalized Units'!D:D,P33,'Normalized Units'!F:F,Q33,'Normalized Units'!H:H,R33)</f>
        <v>104394</v>
      </c>
      <c r="T33" s="280"/>
      <c r="U33" s="48"/>
    </row>
    <row r="34" spans="1:21">
      <c r="A34" s="174" t="s">
        <v>136</v>
      </c>
      <c r="B34" s="174" t="s">
        <v>459</v>
      </c>
      <c r="C34" s="273">
        <v>50</v>
      </c>
      <c r="D34" s="94">
        <v>700</v>
      </c>
      <c r="E34" s="94">
        <f t="shared" si="16"/>
        <v>35000</v>
      </c>
      <c r="F34" s="94">
        <f t="shared" si="17"/>
        <v>3012.75</v>
      </c>
      <c r="G34" s="94">
        <f t="shared" ca="1" si="18"/>
        <v>3155.5800000000004</v>
      </c>
      <c r="H34" s="94">
        <f t="shared" ca="1" si="12"/>
        <v>142.83000000000038</v>
      </c>
      <c r="I34" s="444">
        <f t="shared" ca="1" si="13"/>
        <v>4.7408513816280928</v>
      </c>
      <c r="J34" s="221">
        <f t="shared" ca="1" si="19"/>
        <v>3155.5800000000004</v>
      </c>
      <c r="K34" s="94">
        <f t="shared" ca="1" si="20"/>
        <v>3148.9600000000005</v>
      </c>
      <c r="L34" s="94">
        <f t="shared" ca="1" si="14"/>
        <v>-6.6199999999998909</v>
      </c>
      <c r="M34" s="444">
        <f t="shared" ca="1" si="15"/>
        <v>-0.20978710728296826</v>
      </c>
      <c r="N34" s="184" t="s">
        <v>154</v>
      </c>
      <c r="O34" s="57" t="s">
        <v>337</v>
      </c>
      <c r="P34" s="55" t="s">
        <v>3</v>
      </c>
      <c r="Q34" s="55" t="s">
        <v>132</v>
      </c>
      <c r="R34" s="122" t="s">
        <v>294</v>
      </c>
      <c r="S34" s="55">
        <f>SUMIFS('Normalized Units'!I:I,'Normalized Units'!B:B,"Normalized Billing Units",'Normalized Units'!C:C,N$4,'Normalized Units'!D:D,P34,'Normalized Units'!F:F,Q34,'Normalized Units'!H:H,R34)</f>
        <v>3766.6333333333332</v>
      </c>
      <c r="T34" s="280"/>
      <c r="U34" s="48"/>
    </row>
    <row r="35" spans="1:21">
      <c r="A35" s="174" t="s">
        <v>136</v>
      </c>
      <c r="B35" s="174" t="s">
        <v>459</v>
      </c>
      <c r="C35" s="273">
        <v>75</v>
      </c>
      <c r="D35" s="94">
        <v>300</v>
      </c>
      <c r="E35" s="94">
        <f t="shared" si="16"/>
        <v>22500</v>
      </c>
      <c r="F35" s="94">
        <f t="shared" si="17"/>
        <v>2151.5</v>
      </c>
      <c r="G35" s="94">
        <f t="shared" ca="1" si="18"/>
        <v>2230.83</v>
      </c>
      <c r="H35" s="94">
        <f t="shared" ca="1" si="12"/>
        <v>79.329999999999927</v>
      </c>
      <c r="I35" s="444">
        <f t="shared" ca="1" si="13"/>
        <v>3.687194980246336</v>
      </c>
      <c r="J35" s="221">
        <f t="shared" ca="1" si="19"/>
        <v>2230.83</v>
      </c>
      <c r="K35" s="94">
        <f t="shared" ca="1" si="20"/>
        <v>2226.21</v>
      </c>
      <c r="L35" s="94">
        <f t="shared" ca="1" si="14"/>
        <v>-4.6199999999998909</v>
      </c>
      <c r="M35" s="444">
        <f t="shared" ca="1" si="15"/>
        <v>-0.20709780664595201</v>
      </c>
      <c r="N35" s="209" t="s">
        <v>154</v>
      </c>
      <c r="O35" s="103" t="s">
        <v>337</v>
      </c>
      <c r="P35" s="105" t="s">
        <v>3</v>
      </c>
      <c r="Q35" s="105" t="s">
        <v>132</v>
      </c>
      <c r="R35" s="212" t="s">
        <v>304</v>
      </c>
      <c r="S35" s="105">
        <f>SUMIFS('Normalized Units'!I:I,'Normalized Units'!B:B,"Normalized Billing Units",'Normalized Units'!C:C,N$4,'Normalized Units'!D:D,P35,'Normalized Units'!F:F,Q35,'Normalized Units'!H:H,R35)</f>
        <v>132.06666666666666</v>
      </c>
      <c r="T35" s="280"/>
      <c r="U35" s="48"/>
    </row>
    <row r="36" spans="1:21">
      <c r="A36" s="174" t="s">
        <v>136</v>
      </c>
      <c r="B36" s="174" t="s">
        <v>459</v>
      </c>
      <c r="C36" s="273">
        <v>75</v>
      </c>
      <c r="D36" s="94">
        <v>500</v>
      </c>
      <c r="E36" s="94">
        <f t="shared" si="16"/>
        <v>37500</v>
      </c>
      <c r="F36" s="94">
        <f t="shared" si="17"/>
        <v>3330.5</v>
      </c>
      <c r="G36" s="94">
        <f t="shared" ca="1" si="18"/>
        <v>3488.7300000000005</v>
      </c>
      <c r="H36" s="94">
        <f t="shared" ca="1" si="12"/>
        <v>158.23000000000047</v>
      </c>
      <c r="I36" s="444">
        <f t="shared" ca="1" si="13"/>
        <v>4.750938297552934</v>
      </c>
      <c r="J36" s="221">
        <f t="shared" ca="1" si="19"/>
        <v>3488.7300000000005</v>
      </c>
      <c r="K36" s="94">
        <f t="shared" ca="1" si="20"/>
        <v>3481.4100000000003</v>
      </c>
      <c r="L36" s="94">
        <f t="shared" ca="1" si="14"/>
        <v>-7.3200000000001637</v>
      </c>
      <c r="M36" s="444">
        <f t="shared" ca="1" si="15"/>
        <v>-0.20981847262471334</v>
      </c>
      <c r="N36" s="208" t="s">
        <v>154</v>
      </c>
      <c r="O36" s="98" t="s">
        <v>337</v>
      </c>
      <c r="P36" s="97" t="s">
        <v>5</v>
      </c>
      <c r="Q36" s="97" t="s">
        <v>136</v>
      </c>
      <c r="R36" s="97" t="s">
        <v>271</v>
      </c>
      <c r="S36" s="97">
        <f>SUMIFS('Normalized Units'!I:I,'Normalized Units'!B:B,"Normalized Billing Units",'Normalized Units'!C:C,N$4,'Normalized Units'!D:D,P36,'Normalized Units'!F:F,Q36,'Normalized Units'!H:H,R36)</f>
        <v>2064.5333333333333</v>
      </c>
      <c r="T36" s="280"/>
      <c r="U36" s="48"/>
    </row>
    <row r="37" spans="1:21">
      <c r="A37" s="174" t="s">
        <v>136</v>
      </c>
      <c r="B37" s="174" t="s">
        <v>459</v>
      </c>
      <c r="C37" s="273">
        <v>75</v>
      </c>
      <c r="D37" s="94">
        <v>700</v>
      </c>
      <c r="E37" s="94">
        <f t="shared" si="16"/>
        <v>52500</v>
      </c>
      <c r="F37" s="94">
        <f t="shared" si="17"/>
        <v>4509.5</v>
      </c>
      <c r="G37" s="94">
        <f t="shared" ca="1" si="18"/>
        <v>4746.63</v>
      </c>
      <c r="H37" s="94">
        <f t="shared" ca="1" si="12"/>
        <v>237.13000000000011</v>
      </c>
      <c r="I37" s="444">
        <f t="shared" ca="1" si="13"/>
        <v>5.2584543740991263</v>
      </c>
      <c r="J37" s="221">
        <f t="shared" ca="1" si="19"/>
        <v>4746.63</v>
      </c>
      <c r="K37" s="94">
        <f t="shared" ca="1" si="20"/>
        <v>4736.6100000000006</v>
      </c>
      <c r="L37" s="94">
        <f t="shared" ca="1" si="14"/>
        <v>-10.019999999999527</v>
      </c>
      <c r="M37" s="444">
        <f t="shared" ca="1" si="15"/>
        <v>-0.21109713628404839</v>
      </c>
      <c r="N37" s="184" t="s">
        <v>154</v>
      </c>
      <c r="O37" s="57" t="s">
        <v>337</v>
      </c>
      <c r="P37" s="55" t="s">
        <v>5</v>
      </c>
      <c r="Q37" s="55" t="s">
        <v>137</v>
      </c>
      <c r="R37" s="55" t="s">
        <v>271</v>
      </c>
      <c r="S37" s="55">
        <f>SUMIFS('Normalized Units'!I:I,'Normalized Units'!B:B,"Normalized Billing Units",'Normalized Units'!C:C,N$4,'Normalized Units'!D:D,P37,'Normalized Units'!F:F,Q37,'Normalized Units'!H:H,R37)</f>
        <v>2816.0666666666666</v>
      </c>
      <c r="T37" s="280"/>
      <c r="U37" s="48"/>
    </row>
    <row r="38" spans="1:21">
      <c r="A38" s="174" t="s">
        <v>136</v>
      </c>
      <c r="B38" s="174" t="s">
        <v>459</v>
      </c>
      <c r="C38" s="273">
        <v>100</v>
      </c>
      <c r="D38" s="94">
        <v>300</v>
      </c>
      <c r="E38" s="94">
        <f t="shared" si="16"/>
        <v>30000</v>
      </c>
      <c r="F38" s="94">
        <f t="shared" si="17"/>
        <v>2862.25</v>
      </c>
      <c r="G38" s="94">
        <f t="shared" ca="1" si="18"/>
        <v>2983.28</v>
      </c>
      <c r="H38" s="94">
        <f t="shared" ca="1" si="12"/>
        <v>121.0300000000002</v>
      </c>
      <c r="I38" s="444">
        <f t="shared" ca="1" si="13"/>
        <v>4.2284915713162796</v>
      </c>
      <c r="J38" s="221">
        <f t="shared" ca="1" si="19"/>
        <v>2983.28</v>
      </c>
      <c r="K38" s="94">
        <f t="shared" ca="1" si="20"/>
        <v>2977.0600000000004</v>
      </c>
      <c r="L38" s="94">
        <f t="shared" ca="1" si="14"/>
        <v>-6.2199999999997999</v>
      </c>
      <c r="M38" s="444">
        <f t="shared" ca="1" si="15"/>
        <v>-0.20849534740285189</v>
      </c>
      <c r="N38" s="184" t="s">
        <v>154</v>
      </c>
      <c r="O38" s="57" t="s">
        <v>337</v>
      </c>
      <c r="P38" s="55" t="s">
        <v>5</v>
      </c>
      <c r="Q38" s="55" t="s">
        <v>137</v>
      </c>
      <c r="R38" s="55" t="s">
        <v>272</v>
      </c>
      <c r="S38" s="55">
        <f>SUMIFS('Normalized Units'!I:I,'Normalized Units'!B:B,"Normalized Billing Units",'Normalized Units'!C:C,N$4,'Normalized Units'!D:D,P38,'Normalized Units'!F:F,Q38,'Normalized Units'!H:H,R38)</f>
        <v>1</v>
      </c>
      <c r="T38" s="280"/>
      <c r="U38" s="48"/>
    </row>
    <row r="39" spans="1:21">
      <c r="A39" s="174" t="s">
        <v>136</v>
      </c>
      <c r="B39" s="174" t="s">
        <v>459</v>
      </c>
      <c r="C39" s="273">
        <v>100</v>
      </c>
      <c r="D39" s="94">
        <v>500</v>
      </c>
      <c r="E39" s="94">
        <f t="shared" si="16"/>
        <v>50000</v>
      </c>
      <c r="F39" s="94">
        <f t="shared" si="17"/>
        <v>4434.25</v>
      </c>
      <c r="G39" s="94">
        <f t="shared" ca="1" si="18"/>
        <v>4660.4800000000005</v>
      </c>
      <c r="H39" s="94">
        <f t="shared" ca="1" si="12"/>
        <v>226.23000000000047</v>
      </c>
      <c r="I39" s="444">
        <f t="shared" ca="1" si="13"/>
        <v>5.1018774313581883</v>
      </c>
      <c r="J39" s="221">
        <f t="shared" ca="1" si="19"/>
        <v>4660.4800000000005</v>
      </c>
      <c r="K39" s="94">
        <f t="shared" ca="1" si="20"/>
        <v>4650.6600000000008</v>
      </c>
      <c r="L39" s="94">
        <f t="shared" ca="1" si="14"/>
        <v>-9.819999999999709</v>
      </c>
      <c r="M39" s="444">
        <f t="shared" ca="1" si="15"/>
        <v>-0.21070790991485228</v>
      </c>
      <c r="N39" s="184" t="s">
        <v>154</v>
      </c>
      <c r="O39" s="57" t="s">
        <v>337</v>
      </c>
      <c r="P39" s="55" t="s">
        <v>5</v>
      </c>
      <c r="Q39" s="55" t="s">
        <v>132</v>
      </c>
      <c r="R39" s="55" t="s">
        <v>217</v>
      </c>
      <c r="S39" s="55">
        <f>SUMIFS('Normalized Units'!I:I,'Normalized Units'!B:B,"Normalized Billing Units",'Normalized Units'!C:C,N$4,'Normalized Units'!D:D,P39,'Normalized Units'!F:F,Q39,'Normalized Units'!H:H,R39)</f>
        <v>50566.221153846156</v>
      </c>
      <c r="T39" s="280"/>
      <c r="U39" s="48"/>
    </row>
    <row r="40" spans="1:21">
      <c r="A40" s="174" t="s">
        <v>136</v>
      </c>
      <c r="B40" s="174" t="s">
        <v>459</v>
      </c>
      <c r="C40" s="273">
        <v>100</v>
      </c>
      <c r="D40" s="94">
        <v>700</v>
      </c>
      <c r="E40" s="94">
        <f t="shared" si="16"/>
        <v>70000</v>
      </c>
      <c r="F40" s="94">
        <f t="shared" si="17"/>
        <v>6006.25</v>
      </c>
      <c r="G40" s="94">
        <f t="shared" ca="1" si="18"/>
        <v>6337.68</v>
      </c>
      <c r="H40" s="94">
        <f t="shared" ca="1" si="12"/>
        <v>331.43000000000029</v>
      </c>
      <c r="I40" s="444">
        <f t="shared" ca="1" si="13"/>
        <v>5.518085327783564</v>
      </c>
      <c r="J40" s="221">
        <f t="shared" ca="1" si="19"/>
        <v>6337.68</v>
      </c>
      <c r="K40" s="94">
        <f t="shared" ca="1" si="20"/>
        <v>6324.26</v>
      </c>
      <c r="L40" s="94">
        <f t="shared" ca="1" si="14"/>
        <v>-13.420000000000073</v>
      </c>
      <c r="M40" s="444">
        <f t="shared" ca="1" si="15"/>
        <v>-0.21174940987869492</v>
      </c>
      <c r="N40" s="184" t="s">
        <v>154</v>
      </c>
      <c r="O40" s="57" t="s">
        <v>337</v>
      </c>
      <c r="P40" s="55" t="s">
        <v>5</v>
      </c>
      <c r="Q40" s="55" t="s">
        <v>132</v>
      </c>
      <c r="R40" s="55" t="s">
        <v>219</v>
      </c>
      <c r="S40" s="55">
        <f>SUMIFS('Normalized Units'!I:I,'Normalized Units'!B:B,"Normalized Billing Units",'Normalized Units'!C:C,N$4,'Normalized Units'!D:D,P40,'Normalized Units'!F:F,Q40,'Normalized Units'!H:H,R40)</f>
        <v>55.99970802599227</v>
      </c>
      <c r="T40" s="280"/>
      <c r="U40" s="48"/>
    </row>
    <row r="41" spans="1:21">
      <c r="A41" s="344" t="s">
        <v>451</v>
      </c>
      <c r="B41" s="297"/>
      <c r="C41" s="297"/>
      <c r="D41" s="297"/>
      <c r="E41" s="297"/>
      <c r="F41" s="297"/>
      <c r="G41" s="297"/>
      <c r="H41" s="297"/>
      <c r="I41" s="457"/>
      <c r="J41" s="297"/>
      <c r="K41" s="297"/>
      <c r="L41" s="297"/>
      <c r="M41" s="457"/>
      <c r="N41" s="184" t="s">
        <v>154</v>
      </c>
      <c r="O41" s="57" t="s">
        <v>337</v>
      </c>
      <c r="P41" s="55" t="s">
        <v>5</v>
      </c>
      <c r="Q41" s="55" t="s">
        <v>132</v>
      </c>
      <c r="R41" s="55" t="s">
        <v>139</v>
      </c>
      <c r="S41" s="55">
        <f>SUMIFS('Normalized Units'!I:I,'Normalized Units'!B:B,"Normalized Billing Units",'Normalized Units'!C:C,N$4,'Normalized Units'!D:D,P41,'Normalized Units'!F:F,Q41,'Normalized Units'!H:H,R41)</f>
        <v>32855.535433070865</v>
      </c>
      <c r="T41" s="280"/>
      <c r="U41" s="48"/>
    </row>
    <row r="42" spans="1:21">
      <c r="A42" s="335" t="s">
        <v>452</v>
      </c>
      <c r="B42" s="96"/>
      <c r="C42" s="96"/>
      <c r="D42" s="96"/>
      <c r="E42" s="96"/>
      <c r="F42" s="96"/>
      <c r="G42" s="96"/>
      <c r="H42" s="96"/>
      <c r="I42" s="458"/>
      <c r="J42" s="96"/>
      <c r="K42" s="96"/>
      <c r="L42" s="96"/>
      <c r="M42" s="458"/>
      <c r="N42" s="184" t="s">
        <v>154</v>
      </c>
      <c r="O42" s="57" t="s">
        <v>337</v>
      </c>
      <c r="P42" s="55" t="s">
        <v>5</v>
      </c>
      <c r="Q42" s="55" t="s">
        <v>132</v>
      </c>
      <c r="R42" s="55" t="s">
        <v>331</v>
      </c>
      <c r="S42" s="55">
        <f>'Normalized Units'!U203+'Normalized Units'!J203+'Normalized Units'!K203+'Normalized Units'!L203</f>
        <v>983666.49258984241</v>
      </c>
      <c r="T42" s="280"/>
      <c r="U42" s="48"/>
    </row>
    <row r="43" spans="1:21">
      <c r="A43" s="284" t="s">
        <v>457</v>
      </c>
      <c r="B43" s="298"/>
      <c r="C43" s="298"/>
      <c r="D43" s="298"/>
      <c r="E43" s="298"/>
      <c r="F43" s="298"/>
      <c r="G43" s="298"/>
      <c r="H43" s="298"/>
      <c r="I43" s="459"/>
      <c r="J43" s="298"/>
      <c r="K43" s="298"/>
      <c r="L43" s="298"/>
      <c r="M43" s="459"/>
      <c r="N43" s="184" t="s">
        <v>154</v>
      </c>
      <c r="O43" s="57" t="s">
        <v>337</v>
      </c>
      <c r="P43" s="55" t="s">
        <v>5</v>
      </c>
      <c r="Q43" s="55" t="s">
        <v>132</v>
      </c>
      <c r="R43" s="55" t="s">
        <v>329</v>
      </c>
      <c r="S43" s="55">
        <f>'Normalized Units'!M203+'Normalized Units'!N203+'Normalized Units'!O203+'Normalized Units'!P203+'Normalized Units'!Q203+'Normalized Units'!R203+'Normalized Units'!S203+'Normalized Units'!T203</f>
        <v>1953226.3913132786</v>
      </c>
      <c r="T43" s="280"/>
      <c r="U43"/>
    </row>
    <row r="44" spans="1:21">
      <c r="A44" s="294" t="s">
        <v>136</v>
      </c>
      <c r="B44" s="294" t="s">
        <v>460</v>
      </c>
      <c r="C44" s="255">
        <v>15</v>
      </c>
      <c r="D44" s="214">
        <v>300</v>
      </c>
      <c r="E44" s="214">
        <f>C44*D44</f>
        <v>4500</v>
      </c>
      <c r="F44" s="214">
        <f>SUMIFS(S$52:S$55,Q$52:Q$55,A44,R$52:R$55,"Bill")+(S$56+S$58)*(C44-15)+S$59*1000+IF(E44&lt;=9000,S$60*(E44-1000),S$60*8000+S$61*(E44-9000))</f>
        <v>422.255</v>
      </c>
      <c r="G44" s="214">
        <f ca="1">SUMIFS(S$115:S$118,Q$115:Q$118,A44,R$115:R$118,"Bill")+(S$119+S$121)*(C44-15)+IF(B44="Summer",S$122,IF(B44="Winter",S$123,AF$123))*1000+IF(B44="Summer",S$124,IF(B44="Winter",S$125,AF$125))*(E44-1000)</f>
        <v>424.96255571052023</v>
      </c>
      <c r="H44" s="214">
        <f t="shared" ref="H44:H58" ca="1" si="21">G44-F44</f>
        <v>2.7075557105202392</v>
      </c>
      <c r="I44" s="448">
        <f t="shared" ref="I44:I58" ca="1" si="22">H44/F44*100</f>
        <v>0.64121341618695793</v>
      </c>
      <c r="J44" s="221">
        <f ca="1">G44</f>
        <v>424.96255571052023</v>
      </c>
      <c r="K44" s="94">
        <f ca="1">SUMIFS(S$192:S$195,Q$192:Q$195,A44,R$192:R$195,"Bill")+(S$196+S$198)*(C44-15)+IF(B44="Summer",S$199,IF(B44="Winter",S$200,AF$200))*1000+IF(B44="Summer",S$201,IF(B44="Winter",S$202,AF$202))*(E44-1000)</f>
        <v>424.18193689367189</v>
      </c>
      <c r="L44" s="94">
        <f t="shared" ref="L44:L58" ca="1" si="23">K44-J44</f>
        <v>-0.78061881684834589</v>
      </c>
      <c r="M44" s="444">
        <f t="shared" ref="M44:M58" ca="1" si="24">L44/J44*100</f>
        <v>-0.18369119969715514</v>
      </c>
      <c r="N44" s="184" t="s">
        <v>154</v>
      </c>
      <c r="O44" s="57" t="s">
        <v>337</v>
      </c>
      <c r="P44" s="55" t="s">
        <v>5</v>
      </c>
      <c r="Q44" s="55" t="s">
        <v>132</v>
      </c>
      <c r="R44" s="55" t="s">
        <v>332</v>
      </c>
      <c r="S44" s="55">
        <f>'Normalized Units'!U204+'Normalized Units'!J204+'Normalized Units'!K204+'Normalized Units'!L204</f>
        <v>2810275.077659104</v>
      </c>
      <c r="T44" s="280"/>
      <c r="U44"/>
    </row>
    <row r="45" spans="1:21">
      <c r="A45" s="174" t="s">
        <v>136</v>
      </c>
      <c r="B45" s="174" t="s">
        <v>460</v>
      </c>
      <c r="C45" s="273">
        <v>15</v>
      </c>
      <c r="D45" s="94">
        <v>500</v>
      </c>
      <c r="E45" s="94">
        <f t="shared" ref="E45:E58" si="25">C45*D45</f>
        <v>7500</v>
      </c>
      <c r="F45" s="94">
        <f t="shared" ref="F45:F58" si="26">SUMIFS(S$52:S$55,Q$52:Q$55,A45,R$52:R$55,"Bill")+(S$56+S$58)*(C45-15)+S$59*1000+IF(E45&lt;=9000,S$60*(E45-1000),S$60*8000+S$61*(E45-9000))</f>
        <v>673.68499999999995</v>
      </c>
      <c r="G45" s="94">
        <f t="shared" ref="G45:G58" ca="1" si="27">SUMIFS(S$115:S$118,Q$115:Q$118,A45,R$115:R$118,"Bill")+(S$119+S$121)*(C45-15)+IF(B45="Summer",S$122,IF(B45="Winter",S$123,AF$123))*1000+IF(B45="Summer",S$124,IF(B45="Winter",S$125,AF$125))*(E45-1000)</f>
        <v>676.5504397058437</v>
      </c>
      <c r="H45" s="94">
        <f t="shared" ca="1" si="21"/>
        <v>2.8654397058437553</v>
      </c>
      <c r="I45" s="444">
        <f t="shared" ca="1" si="22"/>
        <v>0.42533820789297005</v>
      </c>
      <c r="J45" s="221">
        <f t="shared" ref="J45:J58" ca="1" si="28">G45</f>
        <v>676.5504397058437</v>
      </c>
      <c r="K45" s="94">
        <f t="shared" ref="K45:K58" ca="1" si="29">SUMIFS(S$192:S$195,Q$192:Q$195,A45,R$192:R$195,"Bill")+(S$196+S$198)*(C45-15)+IF(B45="Summer",S$199,IF(B45="Winter",S$200,AF$200))*1000+IF(B45="Summer",S$201,IF(B45="Winter",S$202,AF$202))*(E45-1000)</f>
        <v>675.22934505653302</v>
      </c>
      <c r="L45" s="94">
        <f t="shared" ca="1" si="23"/>
        <v>-1.3210946493106803</v>
      </c>
      <c r="M45" s="444">
        <f t="shared" ca="1" si="24"/>
        <v>-0.19526920267542461</v>
      </c>
      <c r="N45" s="184" t="s">
        <v>154</v>
      </c>
      <c r="O45" s="57" t="s">
        <v>337</v>
      </c>
      <c r="P45" s="55" t="s">
        <v>5</v>
      </c>
      <c r="Q45" s="55" t="s">
        <v>132</v>
      </c>
      <c r="R45" s="55" t="s">
        <v>330</v>
      </c>
      <c r="S45" s="55">
        <f>'Normalized Units'!M204+'Normalized Units'!N204+'Normalized Units'!O204+'Normalized Units'!P204+'Normalized Units'!Q204+'Normalized Units'!R204+'Normalized Units'!S204+'Normalized Units'!T204</f>
        <v>5887310.2681931946</v>
      </c>
      <c r="T45" s="280"/>
      <c r="U45"/>
    </row>
    <row r="46" spans="1:21">
      <c r="A46" s="174" t="s">
        <v>136</v>
      </c>
      <c r="B46" s="174" t="s">
        <v>460</v>
      </c>
      <c r="C46" s="273">
        <v>15</v>
      </c>
      <c r="D46" s="94">
        <v>700</v>
      </c>
      <c r="E46" s="94">
        <f t="shared" si="25"/>
        <v>10500</v>
      </c>
      <c r="F46" s="94">
        <f t="shared" si="26"/>
        <v>917.3</v>
      </c>
      <c r="G46" s="94">
        <f t="shared" ca="1" si="27"/>
        <v>928.13832370116711</v>
      </c>
      <c r="H46" s="94">
        <f t="shared" ca="1" si="21"/>
        <v>10.838323701167155</v>
      </c>
      <c r="I46" s="444">
        <f t="shared" ca="1" si="22"/>
        <v>1.1815462445401892</v>
      </c>
      <c r="J46" s="221">
        <f t="shared" ca="1" si="28"/>
        <v>928.13832370116711</v>
      </c>
      <c r="K46" s="94">
        <f t="shared" ca="1" si="29"/>
        <v>926.27675321939432</v>
      </c>
      <c r="L46" s="94">
        <f t="shared" ca="1" si="23"/>
        <v>-1.8615704817727874</v>
      </c>
      <c r="M46" s="444">
        <f t="shared" ca="1" si="24"/>
        <v>-0.20057037127282307</v>
      </c>
      <c r="N46" s="184" t="s">
        <v>154</v>
      </c>
      <c r="O46" s="57" t="s">
        <v>337</v>
      </c>
      <c r="P46" s="55" t="s">
        <v>5</v>
      </c>
      <c r="Q46" s="55" t="s">
        <v>132</v>
      </c>
      <c r="R46" s="55" t="s">
        <v>333</v>
      </c>
      <c r="S46" s="55">
        <f>'Normalized Units'!U205+'Normalized Units'!J205+'Normalized Units'!K205+'Normalized Units'!L205</f>
        <v>1148783.2598928562</v>
      </c>
      <c r="T46" s="280"/>
      <c r="U46"/>
    </row>
    <row r="47" spans="1:21">
      <c r="A47" s="174" t="s">
        <v>136</v>
      </c>
      <c r="B47" s="174" t="s">
        <v>460</v>
      </c>
      <c r="C47" s="273">
        <v>25</v>
      </c>
      <c r="D47" s="94">
        <v>300</v>
      </c>
      <c r="E47" s="94">
        <f t="shared" si="25"/>
        <v>7500</v>
      </c>
      <c r="F47" s="94">
        <f t="shared" si="26"/>
        <v>722.18499999999995</v>
      </c>
      <c r="G47" s="94">
        <f t="shared" ca="1" si="27"/>
        <v>725.95043970584368</v>
      </c>
      <c r="H47" s="94">
        <f t="shared" ca="1" si="21"/>
        <v>3.7654397058437326</v>
      </c>
      <c r="I47" s="444">
        <f t="shared" ca="1" si="22"/>
        <v>0.52139544657445569</v>
      </c>
      <c r="J47" s="221">
        <f t="shared" ca="1" si="28"/>
        <v>725.95043970584368</v>
      </c>
      <c r="K47" s="94">
        <f t="shared" ca="1" si="29"/>
        <v>724.52934505653309</v>
      </c>
      <c r="L47" s="94">
        <f t="shared" ca="1" si="23"/>
        <v>-1.4210946493105894</v>
      </c>
      <c r="M47" s="444">
        <f t="shared" ca="1" si="24"/>
        <v>-0.1957564279300415</v>
      </c>
      <c r="N47" s="184" t="s">
        <v>154</v>
      </c>
      <c r="O47" s="57" t="s">
        <v>337</v>
      </c>
      <c r="P47" s="55" t="s">
        <v>5</v>
      </c>
      <c r="Q47" s="55" t="s">
        <v>132</v>
      </c>
      <c r="R47" s="55" t="s">
        <v>334</v>
      </c>
      <c r="S47" s="55">
        <f>'Normalized Units'!M205+'Normalized Units'!N205+'Normalized Units'!O205+'Normalized Units'!P205+'Normalized Units'!Q205+'Normalized Units'!R205+'Normalized Units'!S205+'Normalized Units'!T205</f>
        <v>2319003.7909127274</v>
      </c>
      <c r="T47" s="280"/>
      <c r="U47" s="48"/>
    </row>
    <row r="48" spans="1:21">
      <c r="A48" s="174" t="s">
        <v>136</v>
      </c>
      <c r="B48" s="174" t="s">
        <v>460</v>
      </c>
      <c r="C48" s="273">
        <v>25</v>
      </c>
      <c r="D48" s="94">
        <v>500</v>
      </c>
      <c r="E48" s="94">
        <f t="shared" si="25"/>
        <v>12500</v>
      </c>
      <c r="F48" s="94">
        <f t="shared" si="26"/>
        <v>1123</v>
      </c>
      <c r="G48" s="94">
        <f t="shared" ca="1" si="27"/>
        <v>1145.2635796980494</v>
      </c>
      <c r="H48" s="94">
        <f t="shared" ca="1" si="21"/>
        <v>22.263579698049398</v>
      </c>
      <c r="I48" s="444">
        <f t="shared" ca="1" si="22"/>
        <v>1.9825093230676223</v>
      </c>
      <c r="J48" s="221">
        <f t="shared" ca="1" si="28"/>
        <v>1145.2635796980494</v>
      </c>
      <c r="K48" s="94">
        <f t="shared" ca="1" si="29"/>
        <v>1142.9416919946352</v>
      </c>
      <c r="L48" s="94">
        <f t="shared" ca="1" si="23"/>
        <v>-2.3218877034141769</v>
      </c>
      <c r="M48" s="444">
        <f t="shared" ca="1" si="24"/>
        <v>-0.20273828178718006</v>
      </c>
      <c r="N48" s="184" t="s">
        <v>154</v>
      </c>
      <c r="O48" s="57" t="s">
        <v>337</v>
      </c>
      <c r="P48" s="55" t="s">
        <v>5</v>
      </c>
      <c r="Q48" s="55" t="s">
        <v>132</v>
      </c>
      <c r="R48" s="55" t="s">
        <v>138</v>
      </c>
      <c r="S48" s="55">
        <f>SUMIFS('Normalized Units'!I:I,'Normalized Units'!B:B,"Normalized Billing Units",'Normalized Units'!C:C,N$4,'Normalized Units'!D:D,P48,'Normalized Units'!F:F,Q48,'Normalized Units'!H:H,R48)</f>
        <v>14449.086206896553</v>
      </c>
      <c r="T48" s="280"/>
      <c r="U48" s="48"/>
    </row>
    <row r="49" spans="1:22">
      <c r="A49" s="174" t="s">
        <v>136</v>
      </c>
      <c r="B49" s="174" t="s">
        <v>460</v>
      </c>
      <c r="C49" s="273">
        <v>25</v>
      </c>
      <c r="D49" s="94">
        <v>700</v>
      </c>
      <c r="E49" s="94">
        <f t="shared" si="25"/>
        <v>17500</v>
      </c>
      <c r="F49" s="94">
        <f t="shared" si="26"/>
        <v>1516</v>
      </c>
      <c r="G49" s="94">
        <f t="shared" ca="1" si="27"/>
        <v>1564.5767196902552</v>
      </c>
      <c r="H49" s="94">
        <f t="shared" ca="1" si="21"/>
        <v>48.576719690255231</v>
      </c>
      <c r="I49" s="444">
        <f t="shared" ca="1" si="22"/>
        <v>3.2042691088558861</v>
      </c>
      <c r="J49" s="221">
        <f t="shared" ca="1" si="28"/>
        <v>1564.5767196902552</v>
      </c>
      <c r="K49" s="94">
        <f t="shared" ca="1" si="29"/>
        <v>1561.3540389327372</v>
      </c>
      <c r="L49" s="94">
        <f t="shared" ca="1" si="23"/>
        <v>-3.2226807575179919</v>
      </c>
      <c r="M49" s="444">
        <f t="shared" ca="1" si="24"/>
        <v>-0.2059778032588902</v>
      </c>
      <c r="N49" s="184" t="s">
        <v>154</v>
      </c>
      <c r="O49" s="57" t="s">
        <v>337</v>
      </c>
      <c r="P49" s="55" t="s">
        <v>5</v>
      </c>
      <c r="Q49" s="55" t="s">
        <v>132</v>
      </c>
      <c r="R49" s="122" t="s">
        <v>303</v>
      </c>
      <c r="S49" s="55">
        <f>SUMIFS('Normalized Units'!I:I,'Normalized Units'!B:B,"Normalized Billing Units",'Normalized Units'!C:C,N$4,'Normalized Units'!D:D,P49,'Normalized Units'!F:F,Q49,'Normalized Units'!H:H,R49)</f>
        <v>11942</v>
      </c>
      <c r="T49" s="280"/>
      <c r="U49" s="48"/>
    </row>
    <row r="50" spans="1:22">
      <c r="A50" s="174" t="s">
        <v>136</v>
      </c>
      <c r="B50" s="174" t="s">
        <v>460</v>
      </c>
      <c r="C50" s="273">
        <v>50</v>
      </c>
      <c r="D50" s="94">
        <v>300</v>
      </c>
      <c r="E50" s="94">
        <f t="shared" si="25"/>
        <v>15000</v>
      </c>
      <c r="F50" s="94">
        <f t="shared" si="26"/>
        <v>1440.75</v>
      </c>
      <c r="G50" s="94">
        <f t="shared" ca="1" si="27"/>
        <v>1478.4201496941523</v>
      </c>
      <c r="H50" s="94">
        <f t="shared" ca="1" si="21"/>
        <v>37.670149694152315</v>
      </c>
      <c r="I50" s="444">
        <f t="shared" ca="1" si="22"/>
        <v>2.6146208359640681</v>
      </c>
      <c r="J50" s="221">
        <f t="shared" ca="1" si="28"/>
        <v>1478.4201496941523</v>
      </c>
      <c r="K50" s="94">
        <f t="shared" ca="1" si="29"/>
        <v>1475.3978654636862</v>
      </c>
      <c r="L50" s="94">
        <f t="shared" ca="1" si="23"/>
        <v>-3.0222842304660844</v>
      </c>
      <c r="M50" s="444">
        <f t="shared" ca="1" si="24"/>
        <v>-0.20442661249519081</v>
      </c>
      <c r="N50" s="184" t="s">
        <v>154</v>
      </c>
      <c r="O50" s="57" t="s">
        <v>337</v>
      </c>
      <c r="P50" s="55" t="s">
        <v>5</v>
      </c>
      <c r="Q50" s="55" t="s">
        <v>132</v>
      </c>
      <c r="R50" s="122" t="s">
        <v>294</v>
      </c>
      <c r="S50" s="55">
        <f>SUMIFS('Normalized Units'!I:I,'Normalized Units'!B:B,"Normalized Billing Units",'Normalized Units'!C:C,N$4,'Normalized Units'!D:D,P50,'Normalized Units'!F:F,Q50,'Normalized Units'!H:H,R50)</f>
        <v>489.2</v>
      </c>
      <c r="T50" s="280"/>
      <c r="U50" s="48"/>
    </row>
    <row r="51" spans="1:22">
      <c r="A51" s="174" t="s">
        <v>136</v>
      </c>
      <c r="B51" s="174" t="s">
        <v>460</v>
      </c>
      <c r="C51" s="273">
        <v>50</v>
      </c>
      <c r="D51" s="94">
        <v>500</v>
      </c>
      <c r="E51" s="94">
        <f t="shared" si="25"/>
        <v>25000</v>
      </c>
      <c r="F51" s="94">
        <f t="shared" si="26"/>
        <v>2226.75</v>
      </c>
      <c r="G51" s="94">
        <f t="shared" ca="1" si="27"/>
        <v>2317.0464296785635</v>
      </c>
      <c r="H51" s="94">
        <f t="shared" ca="1" si="21"/>
        <v>90.296429678563527</v>
      </c>
      <c r="I51" s="444">
        <f t="shared" ca="1" si="22"/>
        <v>4.055077115911689</v>
      </c>
      <c r="J51" s="221">
        <f t="shared" ca="1" si="28"/>
        <v>2317.0464296785635</v>
      </c>
      <c r="K51" s="94">
        <f t="shared" ca="1" si="29"/>
        <v>2312.2225593398903</v>
      </c>
      <c r="L51" s="94">
        <f t="shared" ca="1" si="23"/>
        <v>-4.8238703386732595</v>
      </c>
      <c r="M51" s="444">
        <f t="shared" ca="1" si="24"/>
        <v>-0.20819049100118636</v>
      </c>
      <c r="N51" s="209" t="s">
        <v>154</v>
      </c>
      <c r="O51" s="103" t="s">
        <v>337</v>
      </c>
      <c r="P51" s="105" t="s">
        <v>5</v>
      </c>
      <c r="Q51" s="105" t="s">
        <v>132</v>
      </c>
      <c r="R51" s="212" t="s">
        <v>304</v>
      </c>
      <c r="S51" s="105">
        <f>SUMIFS('Normalized Units'!I:I,'Normalized Units'!B:B,"Normalized Billing Units",'Normalized Units'!C:C,N$4,'Normalized Units'!D:D,P51,'Normalized Units'!F:F,Q51,'Normalized Units'!H:H,R51)</f>
        <v>25.933333333333334</v>
      </c>
      <c r="T51" s="280"/>
      <c r="U51" s="48"/>
    </row>
    <row r="52" spans="1:22">
      <c r="A52" s="174" t="s">
        <v>136</v>
      </c>
      <c r="B52" s="174" t="s">
        <v>460</v>
      </c>
      <c r="C52" s="273">
        <v>50</v>
      </c>
      <c r="D52" s="94">
        <v>700</v>
      </c>
      <c r="E52" s="94">
        <f t="shared" si="25"/>
        <v>35000</v>
      </c>
      <c r="F52" s="94">
        <f t="shared" si="26"/>
        <v>3012.75</v>
      </c>
      <c r="G52" s="94">
        <f t="shared" ca="1" si="27"/>
        <v>3155.6727096629752</v>
      </c>
      <c r="H52" s="94">
        <f t="shared" ca="1" si="21"/>
        <v>142.92270966297519</v>
      </c>
      <c r="I52" s="444">
        <f t="shared" ca="1" si="22"/>
        <v>4.7439286254410487</v>
      </c>
      <c r="J52" s="221">
        <f t="shared" ca="1" si="28"/>
        <v>3155.6727096629752</v>
      </c>
      <c r="K52" s="94">
        <f t="shared" ca="1" si="29"/>
        <v>3149.0472532160943</v>
      </c>
      <c r="L52" s="94">
        <f t="shared" ca="1" si="23"/>
        <v>-6.6254564468808894</v>
      </c>
      <c r="M52" s="444">
        <f t="shared" ca="1" si="24"/>
        <v>-0.20995385315445103</v>
      </c>
      <c r="N52" s="98" t="s">
        <v>341</v>
      </c>
      <c r="O52" s="98" t="s">
        <v>338</v>
      </c>
      <c r="P52" s="97" t="s">
        <v>132</v>
      </c>
      <c r="Q52" s="97" t="s">
        <v>136</v>
      </c>
      <c r="R52" s="98" t="s">
        <v>271</v>
      </c>
      <c r="S52" s="269">
        <v>9.86</v>
      </c>
      <c r="T52" s="281"/>
      <c r="U52" s="272"/>
    </row>
    <row r="53" spans="1:22">
      <c r="A53" s="174" t="s">
        <v>136</v>
      </c>
      <c r="B53" s="174" t="s">
        <v>460</v>
      </c>
      <c r="C53" s="273">
        <v>75</v>
      </c>
      <c r="D53" s="94">
        <v>300</v>
      </c>
      <c r="E53" s="94">
        <f t="shared" si="25"/>
        <v>22500</v>
      </c>
      <c r="F53" s="94">
        <f t="shared" si="26"/>
        <v>2151.5</v>
      </c>
      <c r="G53" s="94">
        <f t="shared" ca="1" si="27"/>
        <v>2230.8898596824606</v>
      </c>
      <c r="H53" s="94">
        <f t="shared" ca="1" si="21"/>
        <v>79.38985968246061</v>
      </c>
      <c r="I53" s="444">
        <f t="shared" ca="1" si="22"/>
        <v>3.6899772104327497</v>
      </c>
      <c r="J53" s="221">
        <f t="shared" ca="1" si="28"/>
        <v>2230.8898596824606</v>
      </c>
      <c r="K53" s="94">
        <f t="shared" ca="1" si="29"/>
        <v>2226.2663858708393</v>
      </c>
      <c r="L53" s="94">
        <f t="shared" ca="1" si="23"/>
        <v>-4.6234738116213521</v>
      </c>
      <c r="M53" s="444">
        <f t="shared" ca="1" si="24"/>
        <v>-0.20724796392590381</v>
      </c>
      <c r="N53" s="57" t="s">
        <v>341</v>
      </c>
      <c r="O53" s="57" t="s">
        <v>338</v>
      </c>
      <c r="P53" s="55" t="s">
        <v>132</v>
      </c>
      <c r="Q53" s="55" t="s">
        <v>136</v>
      </c>
      <c r="R53" s="57" t="s">
        <v>272</v>
      </c>
      <c r="S53" s="270">
        <v>118.32</v>
      </c>
      <c r="T53" s="281"/>
      <c r="U53" s="272"/>
      <c r="V53" s="268"/>
    </row>
    <row r="54" spans="1:22">
      <c r="A54" s="174" t="s">
        <v>136</v>
      </c>
      <c r="B54" s="174" t="s">
        <v>460</v>
      </c>
      <c r="C54" s="273">
        <v>75</v>
      </c>
      <c r="D54" s="94">
        <v>500</v>
      </c>
      <c r="E54" s="94">
        <f t="shared" si="25"/>
        <v>37500</v>
      </c>
      <c r="F54" s="94">
        <f t="shared" si="26"/>
        <v>3330.5</v>
      </c>
      <c r="G54" s="94">
        <f t="shared" ca="1" si="27"/>
        <v>3488.8292796590781</v>
      </c>
      <c r="H54" s="94">
        <f t="shared" ca="1" si="21"/>
        <v>158.32927965907811</v>
      </c>
      <c r="I54" s="444">
        <f t="shared" ca="1" si="22"/>
        <v>4.7539192211102872</v>
      </c>
      <c r="J54" s="221">
        <f t="shared" ca="1" si="28"/>
        <v>3488.8292796590781</v>
      </c>
      <c r="K54" s="94">
        <f t="shared" ca="1" si="29"/>
        <v>3481.5034266851453</v>
      </c>
      <c r="L54" s="94">
        <f t="shared" ca="1" si="23"/>
        <v>-7.3258529739327969</v>
      </c>
      <c r="M54" s="444">
        <f t="shared" ca="1" si="24"/>
        <v>-0.20998026520370941</v>
      </c>
      <c r="N54" s="57" t="s">
        <v>341</v>
      </c>
      <c r="O54" s="57" t="s">
        <v>338</v>
      </c>
      <c r="P54" s="55" t="s">
        <v>132</v>
      </c>
      <c r="Q54" s="55" t="s">
        <v>137</v>
      </c>
      <c r="R54" s="57" t="s">
        <v>271</v>
      </c>
      <c r="S54" s="270">
        <v>14.7</v>
      </c>
      <c r="T54" s="281"/>
      <c r="U54" s="272"/>
      <c r="V54" s="268"/>
    </row>
    <row r="55" spans="1:22">
      <c r="A55" s="174" t="s">
        <v>136</v>
      </c>
      <c r="B55" s="174" t="s">
        <v>460</v>
      </c>
      <c r="C55" s="273">
        <v>75</v>
      </c>
      <c r="D55" s="94">
        <v>700</v>
      </c>
      <c r="E55" s="94">
        <f t="shared" si="25"/>
        <v>52500</v>
      </c>
      <c r="F55" s="94">
        <f t="shared" si="26"/>
        <v>4509.5</v>
      </c>
      <c r="G55" s="94">
        <f t="shared" ca="1" si="27"/>
        <v>4746.7686996356952</v>
      </c>
      <c r="H55" s="94">
        <f t="shared" ca="1" si="21"/>
        <v>237.26869963569516</v>
      </c>
      <c r="I55" s="444">
        <f t="shared" ca="1" si="22"/>
        <v>5.2615300950370365</v>
      </c>
      <c r="J55" s="221">
        <f t="shared" ca="1" si="28"/>
        <v>4746.7686996356952</v>
      </c>
      <c r="K55" s="94">
        <f t="shared" ca="1" si="29"/>
        <v>4736.7404674994514</v>
      </c>
      <c r="L55" s="94">
        <f t="shared" ca="1" si="23"/>
        <v>-10.028232136243787</v>
      </c>
      <c r="M55" s="444">
        <f t="shared" ca="1" si="24"/>
        <v>-0.21126439417647278</v>
      </c>
      <c r="N55" s="57" t="s">
        <v>341</v>
      </c>
      <c r="O55" s="57" t="s">
        <v>338</v>
      </c>
      <c r="P55" s="55" t="s">
        <v>132</v>
      </c>
      <c r="Q55" s="55" t="s">
        <v>137</v>
      </c>
      <c r="R55" s="57" t="s">
        <v>272</v>
      </c>
      <c r="S55" s="270">
        <v>176.4</v>
      </c>
      <c r="T55" s="281"/>
      <c r="U55" s="272"/>
      <c r="V55" s="268"/>
    </row>
    <row r="56" spans="1:22">
      <c r="A56" s="174" t="s">
        <v>136</v>
      </c>
      <c r="B56" s="174" t="s">
        <v>460</v>
      </c>
      <c r="C56" s="273">
        <v>100</v>
      </c>
      <c r="D56" s="94">
        <v>300</v>
      </c>
      <c r="E56" s="94">
        <f t="shared" si="25"/>
        <v>30000</v>
      </c>
      <c r="F56" s="94">
        <f t="shared" si="26"/>
        <v>2862.25</v>
      </c>
      <c r="G56" s="94">
        <f t="shared" ca="1" si="27"/>
        <v>2983.3595696707694</v>
      </c>
      <c r="H56" s="94">
        <f t="shared" ca="1" si="21"/>
        <v>121.10956967076936</v>
      </c>
      <c r="I56" s="444">
        <f t="shared" ca="1" si="22"/>
        <v>4.2312715405981081</v>
      </c>
      <c r="J56" s="221">
        <f t="shared" ca="1" si="28"/>
        <v>2983.3595696707694</v>
      </c>
      <c r="K56" s="94">
        <f t="shared" ca="1" si="29"/>
        <v>2977.1349062779923</v>
      </c>
      <c r="L56" s="94">
        <f t="shared" ca="1" si="23"/>
        <v>-6.2246633927770745</v>
      </c>
      <c r="M56" s="444">
        <f t="shared" ca="1" si="24"/>
        <v>-0.20864610005638715</v>
      </c>
      <c r="N56" s="57" t="s">
        <v>341</v>
      </c>
      <c r="O56" s="57" t="s">
        <v>338</v>
      </c>
      <c r="P56" s="55" t="s">
        <v>132</v>
      </c>
      <c r="Q56" s="55" t="s">
        <v>132</v>
      </c>
      <c r="R56" s="55" t="s">
        <v>217</v>
      </c>
      <c r="S56" s="270">
        <v>1.04</v>
      </c>
      <c r="T56" s="281"/>
      <c r="U56" s="272"/>
    </row>
    <row r="57" spans="1:22">
      <c r="A57" s="174" t="s">
        <v>136</v>
      </c>
      <c r="B57" s="174" t="s">
        <v>460</v>
      </c>
      <c r="C57" s="273">
        <v>100</v>
      </c>
      <c r="D57" s="94">
        <v>500</v>
      </c>
      <c r="E57" s="94">
        <f t="shared" si="25"/>
        <v>50000</v>
      </c>
      <c r="F57" s="94">
        <f t="shared" si="26"/>
        <v>4434.25</v>
      </c>
      <c r="G57" s="94">
        <f t="shared" ca="1" si="27"/>
        <v>4660.6121296395922</v>
      </c>
      <c r="H57" s="94">
        <f t="shared" ca="1" si="21"/>
        <v>226.36212963959224</v>
      </c>
      <c r="I57" s="444">
        <f t="shared" ca="1" si="22"/>
        <v>5.104857183054456</v>
      </c>
      <c r="J57" s="221">
        <f t="shared" ca="1" si="28"/>
        <v>4660.6121296395922</v>
      </c>
      <c r="K57" s="94">
        <f t="shared" ca="1" si="29"/>
        <v>4650.7842940304008</v>
      </c>
      <c r="L57" s="94">
        <f t="shared" ca="1" si="23"/>
        <v>-9.8278356091914247</v>
      </c>
      <c r="M57" s="444">
        <f t="shared" ca="1" si="24"/>
        <v>-0.2108700603229863</v>
      </c>
      <c r="N57" s="57" t="s">
        <v>341</v>
      </c>
      <c r="O57" s="57" t="s">
        <v>338</v>
      </c>
      <c r="P57" s="55" t="s">
        <v>132</v>
      </c>
      <c r="Q57" s="55" t="s">
        <v>132</v>
      </c>
      <c r="R57" s="55" t="s">
        <v>219</v>
      </c>
      <c r="S57" s="270">
        <v>12.48</v>
      </c>
      <c r="T57" s="281"/>
      <c r="U57" s="272"/>
      <c r="V57" s="268"/>
    </row>
    <row r="58" spans="1:22">
      <c r="A58" s="174" t="s">
        <v>136</v>
      </c>
      <c r="B58" s="174" t="s">
        <v>460</v>
      </c>
      <c r="C58" s="273">
        <v>100</v>
      </c>
      <c r="D58" s="94">
        <v>700</v>
      </c>
      <c r="E58" s="94">
        <f t="shared" si="25"/>
        <v>70000</v>
      </c>
      <c r="F58" s="94">
        <f t="shared" si="26"/>
        <v>6006.25</v>
      </c>
      <c r="G58" s="94">
        <f t="shared" ca="1" si="27"/>
        <v>6337.8646896084156</v>
      </c>
      <c r="H58" s="94">
        <f t="shared" ca="1" si="21"/>
        <v>331.61468960841557</v>
      </c>
      <c r="I58" s="444">
        <f t="shared" ca="1" si="22"/>
        <v>5.521160284843547</v>
      </c>
      <c r="J58" s="221">
        <f t="shared" ca="1" si="28"/>
        <v>6337.8646896084156</v>
      </c>
      <c r="K58" s="94">
        <f t="shared" ca="1" si="29"/>
        <v>6324.4336817828089</v>
      </c>
      <c r="L58" s="94">
        <f t="shared" ca="1" si="23"/>
        <v>-13.431007825606684</v>
      </c>
      <c r="M58" s="444">
        <f t="shared" ca="1" si="24"/>
        <v>-0.21191692286564923</v>
      </c>
      <c r="N58" s="57" t="s">
        <v>341</v>
      </c>
      <c r="O58" s="57" t="s">
        <v>338</v>
      </c>
      <c r="P58" s="55" t="s">
        <v>132</v>
      </c>
      <c r="Q58" s="55" t="s">
        <v>132</v>
      </c>
      <c r="R58" s="55" t="s">
        <v>139</v>
      </c>
      <c r="S58" s="270">
        <v>3.81</v>
      </c>
      <c r="T58" s="281"/>
      <c r="U58" s="272"/>
    </row>
    <row r="59" spans="1:22">
      <c r="A59" s="344" t="s">
        <v>451</v>
      </c>
      <c r="B59" s="297"/>
      <c r="C59" s="297"/>
      <c r="D59" s="297"/>
      <c r="E59" s="297"/>
      <c r="F59" s="297"/>
      <c r="G59" s="297"/>
      <c r="H59" s="297"/>
      <c r="I59" s="457"/>
      <c r="J59" s="297"/>
      <c r="K59" s="297"/>
      <c r="L59" s="297"/>
      <c r="M59" s="457"/>
      <c r="N59" s="57" t="s">
        <v>341</v>
      </c>
      <c r="O59" s="57" t="s">
        <v>338</v>
      </c>
      <c r="P59" s="55" t="s">
        <v>132</v>
      </c>
      <c r="Q59" s="55" t="s">
        <v>132</v>
      </c>
      <c r="R59" s="55" t="s">
        <v>134</v>
      </c>
      <c r="S59" s="270">
        <v>0.11906</v>
      </c>
      <c r="T59" s="281"/>
      <c r="U59" s="272"/>
    </row>
    <row r="60" spans="1:22">
      <c r="A60" s="335" t="s">
        <v>452</v>
      </c>
      <c r="B60" s="96"/>
      <c r="C60" s="96"/>
      <c r="D60" s="96"/>
      <c r="E60" s="96"/>
      <c r="F60" s="96"/>
      <c r="G60" s="96"/>
      <c r="H60" s="96"/>
      <c r="I60" s="458"/>
      <c r="J60" s="96"/>
      <c r="K60" s="96"/>
      <c r="L60" s="96"/>
      <c r="M60" s="458"/>
      <c r="N60" s="57" t="s">
        <v>341</v>
      </c>
      <c r="O60" s="57" t="s">
        <v>338</v>
      </c>
      <c r="P60" s="55" t="s">
        <v>132</v>
      </c>
      <c r="Q60" s="55" t="s">
        <v>132</v>
      </c>
      <c r="R60" s="55" t="s">
        <v>135</v>
      </c>
      <c r="S60" s="270">
        <v>8.3809999999999996E-2</v>
      </c>
      <c r="T60" s="281"/>
      <c r="U60" s="272"/>
    </row>
    <row r="61" spans="1:22">
      <c r="A61" s="284" t="s">
        <v>457</v>
      </c>
      <c r="B61" s="298"/>
      <c r="C61" s="298"/>
      <c r="D61" s="298"/>
      <c r="E61" s="298"/>
      <c r="F61" s="298"/>
      <c r="G61" s="298"/>
      <c r="H61" s="298"/>
      <c r="I61" s="459"/>
      <c r="J61" s="298"/>
      <c r="K61" s="298"/>
      <c r="L61" s="298"/>
      <c r="M61" s="459"/>
      <c r="N61" s="57" t="s">
        <v>341</v>
      </c>
      <c r="O61" s="57" t="s">
        <v>338</v>
      </c>
      <c r="P61" s="55" t="s">
        <v>132</v>
      </c>
      <c r="Q61" s="55" t="s">
        <v>132</v>
      </c>
      <c r="R61" s="55" t="s">
        <v>218</v>
      </c>
      <c r="S61" s="270">
        <v>7.8600000000000003E-2</v>
      </c>
      <c r="T61" s="281"/>
      <c r="U61" s="272"/>
    </row>
    <row r="62" spans="1:22" s="93" customFormat="1">
      <c r="A62" s="294" t="s">
        <v>137</v>
      </c>
      <c r="B62" s="294" t="s">
        <v>458</v>
      </c>
      <c r="C62" s="255">
        <v>15</v>
      </c>
      <c r="D62" s="214">
        <v>300</v>
      </c>
      <c r="E62" s="214">
        <f>C62*D62</f>
        <v>4500</v>
      </c>
      <c r="F62" s="214">
        <f>SUMIFS(S$52:S$55,Q$52:Q$55,A62,R$52:R$55,"Bill")+(S$56+S$58)*(C62-15)+S$59*1000+IF(E62&lt;=9000,S$60*(E62-1000),S$60*8000+S$61*(E62-9000))</f>
        <v>427.09499999999997</v>
      </c>
      <c r="G62" s="214">
        <f ca="1">SUMIFS(S$115:S$118,Q$115:Q$118,A62,R$115:R$118,"Bill")+(S$119+S$121)*(C62-15)+IF(B62="Summer",S$122,IF(B62="Winter",S$123,AF$123))*1000+IF(B62="Summer",S$124,IF(B62="Winter",S$125,AF$125))*(E62-1000)</f>
        <v>429.95</v>
      </c>
      <c r="H62" s="214">
        <f t="shared" ref="H62:H76" ca="1" si="30">G62-F62</f>
        <v>2.8550000000000182</v>
      </c>
      <c r="I62" s="448">
        <f t="shared" ref="I62:I76" ca="1" si="31">H62/F62*100</f>
        <v>0.66846954424660043</v>
      </c>
      <c r="J62" s="221">
        <f ca="1">G62</f>
        <v>429.95</v>
      </c>
      <c r="K62" s="94">
        <f ca="1">SUMIFS(S$192:S$195,Q$192:Q$195,A62,R$192:R$195,"Bill")+(S$196+S$198)*(C62-15)+IF(B62="Summer",S$199,IF(B62="Winter",S$200,AF$200))*1000+IF(B62="Summer",S$201,IF(B62="Winter",S$202,AF$202))*(E62-1000)</f>
        <v>429.22</v>
      </c>
      <c r="L62" s="94">
        <f t="shared" ref="L62:L76" ca="1" si="32">K62-J62</f>
        <v>-0.72999999999996135</v>
      </c>
      <c r="M62" s="444">
        <f t="shared" ref="M62:M76" ca="1" si="33">L62/J62*100</f>
        <v>-0.16978718455633476</v>
      </c>
      <c r="N62" s="57" t="s">
        <v>341</v>
      </c>
      <c r="O62" s="57" t="s">
        <v>338</v>
      </c>
      <c r="P62" s="55" t="s">
        <v>132</v>
      </c>
      <c r="Q62" s="55" t="s">
        <v>132</v>
      </c>
      <c r="R62" s="55" t="s">
        <v>138</v>
      </c>
      <c r="S62" s="270">
        <v>0.57999999999999996</v>
      </c>
      <c r="T62" s="281"/>
      <c r="U62" s="272"/>
    </row>
    <row r="63" spans="1:22" s="93" customFormat="1">
      <c r="A63" s="174" t="s">
        <v>137</v>
      </c>
      <c r="B63" s="174" t="s">
        <v>458</v>
      </c>
      <c r="C63" s="273">
        <v>15</v>
      </c>
      <c r="D63" s="94">
        <v>500</v>
      </c>
      <c r="E63" s="94">
        <f t="shared" ref="E63:E76" si="34">C63*D63</f>
        <v>7500</v>
      </c>
      <c r="F63" s="94">
        <f t="shared" ref="F63:F76" si="35">SUMIFS(S$52:S$55,Q$52:Q$55,A63,R$52:R$55,"Bill")+(S$56+S$58)*(C63-15)+S$59*1000+IF(E63&lt;=9000,S$60*(E63-1000),S$60*8000+S$61*(E63-9000))</f>
        <v>678.52499999999998</v>
      </c>
      <c r="G63" s="94">
        <f t="shared" ref="G63:G76" ca="1" si="36">SUMIFS(S$115:S$118,Q$115:Q$118,A63,R$115:R$118,"Bill")+(S$119+S$121)*(C63-15)+IF(B63="Summer",S$122,IF(B63="Winter",S$123,AF$123))*1000+IF(B63="Summer",S$124,IF(B63="Winter",S$125,AF$125))*(E63-1000)</f>
        <v>681.53</v>
      </c>
      <c r="H63" s="94">
        <f t="shared" ca="1" si="30"/>
        <v>3.0049999999999955</v>
      </c>
      <c r="I63" s="444">
        <f t="shared" ca="1" si="31"/>
        <v>0.44287240705942971</v>
      </c>
      <c r="J63" s="221">
        <f t="shared" ref="J63:J76" ca="1" si="37">G63</f>
        <v>681.53</v>
      </c>
      <c r="K63" s="94">
        <f t="shared" ref="K63:K76" ca="1" si="38">SUMIFS(S$192:S$195,Q$192:Q$195,A63,R$192:R$195,"Bill")+(S$196+S$198)*(C63-15)+IF(B63="Summer",S$199,IF(B63="Winter",S$200,AF$200))*1000+IF(B63="Summer",S$201,IF(B63="Winter",S$202,AF$202))*(E63-1000)</f>
        <v>680.2600000000001</v>
      </c>
      <c r="L63" s="94">
        <f t="shared" ca="1" si="32"/>
        <v>-1.2699999999998681</v>
      </c>
      <c r="M63" s="444">
        <f t="shared" ca="1" si="33"/>
        <v>-0.18634542866783094</v>
      </c>
      <c r="N63" s="57" t="s">
        <v>341</v>
      </c>
      <c r="O63" s="57" t="s">
        <v>338</v>
      </c>
      <c r="P63" s="55" t="s">
        <v>132</v>
      </c>
      <c r="Q63" s="55" t="s">
        <v>132</v>
      </c>
      <c r="R63" s="122" t="s">
        <v>303</v>
      </c>
      <c r="S63" s="270">
        <v>-0.01</v>
      </c>
      <c r="T63" s="281"/>
      <c r="U63" s="272"/>
    </row>
    <row r="64" spans="1:22" s="93" customFormat="1">
      <c r="A64" s="174" t="s">
        <v>137</v>
      </c>
      <c r="B64" s="174" t="s">
        <v>458</v>
      </c>
      <c r="C64" s="273">
        <v>15</v>
      </c>
      <c r="D64" s="94">
        <v>700</v>
      </c>
      <c r="E64" s="94">
        <f t="shared" si="34"/>
        <v>10500</v>
      </c>
      <c r="F64" s="94">
        <f t="shared" si="35"/>
        <v>922.14</v>
      </c>
      <c r="G64" s="94">
        <f t="shared" ca="1" si="36"/>
        <v>933.11000000000013</v>
      </c>
      <c r="H64" s="94">
        <f t="shared" ca="1" si="30"/>
        <v>10.970000000000141</v>
      </c>
      <c r="I64" s="444">
        <f t="shared" ca="1" si="31"/>
        <v>1.1896241351638732</v>
      </c>
      <c r="J64" s="221">
        <f t="shared" ca="1" si="37"/>
        <v>933.11000000000013</v>
      </c>
      <c r="K64" s="94">
        <f t="shared" ca="1" si="38"/>
        <v>931.30000000000007</v>
      </c>
      <c r="L64" s="94">
        <f t="shared" ca="1" si="32"/>
        <v>-1.8100000000000591</v>
      </c>
      <c r="M64" s="444">
        <f t="shared" ca="1" si="33"/>
        <v>-0.19397498687186493</v>
      </c>
      <c r="N64" s="57" t="s">
        <v>341</v>
      </c>
      <c r="O64" s="57" t="s">
        <v>338</v>
      </c>
      <c r="P64" s="55" t="s">
        <v>132</v>
      </c>
      <c r="Q64" s="55" t="s">
        <v>132</v>
      </c>
      <c r="R64" s="122" t="s">
        <v>294</v>
      </c>
      <c r="S64" s="270">
        <v>-0.3</v>
      </c>
      <c r="T64" s="281"/>
      <c r="U64" s="272"/>
    </row>
    <row r="65" spans="1:21" s="93" customFormat="1">
      <c r="A65" s="174" t="s">
        <v>137</v>
      </c>
      <c r="B65" s="174" t="s">
        <v>458</v>
      </c>
      <c r="C65" s="273">
        <v>25</v>
      </c>
      <c r="D65" s="94">
        <v>300</v>
      </c>
      <c r="E65" s="94">
        <f t="shared" si="34"/>
        <v>7500</v>
      </c>
      <c r="F65" s="94">
        <f t="shared" si="35"/>
        <v>727.02499999999998</v>
      </c>
      <c r="G65" s="94">
        <f t="shared" ca="1" si="36"/>
        <v>730.93000000000006</v>
      </c>
      <c r="H65" s="94">
        <f t="shared" ca="1" si="30"/>
        <v>3.9050000000000864</v>
      </c>
      <c r="I65" s="444">
        <f t="shared" ca="1" si="31"/>
        <v>0.53712045665556019</v>
      </c>
      <c r="J65" s="221">
        <f t="shared" ca="1" si="37"/>
        <v>730.93000000000006</v>
      </c>
      <c r="K65" s="94">
        <f t="shared" ca="1" si="38"/>
        <v>729.56000000000006</v>
      </c>
      <c r="L65" s="94">
        <f t="shared" ca="1" si="32"/>
        <v>-1.3700000000000045</v>
      </c>
      <c r="M65" s="444">
        <f t="shared" ca="1" si="33"/>
        <v>-0.18743244907173112</v>
      </c>
      <c r="N65" s="103" t="s">
        <v>341</v>
      </c>
      <c r="O65" s="103" t="s">
        <v>338</v>
      </c>
      <c r="P65" s="105" t="s">
        <v>132</v>
      </c>
      <c r="Q65" s="105" t="s">
        <v>132</v>
      </c>
      <c r="R65" s="212" t="s">
        <v>304</v>
      </c>
      <c r="S65" s="271">
        <v>60</v>
      </c>
      <c r="T65" s="281"/>
      <c r="U65" s="272"/>
    </row>
    <row r="66" spans="1:21" s="93" customFormat="1">
      <c r="A66" s="174" t="s">
        <v>137</v>
      </c>
      <c r="B66" s="174" t="s">
        <v>458</v>
      </c>
      <c r="C66" s="273">
        <v>25</v>
      </c>
      <c r="D66" s="94">
        <v>500</v>
      </c>
      <c r="E66" s="94">
        <f t="shared" si="34"/>
        <v>12500</v>
      </c>
      <c r="F66" s="94">
        <f t="shared" si="35"/>
        <v>1127.8400000000001</v>
      </c>
      <c r="G66" s="94">
        <f t="shared" ca="1" si="36"/>
        <v>1150.23</v>
      </c>
      <c r="H66" s="94">
        <f t="shared" ca="1" si="30"/>
        <v>22.389999999999873</v>
      </c>
      <c r="I66" s="444">
        <f t="shared" ca="1" si="31"/>
        <v>1.9852106681798722</v>
      </c>
      <c r="J66" s="221">
        <f t="shared" ca="1" si="37"/>
        <v>1150.23</v>
      </c>
      <c r="K66" s="94">
        <f t="shared" ca="1" si="38"/>
        <v>1147.96</v>
      </c>
      <c r="L66" s="94">
        <f t="shared" ca="1" si="32"/>
        <v>-2.2699999999999818</v>
      </c>
      <c r="M66" s="444">
        <f t="shared" ca="1" si="33"/>
        <v>-0.19735183398102829</v>
      </c>
      <c r="N66" s="98" t="s">
        <v>341</v>
      </c>
      <c r="O66" s="210" t="s">
        <v>19</v>
      </c>
      <c r="P66" s="99" t="s">
        <v>2</v>
      </c>
      <c r="Q66" s="99" t="s">
        <v>136</v>
      </c>
      <c r="R66" s="99" t="s">
        <v>271</v>
      </c>
      <c r="S66" s="167">
        <f>S8*S52</f>
        <v>387116.41800000001</v>
      </c>
      <c r="T66" s="38"/>
      <c r="U66" s="111"/>
    </row>
    <row r="67" spans="1:21" s="93" customFormat="1">
      <c r="A67" s="174" t="s">
        <v>137</v>
      </c>
      <c r="B67" s="174" t="s">
        <v>458</v>
      </c>
      <c r="C67" s="273">
        <v>25</v>
      </c>
      <c r="D67" s="94">
        <v>700</v>
      </c>
      <c r="E67" s="94">
        <f t="shared" si="34"/>
        <v>17500</v>
      </c>
      <c r="F67" s="94">
        <f t="shared" si="35"/>
        <v>1520.84</v>
      </c>
      <c r="G67" s="94">
        <f t="shared" ca="1" si="36"/>
        <v>1569.53</v>
      </c>
      <c r="H67" s="94">
        <f t="shared" ca="1" si="30"/>
        <v>48.690000000000055</v>
      </c>
      <c r="I67" s="444">
        <f t="shared" ca="1" si="31"/>
        <v>3.2015202125141404</v>
      </c>
      <c r="J67" s="221">
        <f t="shared" ca="1" si="37"/>
        <v>1569.53</v>
      </c>
      <c r="K67" s="94">
        <f t="shared" ca="1" si="38"/>
        <v>1566.3600000000001</v>
      </c>
      <c r="L67" s="94">
        <f t="shared" ca="1" si="32"/>
        <v>-3.1699999999998454</v>
      </c>
      <c r="M67" s="444">
        <f t="shared" ca="1" si="33"/>
        <v>-0.20197129076856418</v>
      </c>
      <c r="N67" s="57" t="s">
        <v>341</v>
      </c>
      <c r="O67" s="47" t="s">
        <v>19</v>
      </c>
      <c r="P67" s="101" t="s">
        <v>2</v>
      </c>
      <c r="Q67" s="101" t="s">
        <v>137</v>
      </c>
      <c r="R67" s="101" t="s">
        <v>271</v>
      </c>
      <c r="S67" s="164">
        <f>S9*S54</f>
        <v>39949.700000000004</v>
      </c>
      <c r="T67" s="38"/>
      <c r="U67" s="111"/>
    </row>
    <row r="68" spans="1:21" s="93" customFormat="1">
      <c r="A68" s="174" t="s">
        <v>137</v>
      </c>
      <c r="B68" s="174" t="s">
        <v>458</v>
      </c>
      <c r="C68" s="273">
        <v>50</v>
      </c>
      <c r="D68" s="94">
        <v>300</v>
      </c>
      <c r="E68" s="94">
        <f t="shared" si="34"/>
        <v>15000</v>
      </c>
      <c r="F68" s="94">
        <f t="shared" si="35"/>
        <v>1445.59</v>
      </c>
      <c r="G68" s="94">
        <f t="shared" ca="1" si="36"/>
        <v>1483.3799999999999</v>
      </c>
      <c r="H68" s="94">
        <f t="shared" ca="1" si="30"/>
        <v>37.789999999999964</v>
      </c>
      <c r="I68" s="444">
        <f t="shared" ca="1" si="31"/>
        <v>2.6141575412115445</v>
      </c>
      <c r="J68" s="221">
        <f t="shared" ca="1" si="37"/>
        <v>1483.3799999999999</v>
      </c>
      <c r="K68" s="94">
        <f t="shared" ca="1" si="38"/>
        <v>1480.4099999999999</v>
      </c>
      <c r="L68" s="94">
        <f t="shared" ca="1" si="32"/>
        <v>-2.9700000000000273</v>
      </c>
      <c r="M68" s="444">
        <f t="shared" ca="1" si="33"/>
        <v>-0.20021842009465057</v>
      </c>
      <c r="N68" s="57" t="s">
        <v>341</v>
      </c>
      <c r="O68" s="47" t="s">
        <v>19</v>
      </c>
      <c r="P68" s="101" t="s">
        <v>2</v>
      </c>
      <c r="Q68" s="101" t="s">
        <v>132</v>
      </c>
      <c r="R68" s="101" t="s">
        <v>217</v>
      </c>
      <c r="S68" s="164">
        <f>S10*S56</f>
        <v>25535.041333333338</v>
      </c>
      <c r="T68" s="38"/>
      <c r="U68" s="111"/>
    </row>
    <row r="69" spans="1:21" s="93" customFormat="1">
      <c r="A69" s="174" t="s">
        <v>137</v>
      </c>
      <c r="B69" s="174" t="s">
        <v>458</v>
      </c>
      <c r="C69" s="273">
        <v>50</v>
      </c>
      <c r="D69" s="94">
        <v>500</v>
      </c>
      <c r="E69" s="94">
        <f t="shared" si="34"/>
        <v>25000</v>
      </c>
      <c r="F69" s="94">
        <f t="shared" si="35"/>
        <v>2231.59</v>
      </c>
      <c r="G69" s="94">
        <f t="shared" ca="1" si="36"/>
        <v>2321.98</v>
      </c>
      <c r="H69" s="94">
        <f t="shared" ca="1" si="30"/>
        <v>90.389999999999873</v>
      </c>
      <c r="I69" s="444">
        <f t="shared" ca="1" si="31"/>
        <v>4.0504752217029054</v>
      </c>
      <c r="J69" s="221">
        <f t="shared" ca="1" si="37"/>
        <v>2321.98</v>
      </c>
      <c r="K69" s="94">
        <f t="shared" ca="1" si="38"/>
        <v>2317.21</v>
      </c>
      <c r="L69" s="94">
        <f t="shared" ca="1" si="32"/>
        <v>-4.7699999999999818</v>
      </c>
      <c r="M69" s="444">
        <f t="shared" ca="1" si="33"/>
        <v>-0.20542812599591651</v>
      </c>
      <c r="N69" s="57" t="s">
        <v>341</v>
      </c>
      <c r="O69" s="47" t="s">
        <v>19</v>
      </c>
      <c r="P69" s="101" t="s">
        <v>2</v>
      </c>
      <c r="Q69" s="101" t="s">
        <v>132</v>
      </c>
      <c r="R69" s="101" t="s">
        <v>139</v>
      </c>
      <c r="S69" s="164">
        <f>S11*S58</f>
        <v>55302.650000000009</v>
      </c>
      <c r="T69" s="38"/>
      <c r="U69" s="111"/>
    </row>
    <row r="70" spans="1:21" s="93" customFormat="1">
      <c r="A70" s="174" t="s">
        <v>137</v>
      </c>
      <c r="B70" s="174" t="s">
        <v>458</v>
      </c>
      <c r="C70" s="273">
        <v>50</v>
      </c>
      <c r="D70" s="94">
        <v>700</v>
      </c>
      <c r="E70" s="94">
        <f t="shared" si="34"/>
        <v>35000</v>
      </c>
      <c r="F70" s="94">
        <f t="shared" si="35"/>
        <v>3017.59</v>
      </c>
      <c r="G70" s="94">
        <f t="shared" ca="1" si="36"/>
        <v>3160.5800000000004</v>
      </c>
      <c r="H70" s="94">
        <f t="shared" ca="1" si="30"/>
        <v>142.99000000000024</v>
      </c>
      <c r="I70" s="444">
        <f t="shared" ca="1" si="31"/>
        <v>4.7385496372933442</v>
      </c>
      <c r="J70" s="221">
        <f t="shared" ca="1" si="37"/>
        <v>3160.5800000000004</v>
      </c>
      <c r="K70" s="94">
        <f t="shared" ca="1" si="38"/>
        <v>3154.01</v>
      </c>
      <c r="L70" s="94">
        <f t="shared" ca="1" si="32"/>
        <v>-6.5700000000001637</v>
      </c>
      <c r="M70" s="444">
        <f t="shared" ca="1" si="33"/>
        <v>-0.20787323845623787</v>
      </c>
      <c r="N70" s="57" t="s">
        <v>341</v>
      </c>
      <c r="O70" s="47" t="s">
        <v>19</v>
      </c>
      <c r="P70" s="101" t="s">
        <v>2</v>
      </c>
      <c r="Q70" s="101" t="s">
        <v>132</v>
      </c>
      <c r="R70" s="101" t="s">
        <v>134</v>
      </c>
      <c r="S70" s="164">
        <f>(S12+S13)*S59</f>
        <v>1615255.1416998121</v>
      </c>
      <c r="T70" s="38"/>
      <c r="U70" s="111"/>
    </row>
    <row r="71" spans="1:21" s="93" customFormat="1">
      <c r="A71" s="174" t="s">
        <v>137</v>
      </c>
      <c r="B71" s="174" t="s">
        <v>458</v>
      </c>
      <c r="C71" s="273">
        <v>75</v>
      </c>
      <c r="D71" s="94">
        <v>300</v>
      </c>
      <c r="E71" s="94">
        <f t="shared" si="34"/>
        <v>22500</v>
      </c>
      <c r="F71" s="94">
        <f t="shared" si="35"/>
        <v>2156.34</v>
      </c>
      <c r="G71" s="94">
        <f t="shared" ca="1" si="36"/>
        <v>2235.83</v>
      </c>
      <c r="H71" s="94">
        <f t="shared" ca="1" si="30"/>
        <v>79.489999999999782</v>
      </c>
      <c r="I71" s="444">
        <f t="shared" ca="1" si="31"/>
        <v>3.6863388890434612</v>
      </c>
      <c r="J71" s="221">
        <f t="shared" ca="1" si="37"/>
        <v>2235.83</v>
      </c>
      <c r="K71" s="94">
        <f t="shared" ca="1" si="38"/>
        <v>2231.2600000000002</v>
      </c>
      <c r="L71" s="94">
        <f t="shared" ca="1" si="32"/>
        <v>-4.569999999999709</v>
      </c>
      <c r="M71" s="444">
        <f t="shared" ca="1" si="33"/>
        <v>-0.20439836660209898</v>
      </c>
      <c r="N71" s="57" t="s">
        <v>341</v>
      </c>
      <c r="O71" s="47" t="s">
        <v>19</v>
      </c>
      <c r="P71" s="101" t="s">
        <v>2</v>
      </c>
      <c r="Q71" s="101" t="s">
        <v>132</v>
      </c>
      <c r="R71" s="101" t="s">
        <v>135</v>
      </c>
      <c r="S71" s="164">
        <f>(S14+S15)*S60</f>
        <v>595674.56128873595</v>
      </c>
      <c r="T71" s="38"/>
      <c r="U71" s="111"/>
    </row>
    <row r="72" spans="1:21" s="93" customFormat="1">
      <c r="A72" s="174" t="s">
        <v>137</v>
      </c>
      <c r="B72" s="174" t="s">
        <v>458</v>
      </c>
      <c r="C72" s="273">
        <v>75</v>
      </c>
      <c r="D72" s="94">
        <v>500</v>
      </c>
      <c r="E72" s="94">
        <f t="shared" si="34"/>
        <v>37500</v>
      </c>
      <c r="F72" s="94">
        <f t="shared" si="35"/>
        <v>3335.34</v>
      </c>
      <c r="G72" s="94">
        <f t="shared" ca="1" si="36"/>
        <v>3493.7300000000005</v>
      </c>
      <c r="H72" s="94">
        <f t="shared" ca="1" si="30"/>
        <v>158.39000000000033</v>
      </c>
      <c r="I72" s="444">
        <f t="shared" ca="1" si="31"/>
        <v>4.748841197599055</v>
      </c>
      <c r="J72" s="221">
        <f t="shared" ca="1" si="37"/>
        <v>3493.7300000000005</v>
      </c>
      <c r="K72" s="94">
        <f t="shared" ca="1" si="38"/>
        <v>3486.46</v>
      </c>
      <c r="L72" s="94">
        <f t="shared" ca="1" si="32"/>
        <v>-7.2700000000004366</v>
      </c>
      <c r="M72" s="444">
        <f t="shared" ca="1" si="33"/>
        <v>-0.20808705881680714</v>
      </c>
      <c r="N72" s="57" t="s">
        <v>341</v>
      </c>
      <c r="O72" s="47" t="s">
        <v>19</v>
      </c>
      <c r="P72" s="101" t="s">
        <v>2</v>
      </c>
      <c r="Q72" s="101" t="s">
        <v>132</v>
      </c>
      <c r="R72" s="101" t="s">
        <v>218</v>
      </c>
      <c r="S72" s="164">
        <f>(S16+S17)*S61</f>
        <v>73114.223797018247</v>
      </c>
      <c r="T72" s="38"/>
      <c r="U72" s="111"/>
    </row>
    <row r="73" spans="1:21" s="93" customFormat="1">
      <c r="A73" s="174" t="s">
        <v>137</v>
      </c>
      <c r="B73" s="174" t="s">
        <v>458</v>
      </c>
      <c r="C73" s="273">
        <v>75</v>
      </c>
      <c r="D73" s="94">
        <v>700</v>
      </c>
      <c r="E73" s="94">
        <f t="shared" si="34"/>
        <v>52500</v>
      </c>
      <c r="F73" s="94">
        <f t="shared" si="35"/>
        <v>4514.34</v>
      </c>
      <c r="G73" s="94">
        <f t="shared" ca="1" si="36"/>
        <v>4751.63</v>
      </c>
      <c r="H73" s="94">
        <f t="shared" ca="1" si="30"/>
        <v>237.28999999999996</v>
      </c>
      <c r="I73" s="444">
        <f t="shared" ca="1" si="31"/>
        <v>5.2563608412303893</v>
      </c>
      <c r="J73" s="221">
        <f t="shared" ca="1" si="37"/>
        <v>4751.63</v>
      </c>
      <c r="K73" s="94">
        <f t="shared" ca="1" si="38"/>
        <v>4741.6600000000008</v>
      </c>
      <c r="L73" s="94">
        <f t="shared" ca="1" si="32"/>
        <v>-9.9699999999993452</v>
      </c>
      <c r="M73" s="444">
        <f t="shared" ca="1" si="33"/>
        <v>-0.20982273451424766</v>
      </c>
      <c r="N73" s="57" t="s">
        <v>341</v>
      </c>
      <c r="O73" s="47" t="s">
        <v>19</v>
      </c>
      <c r="P73" s="101" t="s">
        <v>2</v>
      </c>
      <c r="Q73" s="101" t="s">
        <v>132</v>
      </c>
      <c r="R73" s="101" t="s">
        <v>138</v>
      </c>
      <c r="S73" s="164">
        <f>S18*S62</f>
        <v>65.539999999999992</v>
      </c>
      <c r="T73" s="38"/>
      <c r="U73" s="111"/>
    </row>
    <row r="74" spans="1:21" s="93" customFormat="1">
      <c r="A74" s="174" t="s">
        <v>137</v>
      </c>
      <c r="B74" s="174" t="s">
        <v>458</v>
      </c>
      <c r="C74" s="273">
        <v>100</v>
      </c>
      <c r="D74" s="94">
        <v>300</v>
      </c>
      <c r="E74" s="94">
        <f t="shared" si="34"/>
        <v>30000</v>
      </c>
      <c r="F74" s="94">
        <f t="shared" si="35"/>
        <v>2867.09</v>
      </c>
      <c r="G74" s="94">
        <f t="shared" ca="1" si="36"/>
        <v>2988.28</v>
      </c>
      <c r="H74" s="94">
        <f t="shared" ca="1" si="30"/>
        <v>121.19000000000005</v>
      </c>
      <c r="I74" s="444">
        <f t="shared" ca="1" si="31"/>
        <v>4.2269339295243622</v>
      </c>
      <c r="J74" s="221">
        <f t="shared" ca="1" si="37"/>
        <v>2988.28</v>
      </c>
      <c r="K74" s="94">
        <f t="shared" ca="1" si="38"/>
        <v>2982.11</v>
      </c>
      <c r="L74" s="94">
        <f t="shared" ca="1" si="32"/>
        <v>-6.1700000000000728</v>
      </c>
      <c r="M74" s="444">
        <f t="shared" ca="1" si="33"/>
        <v>-0.20647328898229325</v>
      </c>
      <c r="N74" s="103" t="s">
        <v>341</v>
      </c>
      <c r="O74" s="211" t="s">
        <v>19</v>
      </c>
      <c r="P74" s="105" t="s">
        <v>2</v>
      </c>
      <c r="Q74" s="105" t="s">
        <v>132</v>
      </c>
      <c r="R74" s="163" t="s">
        <v>105</v>
      </c>
      <c r="S74" s="165">
        <f>Unbilled!E5</f>
        <v>92749.030275302401</v>
      </c>
      <c r="T74" s="38"/>
      <c r="U74" s="111"/>
    </row>
    <row r="75" spans="1:21" s="93" customFormat="1">
      <c r="A75" s="174" t="s">
        <v>137</v>
      </c>
      <c r="B75" s="174" t="s">
        <v>458</v>
      </c>
      <c r="C75" s="273">
        <v>100</v>
      </c>
      <c r="D75" s="94">
        <v>500</v>
      </c>
      <c r="E75" s="94">
        <f t="shared" si="34"/>
        <v>50000</v>
      </c>
      <c r="F75" s="94">
        <f t="shared" si="35"/>
        <v>4439.09</v>
      </c>
      <c r="G75" s="94">
        <f t="shared" ca="1" si="36"/>
        <v>4665.4800000000005</v>
      </c>
      <c r="H75" s="94">
        <f t="shared" ca="1" si="30"/>
        <v>226.39000000000033</v>
      </c>
      <c r="I75" s="444">
        <f t="shared" ca="1" si="31"/>
        <v>5.0999191275689455</v>
      </c>
      <c r="J75" s="221">
        <f t="shared" ca="1" si="37"/>
        <v>4665.4800000000005</v>
      </c>
      <c r="K75" s="94">
        <f t="shared" ca="1" si="38"/>
        <v>4655.7100000000009</v>
      </c>
      <c r="L75" s="94">
        <f t="shared" ca="1" si="32"/>
        <v>-9.7699999999995271</v>
      </c>
      <c r="M75" s="444">
        <f t="shared" ca="1" si="33"/>
        <v>-0.20941039292847735</v>
      </c>
      <c r="N75" s="98" t="s">
        <v>341</v>
      </c>
      <c r="O75" s="210" t="s">
        <v>19</v>
      </c>
      <c r="P75" s="99" t="s">
        <v>3</v>
      </c>
      <c r="Q75" s="99" t="s">
        <v>136</v>
      </c>
      <c r="R75" s="99" t="s">
        <v>271</v>
      </c>
      <c r="S75" s="167">
        <f t="shared" ref="S75:S81" si="39">S19*S52</f>
        <v>1355619.848</v>
      </c>
      <c r="T75" s="38"/>
      <c r="U75" s="111"/>
    </row>
    <row r="76" spans="1:21" s="93" customFormat="1">
      <c r="A76" s="174" t="s">
        <v>137</v>
      </c>
      <c r="B76" s="174" t="s">
        <v>458</v>
      </c>
      <c r="C76" s="273">
        <v>100</v>
      </c>
      <c r="D76" s="94">
        <v>700</v>
      </c>
      <c r="E76" s="94">
        <f t="shared" si="34"/>
        <v>70000</v>
      </c>
      <c r="F76" s="94">
        <f t="shared" si="35"/>
        <v>6011.09</v>
      </c>
      <c r="G76" s="94">
        <f t="shared" ca="1" si="36"/>
        <v>6342.68</v>
      </c>
      <c r="H76" s="94">
        <f t="shared" ca="1" si="30"/>
        <v>331.59000000000015</v>
      </c>
      <c r="I76" s="444">
        <f t="shared" ca="1" si="31"/>
        <v>5.5163040313819982</v>
      </c>
      <c r="J76" s="221">
        <f t="shared" ca="1" si="37"/>
        <v>6342.68</v>
      </c>
      <c r="K76" s="94">
        <f t="shared" ca="1" si="38"/>
        <v>6329.3099999999995</v>
      </c>
      <c r="L76" s="94">
        <f t="shared" ca="1" si="32"/>
        <v>-13.3700000000008</v>
      </c>
      <c r="M76" s="444">
        <f t="shared" ca="1" si="33"/>
        <v>-0.21079417533283723</v>
      </c>
      <c r="N76" s="57" t="s">
        <v>341</v>
      </c>
      <c r="O76" s="47" t="s">
        <v>19</v>
      </c>
      <c r="P76" s="101" t="s">
        <v>3</v>
      </c>
      <c r="Q76" s="101" t="s">
        <v>136</v>
      </c>
      <c r="R76" s="101" t="s">
        <v>272</v>
      </c>
      <c r="S76" s="164">
        <f t="shared" si="39"/>
        <v>311.19780821917806</v>
      </c>
      <c r="T76" s="38"/>
      <c r="U76" s="111"/>
    </row>
    <row r="77" spans="1:21" s="93" customFormat="1">
      <c r="A77" s="344" t="s">
        <v>451</v>
      </c>
      <c r="B77" s="297"/>
      <c r="C77" s="297"/>
      <c r="D77" s="297"/>
      <c r="E77" s="297"/>
      <c r="F77" s="297"/>
      <c r="G77" s="297"/>
      <c r="H77" s="297"/>
      <c r="I77" s="457"/>
      <c r="J77" s="297"/>
      <c r="K77" s="297"/>
      <c r="L77" s="297"/>
      <c r="M77" s="457"/>
      <c r="N77" s="57" t="s">
        <v>341</v>
      </c>
      <c r="O77" s="47" t="s">
        <v>19</v>
      </c>
      <c r="P77" s="101" t="s">
        <v>3</v>
      </c>
      <c r="Q77" s="101" t="s">
        <v>137</v>
      </c>
      <c r="R77" s="101" t="s">
        <v>271</v>
      </c>
      <c r="S77" s="164">
        <f t="shared" si="39"/>
        <v>949837.55999999982</v>
      </c>
      <c r="T77" s="38"/>
      <c r="U77" s="111"/>
    </row>
    <row r="78" spans="1:21" s="93" customFormat="1">
      <c r="A78" s="335" t="s">
        <v>452</v>
      </c>
      <c r="B78" s="96"/>
      <c r="C78" s="96"/>
      <c r="D78" s="96"/>
      <c r="E78" s="96"/>
      <c r="F78" s="96"/>
      <c r="G78" s="96"/>
      <c r="H78" s="96"/>
      <c r="I78" s="458"/>
      <c r="J78" s="96"/>
      <c r="K78" s="96"/>
      <c r="L78" s="96"/>
      <c r="M78" s="458"/>
      <c r="N78" s="57" t="s">
        <v>341</v>
      </c>
      <c r="O78" s="47" t="s">
        <v>19</v>
      </c>
      <c r="P78" s="101" t="s">
        <v>3</v>
      </c>
      <c r="Q78" s="101" t="s">
        <v>137</v>
      </c>
      <c r="R78" s="101" t="s">
        <v>272</v>
      </c>
      <c r="S78" s="164">
        <f t="shared" si="39"/>
        <v>11196.325479452053</v>
      </c>
      <c r="T78" s="38"/>
      <c r="U78" s="111"/>
    </row>
    <row r="79" spans="1:21" s="93" customFormat="1">
      <c r="A79" s="284" t="s">
        <v>457</v>
      </c>
      <c r="B79" s="298"/>
      <c r="C79" s="298"/>
      <c r="D79" s="298"/>
      <c r="E79" s="298"/>
      <c r="F79" s="298"/>
      <c r="G79" s="298"/>
      <c r="H79" s="298"/>
      <c r="I79" s="459"/>
      <c r="J79" s="298"/>
      <c r="K79" s="298"/>
      <c r="L79" s="298"/>
      <c r="M79" s="459"/>
      <c r="N79" s="57" t="s">
        <v>341</v>
      </c>
      <c r="O79" s="47" t="s">
        <v>19</v>
      </c>
      <c r="P79" s="101" t="s">
        <v>3</v>
      </c>
      <c r="Q79" s="101" t="s">
        <v>132</v>
      </c>
      <c r="R79" s="101" t="s">
        <v>217</v>
      </c>
      <c r="S79" s="164">
        <f t="shared" si="39"/>
        <v>1235393.8873333335</v>
      </c>
      <c r="T79" s="38"/>
      <c r="U79" s="111"/>
    </row>
    <row r="80" spans="1:21" s="93" customFormat="1">
      <c r="A80" s="294" t="s">
        <v>137</v>
      </c>
      <c r="B80" s="294" t="s">
        <v>459</v>
      </c>
      <c r="C80" s="255">
        <v>15</v>
      </c>
      <c r="D80" s="214">
        <v>300</v>
      </c>
      <c r="E80" s="214">
        <f>C80*D80</f>
        <v>4500</v>
      </c>
      <c r="F80" s="214">
        <f>SUMIFS(S$52:S$55,Q$52:Q$55,A80,R$52:R$55,"Bill")+(S$56+S$58)*(C80-15)+S$59*1000+IF(E80&lt;=9000,S$60*(E80-1000),S$60*8000+S$61*(E80-9000))</f>
        <v>427.09499999999997</v>
      </c>
      <c r="G80" s="214">
        <f ca="1">SUMIFS(S$115:S$118,Q$115:Q$118,A80,R$115:R$118,"Bill")+(S$119+S$121)*(C80-15)+IF(B80="Summer",S$122,IF(B80="Winter",S$123,AF$123))*1000+IF(B80="Summer",S$124,IF(B80="Winter",S$125,AF$125))*(E80-1000)</f>
        <v>429.95</v>
      </c>
      <c r="H80" s="214">
        <f t="shared" ref="H80:H94" ca="1" si="40">G80-F80</f>
        <v>2.8550000000000182</v>
      </c>
      <c r="I80" s="448">
        <f t="shared" ref="I80:I94" ca="1" si="41">H80/F80*100</f>
        <v>0.66846954424660043</v>
      </c>
      <c r="J80" s="221">
        <f ca="1">G80</f>
        <v>429.95</v>
      </c>
      <c r="K80" s="94">
        <f ca="1">SUMIFS(S$192:S$195,Q$192:Q$195,A80,R$192:R$195,"Bill")+(S$196+S$198)*(C80-15)+IF(B80="Summer",S$199,IF(B80="Winter",S$200,AF$200))*1000+IF(B80="Summer",S$201,IF(B80="Winter",S$202,AF$202))*(E80-1000)</f>
        <v>429.22</v>
      </c>
      <c r="L80" s="94">
        <f t="shared" ref="L80:L94" ca="1" si="42">K80-J80</f>
        <v>-0.72999999999996135</v>
      </c>
      <c r="M80" s="444">
        <f ca="1">L80/J80*100</f>
        <v>-0.16978718455633476</v>
      </c>
      <c r="N80" s="57" t="s">
        <v>341</v>
      </c>
      <c r="O80" s="47" t="s">
        <v>19</v>
      </c>
      <c r="P80" s="101" t="s">
        <v>3</v>
      </c>
      <c r="Q80" s="101" t="s">
        <v>132</v>
      </c>
      <c r="R80" s="101" t="s">
        <v>219</v>
      </c>
      <c r="S80" s="164">
        <f t="shared" si="39"/>
        <v>26583.414575342464</v>
      </c>
      <c r="T80" s="38"/>
      <c r="U80" s="111"/>
    </row>
    <row r="81" spans="1:21" s="93" customFormat="1">
      <c r="A81" s="174" t="s">
        <v>137</v>
      </c>
      <c r="B81" s="174" t="s">
        <v>459</v>
      </c>
      <c r="C81" s="273">
        <v>15</v>
      </c>
      <c r="D81" s="94">
        <v>500</v>
      </c>
      <c r="E81" s="94">
        <f t="shared" ref="E81:E94" si="43">C81*D81</f>
        <v>7500</v>
      </c>
      <c r="F81" s="94">
        <f t="shared" ref="F81:F94" si="44">SUMIFS(S$52:S$55,Q$52:Q$55,A81,R$52:R$55,"Bill")+(S$56+S$58)*(C81-15)+S$59*1000+IF(E81&lt;=9000,S$60*(E81-1000),S$60*8000+S$61*(E81-9000))</f>
        <v>678.52499999999998</v>
      </c>
      <c r="G81" s="94">
        <f t="shared" ref="G81:G94" ca="1" si="45">SUMIFS(S$115:S$118,Q$115:Q$118,A81,R$115:R$118,"Bill")+(S$119+S$121)*(C81-15)+IF(B81="Summer",S$122,IF(B81="Winter",S$123,AF$123))*1000+IF(B81="Summer",S$124,IF(B81="Winter",S$125,AF$125))*(E81-1000)</f>
        <v>681.53</v>
      </c>
      <c r="H81" s="94">
        <f t="shared" ca="1" si="40"/>
        <v>3.0049999999999955</v>
      </c>
      <c r="I81" s="444">
        <f t="shared" ca="1" si="41"/>
        <v>0.44287240705942971</v>
      </c>
      <c r="J81" s="221">
        <f t="shared" ref="J81:J94" ca="1" si="46">G81</f>
        <v>681.53</v>
      </c>
      <c r="K81" s="94">
        <f t="shared" ref="K81:K94" ca="1" si="47">SUMIFS(S$192:S$195,Q$192:Q$195,A81,R$192:R$195,"Bill")+(S$196+S$198)*(C81-15)+IF(B81="Summer",S$199,IF(B81="Winter",S$200,AF$200))*1000+IF(B81="Summer",S$201,IF(B81="Winter",S$202,AF$202))*(E81-1000)</f>
        <v>680.2600000000001</v>
      </c>
      <c r="L81" s="94">
        <f t="shared" ca="1" si="42"/>
        <v>-1.2699999999998681</v>
      </c>
      <c r="M81" s="444">
        <f ca="1">L81/J81*100</f>
        <v>-0.18634542866783094</v>
      </c>
      <c r="N81" s="57" t="s">
        <v>341</v>
      </c>
      <c r="O81" s="47" t="s">
        <v>19</v>
      </c>
      <c r="P81" s="101" t="s">
        <v>3</v>
      </c>
      <c r="Q81" s="101" t="s">
        <v>132</v>
      </c>
      <c r="R81" s="101" t="s">
        <v>139</v>
      </c>
      <c r="S81" s="164">
        <f t="shared" si="39"/>
        <v>2724849.07</v>
      </c>
      <c r="T81" s="38"/>
      <c r="U81" s="111"/>
    </row>
    <row r="82" spans="1:21" s="93" customFormat="1">
      <c r="A82" s="174" t="s">
        <v>137</v>
      </c>
      <c r="B82" s="174" t="s">
        <v>459</v>
      </c>
      <c r="C82" s="273">
        <v>15</v>
      </c>
      <c r="D82" s="94">
        <v>700</v>
      </c>
      <c r="E82" s="94">
        <f t="shared" si="43"/>
        <v>10500</v>
      </c>
      <c r="F82" s="94">
        <f t="shared" si="44"/>
        <v>922.14</v>
      </c>
      <c r="G82" s="94">
        <f t="shared" ca="1" si="45"/>
        <v>933.11000000000013</v>
      </c>
      <c r="H82" s="94">
        <f t="shared" ca="1" si="40"/>
        <v>10.970000000000141</v>
      </c>
      <c r="I82" s="444">
        <f t="shared" ca="1" si="41"/>
        <v>1.1896241351638732</v>
      </c>
      <c r="J82" s="221">
        <f t="shared" ca="1" si="46"/>
        <v>933.11000000000013</v>
      </c>
      <c r="K82" s="94">
        <f t="shared" ca="1" si="47"/>
        <v>931.30000000000007</v>
      </c>
      <c r="L82" s="94">
        <f t="shared" ca="1" si="42"/>
        <v>-1.8100000000000591</v>
      </c>
      <c r="M82" s="444">
        <f ca="1">L82/J82*100</f>
        <v>-0.19397498687186493</v>
      </c>
      <c r="N82" s="57" t="s">
        <v>341</v>
      </c>
      <c r="O82" s="47" t="s">
        <v>19</v>
      </c>
      <c r="P82" s="101" t="s">
        <v>3</v>
      </c>
      <c r="Q82" s="101" t="s">
        <v>132</v>
      </c>
      <c r="R82" s="101" t="s">
        <v>134</v>
      </c>
      <c r="S82" s="164">
        <f>(S26+S27)*S59</f>
        <v>14878619.338947346</v>
      </c>
      <c r="T82" s="38"/>
      <c r="U82" s="111"/>
    </row>
    <row r="83" spans="1:21" s="93" customFormat="1">
      <c r="A83" s="174" t="s">
        <v>137</v>
      </c>
      <c r="B83" s="174" t="s">
        <v>459</v>
      </c>
      <c r="C83" s="273">
        <v>25</v>
      </c>
      <c r="D83" s="94">
        <v>300</v>
      </c>
      <c r="E83" s="94">
        <f t="shared" si="43"/>
        <v>7500</v>
      </c>
      <c r="F83" s="94">
        <f t="shared" si="44"/>
        <v>727.02499999999998</v>
      </c>
      <c r="G83" s="94">
        <f t="shared" ca="1" si="45"/>
        <v>730.93000000000006</v>
      </c>
      <c r="H83" s="94">
        <f t="shared" ca="1" si="40"/>
        <v>3.9050000000000864</v>
      </c>
      <c r="I83" s="444">
        <f t="shared" ca="1" si="41"/>
        <v>0.53712045665556019</v>
      </c>
      <c r="J83" s="221">
        <f t="shared" ca="1" si="46"/>
        <v>730.93000000000006</v>
      </c>
      <c r="K83" s="94">
        <f t="shared" ca="1" si="47"/>
        <v>729.56000000000006</v>
      </c>
      <c r="L83" s="94">
        <f t="shared" ca="1" si="42"/>
        <v>-1.3700000000000045</v>
      </c>
      <c r="M83" s="444">
        <f ca="1">L83/J83*100</f>
        <v>-0.18743244907173112</v>
      </c>
      <c r="N83" s="57" t="s">
        <v>341</v>
      </c>
      <c r="O83" s="47" t="s">
        <v>19</v>
      </c>
      <c r="P83" s="101" t="s">
        <v>3</v>
      </c>
      <c r="Q83" s="101" t="s">
        <v>132</v>
      </c>
      <c r="R83" s="101" t="s">
        <v>135</v>
      </c>
      <c r="S83" s="164">
        <f>(S28+S29)*S60</f>
        <v>22891841.685084656</v>
      </c>
      <c r="T83" s="38"/>
      <c r="U83" s="111"/>
    </row>
    <row r="84" spans="1:21" s="93" customFormat="1">
      <c r="A84" s="174" t="s">
        <v>137</v>
      </c>
      <c r="B84" s="174" t="s">
        <v>459</v>
      </c>
      <c r="C84" s="273">
        <v>25</v>
      </c>
      <c r="D84" s="94">
        <v>500</v>
      </c>
      <c r="E84" s="94">
        <f t="shared" si="43"/>
        <v>12500</v>
      </c>
      <c r="F84" s="94">
        <f t="shared" si="44"/>
        <v>1127.8400000000001</v>
      </c>
      <c r="G84" s="94">
        <f t="shared" ca="1" si="45"/>
        <v>1150.23</v>
      </c>
      <c r="H84" s="94">
        <f t="shared" ca="1" si="40"/>
        <v>22.389999999999873</v>
      </c>
      <c r="I84" s="444">
        <f t="shared" ca="1" si="41"/>
        <v>1.9852106681798722</v>
      </c>
      <c r="J84" s="221">
        <f t="shared" ca="1" si="46"/>
        <v>1150.23</v>
      </c>
      <c r="K84" s="94">
        <f t="shared" ca="1" si="47"/>
        <v>1147.96</v>
      </c>
      <c r="L84" s="94">
        <f t="shared" ca="1" si="42"/>
        <v>-2.2699999999999818</v>
      </c>
      <c r="M84" s="444">
        <f t="shared" ref="M84:M94" ca="1" si="48">L84/J84*100</f>
        <v>-0.19735183398102829</v>
      </c>
      <c r="N84" s="57" t="s">
        <v>341</v>
      </c>
      <c r="O84" s="47" t="s">
        <v>19</v>
      </c>
      <c r="P84" s="101" t="s">
        <v>3</v>
      </c>
      <c r="Q84" s="101" t="s">
        <v>132</v>
      </c>
      <c r="R84" s="101" t="s">
        <v>218</v>
      </c>
      <c r="S84" s="164">
        <f>(S30+S31)*S61</f>
        <v>8590652.990384018</v>
      </c>
      <c r="T84" s="38"/>
      <c r="U84" s="111"/>
    </row>
    <row r="85" spans="1:21" s="93" customFormat="1">
      <c r="A85" s="174" t="s">
        <v>137</v>
      </c>
      <c r="B85" s="174" t="s">
        <v>459</v>
      </c>
      <c r="C85" s="273">
        <v>25</v>
      </c>
      <c r="D85" s="94">
        <v>700</v>
      </c>
      <c r="E85" s="94">
        <f t="shared" si="43"/>
        <v>17500</v>
      </c>
      <c r="F85" s="94">
        <f t="shared" si="44"/>
        <v>1520.84</v>
      </c>
      <c r="G85" s="94">
        <f t="shared" ca="1" si="45"/>
        <v>1569.53</v>
      </c>
      <c r="H85" s="94">
        <f t="shared" ca="1" si="40"/>
        <v>48.690000000000055</v>
      </c>
      <c r="I85" s="444">
        <f t="shared" ca="1" si="41"/>
        <v>3.2015202125141404</v>
      </c>
      <c r="J85" s="221">
        <f t="shared" ca="1" si="46"/>
        <v>1569.53</v>
      </c>
      <c r="K85" s="94">
        <f t="shared" ca="1" si="47"/>
        <v>1566.3600000000001</v>
      </c>
      <c r="L85" s="94">
        <f t="shared" ca="1" si="42"/>
        <v>-3.1699999999998454</v>
      </c>
      <c r="M85" s="444">
        <f t="shared" ca="1" si="48"/>
        <v>-0.20197129076856418</v>
      </c>
      <c r="N85" s="57" t="s">
        <v>341</v>
      </c>
      <c r="O85" s="47" t="s">
        <v>19</v>
      </c>
      <c r="P85" s="101" t="s">
        <v>3</v>
      </c>
      <c r="Q85" s="101" t="s">
        <v>132</v>
      </c>
      <c r="R85" s="101" t="s">
        <v>138</v>
      </c>
      <c r="S85" s="164">
        <f>S32*S62</f>
        <v>63169.819999999992</v>
      </c>
      <c r="T85" s="38"/>
      <c r="U85" s="111"/>
    </row>
    <row r="86" spans="1:21" s="93" customFormat="1">
      <c r="A86" s="174" t="s">
        <v>137</v>
      </c>
      <c r="B86" s="174" t="s">
        <v>459</v>
      </c>
      <c r="C86" s="273">
        <v>50</v>
      </c>
      <c r="D86" s="94">
        <v>300</v>
      </c>
      <c r="E86" s="94">
        <f t="shared" si="43"/>
        <v>15000</v>
      </c>
      <c r="F86" s="94">
        <f t="shared" si="44"/>
        <v>1445.59</v>
      </c>
      <c r="G86" s="94">
        <f t="shared" ca="1" si="45"/>
        <v>1483.3799999999999</v>
      </c>
      <c r="H86" s="94">
        <f t="shared" ca="1" si="40"/>
        <v>37.789999999999964</v>
      </c>
      <c r="I86" s="444">
        <f t="shared" ca="1" si="41"/>
        <v>2.6141575412115445</v>
      </c>
      <c r="J86" s="221">
        <f t="shared" ca="1" si="46"/>
        <v>1483.3799999999999</v>
      </c>
      <c r="K86" s="94">
        <f t="shared" ca="1" si="47"/>
        <v>1480.4099999999999</v>
      </c>
      <c r="L86" s="94">
        <f t="shared" ca="1" si="42"/>
        <v>-2.9700000000000273</v>
      </c>
      <c r="M86" s="444">
        <f t="shared" ca="1" si="48"/>
        <v>-0.20021842009465057</v>
      </c>
      <c r="N86" s="57" t="s">
        <v>341</v>
      </c>
      <c r="O86" s="47" t="s">
        <v>19</v>
      </c>
      <c r="P86" s="101" t="s">
        <v>3</v>
      </c>
      <c r="Q86" s="101" t="s">
        <v>132</v>
      </c>
      <c r="R86" s="122" t="s">
        <v>303</v>
      </c>
      <c r="S86" s="164">
        <f>S33*S63</f>
        <v>-1043.94</v>
      </c>
      <c r="T86" s="38"/>
      <c r="U86" s="111"/>
    </row>
    <row r="87" spans="1:21" s="93" customFormat="1">
      <c r="A87" s="174" t="s">
        <v>137</v>
      </c>
      <c r="B87" s="174" t="s">
        <v>459</v>
      </c>
      <c r="C87" s="273">
        <v>50</v>
      </c>
      <c r="D87" s="94">
        <v>500</v>
      </c>
      <c r="E87" s="94">
        <f t="shared" si="43"/>
        <v>25000</v>
      </c>
      <c r="F87" s="94">
        <f t="shared" si="44"/>
        <v>2231.59</v>
      </c>
      <c r="G87" s="94">
        <f t="shared" ca="1" si="45"/>
        <v>2321.98</v>
      </c>
      <c r="H87" s="94">
        <f t="shared" ca="1" si="40"/>
        <v>90.389999999999873</v>
      </c>
      <c r="I87" s="444">
        <f t="shared" ca="1" si="41"/>
        <v>4.0504752217029054</v>
      </c>
      <c r="J87" s="221">
        <f t="shared" ca="1" si="46"/>
        <v>2321.98</v>
      </c>
      <c r="K87" s="94">
        <f t="shared" ca="1" si="47"/>
        <v>2317.21</v>
      </c>
      <c r="L87" s="94">
        <f t="shared" ca="1" si="42"/>
        <v>-4.7699999999999818</v>
      </c>
      <c r="M87" s="444">
        <f t="shared" ca="1" si="48"/>
        <v>-0.20542812599591651</v>
      </c>
      <c r="N87" s="57" t="s">
        <v>341</v>
      </c>
      <c r="O87" s="47" t="s">
        <v>19</v>
      </c>
      <c r="P87" s="101" t="s">
        <v>3</v>
      </c>
      <c r="Q87" s="101" t="s">
        <v>132</v>
      </c>
      <c r="R87" s="122" t="s">
        <v>294</v>
      </c>
      <c r="S87" s="164">
        <f>S34*S64</f>
        <v>-1129.99</v>
      </c>
      <c r="T87" s="38"/>
      <c r="U87" s="111"/>
    </row>
    <row r="88" spans="1:21" s="93" customFormat="1">
      <c r="A88" s="174" t="s">
        <v>137</v>
      </c>
      <c r="B88" s="174" t="s">
        <v>459</v>
      </c>
      <c r="C88" s="273">
        <v>50</v>
      </c>
      <c r="D88" s="94">
        <v>700</v>
      </c>
      <c r="E88" s="94">
        <f t="shared" si="43"/>
        <v>35000</v>
      </c>
      <c r="F88" s="94">
        <f t="shared" si="44"/>
        <v>3017.59</v>
      </c>
      <c r="G88" s="94">
        <f t="shared" ca="1" si="45"/>
        <v>3160.5800000000004</v>
      </c>
      <c r="H88" s="94">
        <f t="shared" ca="1" si="40"/>
        <v>142.99000000000024</v>
      </c>
      <c r="I88" s="444">
        <f t="shared" ca="1" si="41"/>
        <v>4.7385496372933442</v>
      </c>
      <c r="J88" s="221">
        <f t="shared" ca="1" si="46"/>
        <v>3160.5800000000004</v>
      </c>
      <c r="K88" s="94">
        <f t="shared" ca="1" si="47"/>
        <v>3154.01</v>
      </c>
      <c r="L88" s="94">
        <f t="shared" ca="1" si="42"/>
        <v>-6.5700000000001637</v>
      </c>
      <c r="M88" s="444">
        <f t="shared" ca="1" si="48"/>
        <v>-0.20787323845623787</v>
      </c>
      <c r="N88" s="57" t="s">
        <v>341</v>
      </c>
      <c r="O88" s="47" t="s">
        <v>19</v>
      </c>
      <c r="P88" s="101" t="s">
        <v>3</v>
      </c>
      <c r="Q88" s="101" t="s">
        <v>132</v>
      </c>
      <c r="R88" s="122" t="s">
        <v>304</v>
      </c>
      <c r="S88" s="164">
        <f>S35*S65</f>
        <v>7924</v>
      </c>
      <c r="T88" s="38"/>
      <c r="U88" s="111"/>
    </row>
    <row r="89" spans="1:21" s="93" customFormat="1">
      <c r="A89" s="174" t="s">
        <v>137</v>
      </c>
      <c r="B89" s="174" t="s">
        <v>459</v>
      </c>
      <c r="C89" s="273">
        <v>75</v>
      </c>
      <c r="D89" s="94">
        <v>300</v>
      </c>
      <c r="E89" s="94">
        <f t="shared" si="43"/>
        <v>22500</v>
      </c>
      <c r="F89" s="94">
        <f t="shared" si="44"/>
        <v>2156.34</v>
      </c>
      <c r="G89" s="94">
        <f t="shared" ca="1" si="45"/>
        <v>2235.83</v>
      </c>
      <c r="H89" s="94">
        <f t="shared" ca="1" si="40"/>
        <v>79.489999999999782</v>
      </c>
      <c r="I89" s="444">
        <f t="shared" ca="1" si="41"/>
        <v>3.6863388890434612</v>
      </c>
      <c r="J89" s="221">
        <f t="shared" ca="1" si="46"/>
        <v>2235.83</v>
      </c>
      <c r="K89" s="94">
        <f t="shared" ca="1" si="47"/>
        <v>2231.2600000000002</v>
      </c>
      <c r="L89" s="94">
        <f t="shared" ca="1" si="42"/>
        <v>-4.569999999999709</v>
      </c>
      <c r="M89" s="444">
        <f t="shared" ca="1" si="48"/>
        <v>-0.20439836660209898</v>
      </c>
      <c r="N89" s="103" t="s">
        <v>341</v>
      </c>
      <c r="O89" s="211" t="s">
        <v>19</v>
      </c>
      <c r="P89" s="105" t="s">
        <v>3</v>
      </c>
      <c r="Q89" s="105" t="s">
        <v>132</v>
      </c>
      <c r="R89" s="163" t="s">
        <v>105</v>
      </c>
      <c r="S89" s="165">
        <f>Unbilled!E6</f>
        <v>753527.61020262272</v>
      </c>
      <c r="T89" s="38"/>
      <c r="U89" s="111"/>
    </row>
    <row r="90" spans="1:21" s="93" customFormat="1">
      <c r="A90" s="174" t="s">
        <v>137</v>
      </c>
      <c r="B90" s="174" t="s">
        <v>459</v>
      </c>
      <c r="C90" s="273">
        <v>75</v>
      </c>
      <c r="D90" s="94">
        <v>500</v>
      </c>
      <c r="E90" s="94">
        <f t="shared" si="43"/>
        <v>37500</v>
      </c>
      <c r="F90" s="94">
        <f t="shared" si="44"/>
        <v>3335.34</v>
      </c>
      <c r="G90" s="94">
        <f t="shared" ca="1" si="45"/>
        <v>3493.7300000000005</v>
      </c>
      <c r="H90" s="94">
        <f t="shared" ca="1" si="40"/>
        <v>158.39000000000033</v>
      </c>
      <c r="I90" s="444">
        <f t="shared" ca="1" si="41"/>
        <v>4.748841197599055</v>
      </c>
      <c r="J90" s="221">
        <f t="shared" ca="1" si="46"/>
        <v>3493.7300000000005</v>
      </c>
      <c r="K90" s="94">
        <f t="shared" ca="1" si="47"/>
        <v>3486.46</v>
      </c>
      <c r="L90" s="94">
        <f t="shared" ca="1" si="42"/>
        <v>-7.2700000000004366</v>
      </c>
      <c r="M90" s="444">
        <f t="shared" ca="1" si="48"/>
        <v>-0.20808705881680714</v>
      </c>
      <c r="N90" s="98" t="s">
        <v>341</v>
      </c>
      <c r="O90" s="210" t="s">
        <v>19</v>
      </c>
      <c r="P90" s="99" t="s">
        <v>5</v>
      </c>
      <c r="Q90" s="99" t="s">
        <v>136</v>
      </c>
      <c r="R90" s="99" t="s">
        <v>271</v>
      </c>
      <c r="S90" s="167">
        <f>S36*S52</f>
        <v>20356.298666666666</v>
      </c>
      <c r="T90" s="38"/>
      <c r="U90" s="111"/>
    </row>
    <row r="91" spans="1:21" s="93" customFormat="1">
      <c r="A91" s="174" t="s">
        <v>137</v>
      </c>
      <c r="B91" s="174" t="s">
        <v>459</v>
      </c>
      <c r="C91" s="273">
        <v>75</v>
      </c>
      <c r="D91" s="94">
        <v>700</v>
      </c>
      <c r="E91" s="94">
        <f t="shared" si="43"/>
        <v>52500</v>
      </c>
      <c r="F91" s="94">
        <f t="shared" si="44"/>
        <v>4514.34</v>
      </c>
      <c r="G91" s="94">
        <f t="shared" ca="1" si="45"/>
        <v>4751.63</v>
      </c>
      <c r="H91" s="94">
        <f t="shared" ca="1" si="40"/>
        <v>237.28999999999996</v>
      </c>
      <c r="I91" s="444">
        <f t="shared" ca="1" si="41"/>
        <v>5.2563608412303893</v>
      </c>
      <c r="J91" s="221">
        <f t="shared" ca="1" si="46"/>
        <v>4751.63</v>
      </c>
      <c r="K91" s="94">
        <f t="shared" ca="1" si="47"/>
        <v>4741.6600000000008</v>
      </c>
      <c r="L91" s="94">
        <f t="shared" ca="1" si="42"/>
        <v>-9.9699999999993452</v>
      </c>
      <c r="M91" s="444">
        <f t="shared" ca="1" si="48"/>
        <v>-0.20982273451424766</v>
      </c>
      <c r="N91" s="57" t="s">
        <v>341</v>
      </c>
      <c r="O91" s="47" t="s">
        <v>19</v>
      </c>
      <c r="P91" s="101" t="s">
        <v>5</v>
      </c>
      <c r="Q91" s="101" t="s">
        <v>137</v>
      </c>
      <c r="R91" s="101" t="s">
        <v>271</v>
      </c>
      <c r="S91" s="164">
        <f>S37*S54</f>
        <v>41396.18</v>
      </c>
      <c r="T91" s="38"/>
      <c r="U91" s="111"/>
    </row>
    <row r="92" spans="1:21" s="93" customFormat="1">
      <c r="A92" s="174" t="s">
        <v>137</v>
      </c>
      <c r="B92" s="174" t="s">
        <v>459</v>
      </c>
      <c r="C92" s="273">
        <v>100</v>
      </c>
      <c r="D92" s="94">
        <v>300</v>
      </c>
      <c r="E92" s="94">
        <f t="shared" si="43"/>
        <v>30000</v>
      </c>
      <c r="F92" s="94">
        <f t="shared" si="44"/>
        <v>2867.09</v>
      </c>
      <c r="G92" s="94">
        <f t="shared" ca="1" si="45"/>
        <v>2988.28</v>
      </c>
      <c r="H92" s="94">
        <f t="shared" ca="1" si="40"/>
        <v>121.19000000000005</v>
      </c>
      <c r="I92" s="444">
        <f t="shared" ca="1" si="41"/>
        <v>4.2269339295243622</v>
      </c>
      <c r="J92" s="221">
        <f t="shared" ca="1" si="46"/>
        <v>2988.28</v>
      </c>
      <c r="K92" s="94">
        <f t="shared" ca="1" si="47"/>
        <v>2982.11</v>
      </c>
      <c r="L92" s="94">
        <f t="shared" ca="1" si="42"/>
        <v>-6.1700000000000728</v>
      </c>
      <c r="M92" s="444">
        <f t="shared" ca="1" si="48"/>
        <v>-0.20647328898229325</v>
      </c>
      <c r="N92" s="57" t="s">
        <v>341</v>
      </c>
      <c r="O92" s="47" t="s">
        <v>19</v>
      </c>
      <c r="P92" s="101" t="s">
        <v>5</v>
      </c>
      <c r="Q92" s="101" t="s">
        <v>137</v>
      </c>
      <c r="R92" s="101" t="s">
        <v>272</v>
      </c>
      <c r="S92" s="164">
        <f>S38*S55</f>
        <v>176.4</v>
      </c>
      <c r="T92" s="38"/>
      <c r="U92" s="111"/>
    </row>
    <row r="93" spans="1:21" s="93" customFormat="1">
      <c r="A93" s="174" t="s">
        <v>137</v>
      </c>
      <c r="B93" s="174" t="s">
        <v>459</v>
      </c>
      <c r="C93" s="273">
        <v>100</v>
      </c>
      <c r="D93" s="94">
        <v>500</v>
      </c>
      <c r="E93" s="94">
        <f t="shared" si="43"/>
        <v>50000</v>
      </c>
      <c r="F93" s="94">
        <f t="shared" si="44"/>
        <v>4439.09</v>
      </c>
      <c r="G93" s="94">
        <f t="shared" ca="1" si="45"/>
        <v>4665.4800000000005</v>
      </c>
      <c r="H93" s="94">
        <f t="shared" ca="1" si="40"/>
        <v>226.39000000000033</v>
      </c>
      <c r="I93" s="444">
        <f t="shared" ca="1" si="41"/>
        <v>5.0999191275689455</v>
      </c>
      <c r="J93" s="221">
        <f t="shared" ca="1" si="46"/>
        <v>4665.4800000000005</v>
      </c>
      <c r="K93" s="94">
        <f t="shared" ca="1" si="47"/>
        <v>4655.7100000000009</v>
      </c>
      <c r="L93" s="94">
        <f t="shared" ca="1" si="42"/>
        <v>-9.7699999999995271</v>
      </c>
      <c r="M93" s="444">
        <f t="shared" ca="1" si="48"/>
        <v>-0.20941039292847735</v>
      </c>
      <c r="N93" s="57" t="s">
        <v>341</v>
      </c>
      <c r="O93" s="47" t="s">
        <v>19</v>
      </c>
      <c r="P93" s="101" t="s">
        <v>5</v>
      </c>
      <c r="Q93" s="101" t="s">
        <v>132</v>
      </c>
      <c r="R93" s="101" t="s">
        <v>217</v>
      </c>
      <c r="S93" s="164">
        <f>S39*S56</f>
        <v>52588.87</v>
      </c>
      <c r="T93" s="38"/>
      <c r="U93" s="111"/>
    </row>
    <row r="94" spans="1:21" s="93" customFormat="1">
      <c r="A94" s="174" t="s">
        <v>137</v>
      </c>
      <c r="B94" s="174" t="s">
        <v>459</v>
      </c>
      <c r="C94" s="273">
        <v>100</v>
      </c>
      <c r="D94" s="94">
        <v>700</v>
      </c>
      <c r="E94" s="94">
        <f t="shared" si="43"/>
        <v>70000</v>
      </c>
      <c r="F94" s="94">
        <f t="shared" si="44"/>
        <v>6011.09</v>
      </c>
      <c r="G94" s="94">
        <f t="shared" ca="1" si="45"/>
        <v>6342.68</v>
      </c>
      <c r="H94" s="94">
        <f t="shared" ca="1" si="40"/>
        <v>331.59000000000015</v>
      </c>
      <c r="I94" s="444">
        <f t="shared" ca="1" si="41"/>
        <v>5.5163040313819982</v>
      </c>
      <c r="J94" s="221">
        <f t="shared" ca="1" si="46"/>
        <v>6342.68</v>
      </c>
      <c r="K94" s="94">
        <f t="shared" ca="1" si="47"/>
        <v>6329.3099999999995</v>
      </c>
      <c r="L94" s="94">
        <f t="shared" ca="1" si="42"/>
        <v>-13.3700000000008</v>
      </c>
      <c r="M94" s="444">
        <f t="shared" ca="1" si="48"/>
        <v>-0.21079417533283723</v>
      </c>
      <c r="N94" s="57" t="s">
        <v>341</v>
      </c>
      <c r="O94" s="47" t="s">
        <v>19</v>
      </c>
      <c r="P94" s="101" t="s">
        <v>5</v>
      </c>
      <c r="Q94" s="101" t="s">
        <v>132</v>
      </c>
      <c r="R94" s="101" t="s">
        <v>219</v>
      </c>
      <c r="S94" s="164">
        <f>S40*S57</f>
        <v>698.87635616438354</v>
      </c>
      <c r="T94" s="38"/>
      <c r="U94" s="111"/>
    </row>
    <row r="95" spans="1:21" s="93" customFormat="1">
      <c r="A95" s="344" t="s">
        <v>451</v>
      </c>
      <c r="B95" s="297"/>
      <c r="C95" s="297"/>
      <c r="D95" s="297"/>
      <c r="E95" s="297"/>
      <c r="F95" s="297"/>
      <c r="G95" s="297"/>
      <c r="H95" s="297"/>
      <c r="I95" s="457"/>
      <c r="J95" s="297"/>
      <c r="K95" s="297"/>
      <c r="L95" s="297"/>
      <c r="M95" s="457"/>
      <c r="N95" s="57" t="s">
        <v>341</v>
      </c>
      <c r="O95" s="47" t="s">
        <v>19</v>
      </c>
      <c r="P95" s="101" t="s">
        <v>5</v>
      </c>
      <c r="Q95" s="101" t="s">
        <v>132</v>
      </c>
      <c r="R95" s="101" t="s">
        <v>139</v>
      </c>
      <c r="S95" s="164">
        <f>S41*S58</f>
        <v>125179.59</v>
      </c>
      <c r="T95" s="38"/>
      <c r="U95" s="111"/>
    </row>
    <row r="96" spans="1:21" s="93" customFormat="1">
      <c r="A96" s="335" t="s">
        <v>452</v>
      </c>
      <c r="B96" s="96"/>
      <c r="C96" s="96"/>
      <c r="D96" s="96"/>
      <c r="E96" s="96"/>
      <c r="F96" s="96"/>
      <c r="G96" s="96"/>
      <c r="H96" s="96"/>
      <c r="I96" s="458"/>
      <c r="J96" s="96"/>
      <c r="K96" s="96"/>
      <c r="L96" s="96"/>
      <c r="M96" s="458"/>
      <c r="N96" s="57" t="s">
        <v>341</v>
      </c>
      <c r="O96" s="47" t="s">
        <v>19</v>
      </c>
      <c r="P96" s="101" t="s">
        <v>5</v>
      </c>
      <c r="Q96" s="101" t="s">
        <v>132</v>
      </c>
      <c r="R96" s="101" t="s">
        <v>134</v>
      </c>
      <c r="S96" s="164">
        <f>(S42+S43)*S59</f>
        <v>349666.46675750561</v>
      </c>
      <c r="T96" s="38"/>
      <c r="U96" s="111"/>
    </row>
    <row r="97" spans="1:25" s="93" customFormat="1">
      <c r="A97" s="284" t="s">
        <v>457</v>
      </c>
      <c r="B97" s="298"/>
      <c r="C97" s="298"/>
      <c r="D97" s="298"/>
      <c r="E97" s="298"/>
      <c r="F97" s="298"/>
      <c r="G97" s="298"/>
      <c r="H97" s="298"/>
      <c r="I97" s="459"/>
      <c r="J97" s="298"/>
      <c r="K97" s="298"/>
      <c r="L97" s="298"/>
      <c r="M97" s="459"/>
      <c r="N97" s="57" t="s">
        <v>341</v>
      </c>
      <c r="O97" s="47" t="s">
        <v>19</v>
      </c>
      <c r="P97" s="101" t="s">
        <v>5</v>
      </c>
      <c r="Q97" s="101" t="s">
        <v>132</v>
      </c>
      <c r="R97" s="101" t="s">
        <v>135</v>
      </c>
      <c r="S97" s="164">
        <f>(S44+S45)*S60</f>
        <v>728944.62783588108</v>
      </c>
      <c r="T97" s="38"/>
      <c r="U97" s="111"/>
    </row>
    <row r="98" spans="1:25" s="93" customFormat="1">
      <c r="A98" s="294" t="s">
        <v>137</v>
      </c>
      <c r="B98" s="294" t="s">
        <v>460</v>
      </c>
      <c r="C98" s="255">
        <v>15</v>
      </c>
      <c r="D98" s="214">
        <v>300</v>
      </c>
      <c r="E98" s="214">
        <f>C98*D98</f>
        <v>4500</v>
      </c>
      <c r="F98" s="214">
        <f>SUMIFS(S$52:S$55,Q$52:Q$55,A98,R$52:R$55,"Bill")+(S$56+S$58)*(C98-15)+S$59*1000+IF(E98&lt;=9000,S$60*(E98-1000),S$60*8000+S$61*(E98-9000))</f>
        <v>427.09499999999997</v>
      </c>
      <c r="G98" s="214">
        <f ca="1">SUMIFS(S$115:S$118,Q$115:Q$118,A98,R$115:R$118,"Bill")+(S$119+S$121)*(C98-15)+IF(B98="Summer",S$122,IF(B98="Winter",S$123,AF$123))*1000+IF(B98="Summer",S$124,IF(B98="Winter",S$125,AF$125))*(E98-1000)</f>
        <v>429.96255571052023</v>
      </c>
      <c r="H98" s="214">
        <f t="shared" ref="H98:H112" ca="1" si="49">G98-F98</f>
        <v>2.8675557105202643</v>
      </c>
      <c r="I98" s="448">
        <f t="shared" ref="I98:I112" ca="1" si="50">H98/F98*100</f>
        <v>0.67140933762283905</v>
      </c>
      <c r="J98" s="221">
        <f ca="1">G98</f>
        <v>429.96255571052023</v>
      </c>
      <c r="K98" s="94">
        <f ca="1">SUMIFS(S$192:S$195,Q$192:Q$195,A98,R$192:R$195,"Bill")+(S$196+S$198)*(C98-15)+IF(B98="Summer",S$199,IF(B98="Winter",S$200,AF$200))*1000+IF(B98="Summer",S$201,IF(B98="Winter",S$202,AF$202))*(E98-1000)</f>
        <v>429.2319368936719</v>
      </c>
      <c r="L98" s="94">
        <f t="shared" ref="L98:L112" ca="1" si="51">K98-J98</f>
        <v>-0.73061881684833452</v>
      </c>
      <c r="M98" s="444">
        <f t="shared" ref="M98:M112" ca="1" si="52">L98/J98*100</f>
        <v>-0.1699261498808832</v>
      </c>
      <c r="N98" s="57" t="s">
        <v>341</v>
      </c>
      <c r="O98" s="47" t="s">
        <v>19</v>
      </c>
      <c r="P98" s="101" t="s">
        <v>5</v>
      </c>
      <c r="Q98" s="101" t="s">
        <v>132</v>
      </c>
      <c r="R98" s="101" t="s">
        <v>218</v>
      </c>
      <c r="S98" s="164">
        <f>(S46+S47)*S61</f>
        <v>272568.06219331891</v>
      </c>
      <c r="T98" s="38"/>
      <c r="U98" s="111"/>
      <c r="V98" s="278"/>
      <c r="W98" s="288"/>
      <c r="X98" s="288"/>
      <c r="Y98" s="288"/>
    </row>
    <row r="99" spans="1:25" s="93" customFormat="1">
      <c r="A99" s="174" t="s">
        <v>137</v>
      </c>
      <c r="B99" s="174" t="s">
        <v>460</v>
      </c>
      <c r="C99" s="273">
        <v>15</v>
      </c>
      <c r="D99" s="94">
        <v>500</v>
      </c>
      <c r="E99" s="94">
        <f t="shared" ref="E99:E112" si="53">C99*D99</f>
        <v>7500</v>
      </c>
      <c r="F99" s="94">
        <f t="shared" ref="F99:F112" si="54">SUMIFS(S$52:S$55,Q$52:Q$55,A99,R$52:R$55,"Bill")+(S$56+S$58)*(C99-15)+S$59*1000+IF(E99&lt;=9000,S$60*(E99-1000),S$60*8000+S$61*(E99-9000))</f>
        <v>678.52499999999998</v>
      </c>
      <c r="G99" s="94">
        <f t="shared" ref="G99:G112" ca="1" si="55">SUMIFS(S$115:S$118,Q$115:Q$118,A99,R$115:R$118,"Bill")+(S$119+S$121)*(C99-15)+IF(B99="Summer",S$122,IF(B99="Winter",S$123,AF$123))*1000+IF(B99="Summer",S$124,IF(B99="Winter",S$125,AF$125))*(E99-1000)</f>
        <v>681.5504397058437</v>
      </c>
      <c r="H99" s="94">
        <f t="shared" ca="1" si="49"/>
        <v>3.0254397058437235</v>
      </c>
      <c r="I99" s="444">
        <f t="shared" ca="1" si="50"/>
        <v>0.44588478034615137</v>
      </c>
      <c r="J99" s="221">
        <f t="shared" ref="J99:J112" ca="1" si="56">G99</f>
        <v>681.5504397058437</v>
      </c>
      <c r="K99" s="94">
        <f t="shared" ref="K99:K112" ca="1" si="57">SUMIFS(S$192:S$195,Q$192:Q$195,A99,R$192:R$195,"Bill")+(S$196+S$198)*(C99-15)+IF(B99="Summer",S$199,IF(B99="Winter",S$200,AF$200))*1000+IF(B99="Summer",S$201,IF(B99="Winter",S$202,AF$202))*(E99-1000)</f>
        <v>680.27934505653309</v>
      </c>
      <c r="L99" s="94">
        <f t="shared" ca="1" si="51"/>
        <v>-1.2710946493106121</v>
      </c>
      <c r="M99" s="444">
        <f t="shared" ca="1" si="52"/>
        <v>-0.18650045180210212</v>
      </c>
      <c r="N99" s="57" t="s">
        <v>341</v>
      </c>
      <c r="O99" s="47" t="s">
        <v>19</v>
      </c>
      <c r="P99" s="101" t="s">
        <v>5</v>
      </c>
      <c r="Q99" s="101" t="s">
        <v>132</v>
      </c>
      <c r="R99" s="101" t="s">
        <v>138</v>
      </c>
      <c r="S99" s="164">
        <f>S48*S62</f>
        <v>8380.4699999999993</v>
      </c>
      <c r="T99" s="38"/>
      <c r="U99" s="111"/>
      <c r="V99" s="278"/>
      <c r="W99" s="288"/>
      <c r="X99" s="96"/>
      <c r="Y99" s="96"/>
    </row>
    <row r="100" spans="1:25" s="93" customFormat="1">
      <c r="A100" s="174" t="s">
        <v>137</v>
      </c>
      <c r="B100" s="174" t="s">
        <v>460</v>
      </c>
      <c r="C100" s="273">
        <v>15</v>
      </c>
      <c r="D100" s="94">
        <v>700</v>
      </c>
      <c r="E100" s="94">
        <f t="shared" si="53"/>
        <v>10500</v>
      </c>
      <c r="F100" s="94">
        <f t="shared" si="54"/>
        <v>922.14</v>
      </c>
      <c r="G100" s="94">
        <f t="shared" ca="1" si="55"/>
        <v>933.13832370116711</v>
      </c>
      <c r="H100" s="94">
        <f t="shared" ca="1" si="49"/>
        <v>10.998323701167124</v>
      </c>
      <c r="I100" s="444">
        <f t="shared" ca="1" si="50"/>
        <v>1.1926956537149591</v>
      </c>
      <c r="J100" s="221">
        <f t="shared" ca="1" si="56"/>
        <v>933.13832370116711</v>
      </c>
      <c r="K100" s="94">
        <f t="shared" ca="1" si="57"/>
        <v>931.32675321939439</v>
      </c>
      <c r="L100" s="94">
        <f t="shared" ca="1" si="51"/>
        <v>-1.8115704817727192</v>
      </c>
      <c r="M100" s="444">
        <f t="shared" ca="1" si="52"/>
        <v>-0.19413740018600559</v>
      </c>
      <c r="N100" s="57" t="s">
        <v>341</v>
      </c>
      <c r="O100" s="47" t="s">
        <v>19</v>
      </c>
      <c r="P100" s="101" t="s">
        <v>5</v>
      </c>
      <c r="Q100" s="101" t="s">
        <v>132</v>
      </c>
      <c r="R100" s="122" t="s">
        <v>303</v>
      </c>
      <c r="S100" s="164">
        <f>S49*S63</f>
        <v>-119.42</v>
      </c>
      <c r="T100" s="38"/>
      <c r="W100" s="380"/>
      <c r="X100" s="115"/>
      <c r="Y100" s="111"/>
    </row>
    <row r="101" spans="1:25" s="93" customFormat="1">
      <c r="A101" s="174" t="s">
        <v>137</v>
      </c>
      <c r="B101" s="174" t="s">
        <v>460</v>
      </c>
      <c r="C101" s="273">
        <v>25</v>
      </c>
      <c r="D101" s="94">
        <v>300</v>
      </c>
      <c r="E101" s="94">
        <f t="shared" si="53"/>
        <v>7500</v>
      </c>
      <c r="F101" s="94">
        <f t="shared" si="54"/>
        <v>727.02499999999998</v>
      </c>
      <c r="G101" s="94">
        <f t="shared" ca="1" si="55"/>
        <v>730.95043970584356</v>
      </c>
      <c r="H101" s="94">
        <f t="shared" ca="1" si="49"/>
        <v>3.925439705843587</v>
      </c>
      <c r="I101" s="444">
        <f t="shared" ca="1" si="50"/>
        <v>0.53993187384802266</v>
      </c>
      <c r="J101" s="221">
        <f t="shared" ca="1" si="56"/>
        <v>730.95043970584356</v>
      </c>
      <c r="K101" s="94">
        <f t="shared" ca="1" si="57"/>
        <v>729.57934505653316</v>
      </c>
      <c r="L101" s="94">
        <f t="shared" ca="1" si="51"/>
        <v>-1.3710946493104075</v>
      </c>
      <c r="M101" s="444">
        <f t="shared" ca="1" si="52"/>
        <v>-0.1875769648434957</v>
      </c>
      <c r="N101" s="57" t="s">
        <v>341</v>
      </c>
      <c r="O101" s="47" t="s">
        <v>19</v>
      </c>
      <c r="P101" s="101" t="s">
        <v>5</v>
      </c>
      <c r="Q101" s="101" t="s">
        <v>132</v>
      </c>
      <c r="R101" s="122" t="s">
        <v>294</v>
      </c>
      <c r="S101" s="164">
        <f>S50*S64</f>
        <v>-146.76</v>
      </c>
      <c r="T101" s="38"/>
      <c r="W101" s="1"/>
      <c r="X101" s="96"/>
      <c r="Y101" s="96"/>
    </row>
    <row r="102" spans="1:25" s="93" customFormat="1">
      <c r="A102" s="174" t="s">
        <v>137</v>
      </c>
      <c r="B102" s="174" t="s">
        <v>460</v>
      </c>
      <c r="C102" s="273">
        <v>25</v>
      </c>
      <c r="D102" s="94">
        <v>500</v>
      </c>
      <c r="E102" s="94">
        <f t="shared" si="53"/>
        <v>12500</v>
      </c>
      <c r="F102" s="94">
        <f t="shared" si="54"/>
        <v>1127.8400000000001</v>
      </c>
      <c r="G102" s="94">
        <f t="shared" ca="1" si="55"/>
        <v>1150.2635796980494</v>
      </c>
      <c r="H102" s="94">
        <f t="shared" ca="1" si="49"/>
        <v>22.423579698049252</v>
      </c>
      <c r="I102" s="444">
        <f t="shared" ca="1" si="50"/>
        <v>1.9881880140843782</v>
      </c>
      <c r="J102" s="221">
        <f t="shared" ca="1" si="56"/>
        <v>1150.2635796980494</v>
      </c>
      <c r="K102" s="94">
        <f t="shared" ca="1" si="57"/>
        <v>1147.9916919946352</v>
      </c>
      <c r="L102" s="94">
        <f t="shared" ca="1" si="51"/>
        <v>-2.2718877034142224</v>
      </c>
      <c r="M102" s="444">
        <f t="shared" ca="1" si="52"/>
        <v>-0.19751018318867453</v>
      </c>
      <c r="N102" s="57" t="s">
        <v>341</v>
      </c>
      <c r="O102" s="47" t="s">
        <v>19</v>
      </c>
      <c r="P102" s="101" t="s">
        <v>5</v>
      </c>
      <c r="Q102" s="101" t="s">
        <v>132</v>
      </c>
      <c r="R102" s="122" t="s">
        <v>304</v>
      </c>
      <c r="S102" s="164">
        <f>S51*S65</f>
        <v>1556</v>
      </c>
      <c r="T102" s="38"/>
    </row>
    <row r="103" spans="1:25" s="93" customFormat="1">
      <c r="A103" s="174" t="s">
        <v>137</v>
      </c>
      <c r="B103" s="174" t="s">
        <v>460</v>
      </c>
      <c r="C103" s="273">
        <v>25</v>
      </c>
      <c r="D103" s="94">
        <v>700</v>
      </c>
      <c r="E103" s="94">
        <f t="shared" si="53"/>
        <v>17500</v>
      </c>
      <c r="F103" s="94">
        <f t="shared" si="54"/>
        <v>1520.84</v>
      </c>
      <c r="G103" s="94">
        <f t="shared" ca="1" si="55"/>
        <v>1569.5767196902552</v>
      </c>
      <c r="H103" s="94">
        <f t="shared" ca="1" si="49"/>
        <v>48.736719690255313</v>
      </c>
      <c r="I103" s="444">
        <f t="shared" ca="1" si="50"/>
        <v>3.2045921786812102</v>
      </c>
      <c r="J103" s="221">
        <f t="shared" ca="1" si="56"/>
        <v>1569.5767196902552</v>
      </c>
      <c r="K103" s="94">
        <f t="shared" ca="1" si="57"/>
        <v>1566.4040389327374</v>
      </c>
      <c r="L103" s="94">
        <f t="shared" ca="1" si="51"/>
        <v>-3.17268075751781</v>
      </c>
      <c r="M103" s="444">
        <f t="shared" ca="1" si="52"/>
        <v>-0.20213607386734916</v>
      </c>
      <c r="N103" s="103" t="s">
        <v>341</v>
      </c>
      <c r="O103" s="211" t="s">
        <v>19</v>
      </c>
      <c r="P103" s="105" t="s">
        <v>5</v>
      </c>
      <c r="Q103" s="105" t="s">
        <v>132</v>
      </c>
      <c r="R103" s="163" t="s">
        <v>105</v>
      </c>
      <c r="S103" s="165">
        <f>Unbilled!E7</f>
        <v>30849.452456491777</v>
      </c>
      <c r="T103" s="38"/>
    </row>
    <row r="104" spans="1:25">
      <c r="A104" s="174" t="s">
        <v>137</v>
      </c>
      <c r="B104" s="174" t="s">
        <v>460</v>
      </c>
      <c r="C104" s="273">
        <v>50</v>
      </c>
      <c r="D104" s="94">
        <v>300</v>
      </c>
      <c r="E104" s="94">
        <f t="shared" si="53"/>
        <v>15000</v>
      </c>
      <c r="F104" s="94">
        <f t="shared" si="54"/>
        <v>1445.59</v>
      </c>
      <c r="G104" s="94">
        <f t="shared" ca="1" si="55"/>
        <v>1483.4201496941523</v>
      </c>
      <c r="H104" s="94">
        <f t="shared" ca="1" si="49"/>
        <v>37.830149694152396</v>
      </c>
      <c r="I104" s="444">
        <f t="shared" ca="1" si="50"/>
        <v>2.6169349327369722</v>
      </c>
      <c r="J104" s="221">
        <f t="shared" ca="1" si="56"/>
        <v>1483.4201496941523</v>
      </c>
      <c r="K104" s="94">
        <f t="shared" ca="1" si="57"/>
        <v>1480.4478654636864</v>
      </c>
      <c r="L104" s="94">
        <f t="shared" ca="1" si="51"/>
        <v>-2.9722842304659025</v>
      </c>
      <c r="M104" s="444">
        <f t="shared" ca="1" si="52"/>
        <v>-0.20036698511063911</v>
      </c>
      <c r="N104" s="255" t="s">
        <v>470</v>
      </c>
      <c r="O104" s="210" t="s">
        <v>19</v>
      </c>
      <c r="P104" s="166" t="s">
        <v>132</v>
      </c>
      <c r="Q104" s="166" t="s">
        <v>132</v>
      </c>
      <c r="R104" s="166" t="s">
        <v>132</v>
      </c>
      <c r="S104" s="167">
        <f ca="1">'Cost of Service and Proposed $'!M123</f>
        <v>3104936.9828623575</v>
      </c>
      <c r="U104" s="38"/>
    </row>
    <row r="105" spans="1:25">
      <c r="A105" s="174" t="s">
        <v>137</v>
      </c>
      <c r="B105" s="174" t="s">
        <v>460</v>
      </c>
      <c r="C105" s="273">
        <v>50</v>
      </c>
      <c r="D105" s="94">
        <v>500</v>
      </c>
      <c r="E105" s="94">
        <f t="shared" si="53"/>
        <v>25000</v>
      </c>
      <c r="F105" s="94">
        <f t="shared" si="54"/>
        <v>2231.59</v>
      </c>
      <c r="G105" s="94">
        <f t="shared" ca="1" si="55"/>
        <v>2322.0464296785635</v>
      </c>
      <c r="H105" s="94">
        <f t="shared" ca="1" si="49"/>
        <v>90.456429678563381</v>
      </c>
      <c r="I105" s="444">
        <f t="shared" ca="1" si="50"/>
        <v>4.0534520085931272</v>
      </c>
      <c r="J105" s="221">
        <f t="shared" ca="1" si="56"/>
        <v>2322.0464296785635</v>
      </c>
      <c r="K105" s="94">
        <f t="shared" ca="1" si="57"/>
        <v>2317.2725593398904</v>
      </c>
      <c r="L105" s="94">
        <f t="shared" ca="1" si="51"/>
        <v>-4.7738703386730776</v>
      </c>
      <c r="M105" s="444">
        <f t="shared" ca="1" si="52"/>
        <v>-0.20558892697653403</v>
      </c>
      <c r="N105" s="256" t="s">
        <v>555</v>
      </c>
      <c r="O105" s="211" t="s">
        <v>19</v>
      </c>
      <c r="P105" s="163" t="s">
        <v>132</v>
      </c>
      <c r="Q105" s="163" t="s">
        <v>132</v>
      </c>
      <c r="R105" s="163" t="s">
        <v>132</v>
      </c>
      <c r="S105" s="165">
        <f ca="1">'Cost of Service and Proposed $'!M128-'Cost of Service and Proposed $'!M123</f>
        <v>52554520.435717799</v>
      </c>
      <c r="U105" s="38"/>
    </row>
    <row r="106" spans="1:25">
      <c r="A106" s="174" t="s">
        <v>137</v>
      </c>
      <c r="B106" s="174" t="s">
        <v>460</v>
      </c>
      <c r="C106" s="273">
        <v>50</v>
      </c>
      <c r="D106" s="94">
        <v>700</v>
      </c>
      <c r="E106" s="94">
        <f t="shared" si="53"/>
        <v>35000</v>
      </c>
      <c r="F106" s="94">
        <f t="shared" si="54"/>
        <v>3017.59</v>
      </c>
      <c r="G106" s="94">
        <f t="shared" ca="1" si="55"/>
        <v>3160.6727096629752</v>
      </c>
      <c r="H106" s="94">
        <f t="shared" ca="1" si="49"/>
        <v>143.08270966297505</v>
      </c>
      <c r="I106" s="444">
        <f t="shared" ca="1" si="50"/>
        <v>4.7416219454258206</v>
      </c>
      <c r="J106" s="221">
        <f t="shared" ca="1" si="56"/>
        <v>3160.6727096629752</v>
      </c>
      <c r="K106" s="94">
        <f t="shared" ca="1" si="57"/>
        <v>3154.0972532160945</v>
      </c>
      <c r="L106" s="94">
        <f t="shared" ca="1" si="51"/>
        <v>-6.5754564468807075</v>
      </c>
      <c r="M106" s="444">
        <f t="shared" ca="1" si="52"/>
        <v>-0.20803977668354826</v>
      </c>
      <c r="N106" s="274" t="s">
        <v>468</v>
      </c>
      <c r="O106" s="277" t="s">
        <v>19</v>
      </c>
      <c r="P106" s="166" t="s">
        <v>132</v>
      </c>
      <c r="Q106" s="166" t="s">
        <v>132</v>
      </c>
      <c r="R106" s="166" t="s">
        <v>271</v>
      </c>
      <c r="S106" s="167">
        <f t="shared" ref="S106:S114" ca="1" si="58">(T106*(U106-V106)+V106*100)/100</f>
        <v>2726730.62847905</v>
      </c>
      <c r="T106" s="508">
        <v>10</v>
      </c>
      <c r="U106" s="111">
        <f ca="1">S104*(1-SUM(U110:U114)/SUM(S104:S105))</f>
        <v>3051619.1383097325</v>
      </c>
      <c r="V106" s="93" cm="1">
        <f t="array" aca="1" ref="V106" ca="1">SUM(SUMIFS(S$66:S$103,R$66:R$103,{"Bill","Annual Bill"}))/SUM(SUMIFS(S$66:S$103,R$66:R$103,{"Bill","Annual Bill","Load Size kW","Annual Load Size kW","kW","kWh*"}))*(SUM(S104:S105)-SUM(V110:V114))</f>
        <v>2690631.9051645296</v>
      </c>
      <c r="W106" s="93"/>
    </row>
    <row r="107" spans="1:25">
      <c r="A107" s="174" t="s">
        <v>137</v>
      </c>
      <c r="B107" s="174" t="s">
        <v>460</v>
      </c>
      <c r="C107" s="273">
        <v>75</v>
      </c>
      <c r="D107" s="94">
        <v>300</v>
      </c>
      <c r="E107" s="94">
        <f t="shared" si="53"/>
        <v>22500</v>
      </c>
      <c r="F107" s="94">
        <f t="shared" si="54"/>
        <v>2156.34</v>
      </c>
      <c r="G107" s="94">
        <f t="shared" ca="1" si="55"/>
        <v>2235.8898596824606</v>
      </c>
      <c r="H107" s="94">
        <f t="shared" ca="1" si="49"/>
        <v>79.549859682460465</v>
      </c>
      <c r="I107" s="444">
        <f t="shared" ca="1" si="50"/>
        <v>3.689114874391815</v>
      </c>
      <c r="J107" s="221">
        <f t="shared" ca="1" si="56"/>
        <v>2235.8898596824606</v>
      </c>
      <c r="K107" s="94">
        <f t="shared" ca="1" si="57"/>
        <v>2231.3163858708394</v>
      </c>
      <c r="L107" s="94">
        <f t="shared" ca="1" si="51"/>
        <v>-4.5734738116211702</v>
      </c>
      <c r="M107" s="444">
        <f t="shared" ca="1" si="52"/>
        <v>-0.20454826036335672</v>
      </c>
      <c r="N107" s="275" t="s">
        <v>468</v>
      </c>
      <c r="O107" s="248" t="s">
        <v>19</v>
      </c>
      <c r="P107" s="162" t="s">
        <v>132</v>
      </c>
      <c r="Q107" s="162" t="s">
        <v>132</v>
      </c>
      <c r="R107" s="162" t="s">
        <v>217</v>
      </c>
      <c r="S107" s="164">
        <f t="shared" ca="1" si="58"/>
        <v>1284799.4276942862</v>
      </c>
      <c r="T107" s="279">
        <f>T$106</f>
        <v>10</v>
      </c>
      <c r="U107" s="111" cm="1">
        <f t="array" aca="1" ref="U107" ca="1">S105*SUM(SUMIFS(S$66:S$103,R$66:R$103,{"Load Size kW","Annual Load Size kW"}))/SUM(SUMIFS(S$66:S$103,R$66:R$103,{"Load Size kW","Annual Load Size kW","kW","kWh*"}))*(1-SUM(U110:U114)/SUM(S104:S105))</f>
        <v>1276768.6253514728</v>
      </c>
      <c r="V107" s="93" cm="1">
        <f t="array" aca="1" ref="V107" ca="1">SUM(SUMIFS(S$66:S$103,R$66:R$103,{"Load Size kW","Annual Load Size kW"}))/SUM(SUMIFS(S$66:S$103,R$66:R$103,{"Bill","Annual Bill","Load Size kW","Annual Load Size kW","kW","kWh*"}))*(SUM(S104:S105)-SUM(V110:V114))</f>
        <v>1285691.73906571</v>
      </c>
    </row>
    <row r="108" spans="1:25">
      <c r="A108" s="174" t="s">
        <v>137</v>
      </c>
      <c r="B108" s="174" t="s">
        <v>460</v>
      </c>
      <c r="C108" s="273">
        <v>75</v>
      </c>
      <c r="D108" s="94">
        <v>500</v>
      </c>
      <c r="E108" s="94">
        <f t="shared" si="53"/>
        <v>37500</v>
      </c>
      <c r="F108" s="94">
        <f t="shared" si="54"/>
        <v>3335.34</v>
      </c>
      <c r="G108" s="94">
        <f t="shared" ca="1" si="55"/>
        <v>3493.8292796590781</v>
      </c>
      <c r="H108" s="94">
        <f t="shared" ca="1" si="49"/>
        <v>158.48927965907797</v>
      </c>
      <c r="I108" s="444">
        <f t="shared" ca="1" si="50"/>
        <v>4.7518177954594725</v>
      </c>
      <c r="J108" s="221">
        <f t="shared" ca="1" si="56"/>
        <v>3493.8292796590781</v>
      </c>
      <c r="K108" s="94">
        <f t="shared" ca="1" si="57"/>
        <v>3486.5534266851455</v>
      </c>
      <c r="L108" s="94">
        <f t="shared" ca="1" si="51"/>
        <v>-7.275852973932615</v>
      </c>
      <c r="M108" s="444">
        <f t="shared" ca="1" si="52"/>
        <v>-0.20824866905467632</v>
      </c>
      <c r="N108" s="275" t="s">
        <v>468</v>
      </c>
      <c r="O108" s="248" t="s">
        <v>19</v>
      </c>
      <c r="P108" s="162" t="s">
        <v>132</v>
      </c>
      <c r="Q108" s="162" t="s">
        <v>132</v>
      </c>
      <c r="R108" s="162" t="s">
        <v>139</v>
      </c>
      <c r="S108" s="164">
        <f t="shared" ca="1" si="58"/>
        <v>2783985.4973972803</v>
      </c>
      <c r="T108" s="279">
        <f t="shared" ref="T108:T114" si="59">T$106</f>
        <v>10</v>
      </c>
      <c r="U108" s="111" cm="1">
        <f t="array" aca="1" ref="U108" ca="1">S105*SUM(SUMIFS(S$66:S$103,R$66:R$103,{"kW"}))/SUM(SUMIFS(S$66:S$103,R$66:R$103,{"Load Size kW","Annual Load Size kW","kW","kWh*"}))*(1-SUM(U110:U114)/SUM(S104:S105))</f>
        <v>2766583.8417201922</v>
      </c>
      <c r="V108" s="93" cm="1">
        <f t="array" aca="1" ref="V108" ca="1">SUM(SUMIFS(S$66:S$103,R$66:R$103,{"kW"}))/SUM(SUMIFS(S$66:S$103,R$66:R$103,{"Bill","Annual Bill","Load Size kW","Annual Load Size kW","kW","kWh*"}))*(SUM(S104:S105)-SUM(V110:V114))</f>
        <v>2785919.0146947349</v>
      </c>
    </row>
    <row r="109" spans="1:25">
      <c r="A109" s="174" t="s">
        <v>137</v>
      </c>
      <c r="B109" s="174" t="s">
        <v>460</v>
      </c>
      <c r="C109" s="273">
        <v>75</v>
      </c>
      <c r="D109" s="94">
        <v>700</v>
      </c>
      <c r="E109" s="94">
        <f t="shared" si="53"/>
        <v>52500</v>
      </c>
      <c r="F109" s="94">
        <f t="shared" si="54"/>
        <v>4514.34</v>
      </c>
      <c r="G109" s="94">
        <f t="shared" ca="1" si="55"/>
        <v>4751.7686996356952</v>
      </c>
      <c r="H109" s="94">
        <f t="shared" ca="1" si="49"/>
        <v>237.42869963569501</v>
      </c>
      <c r="I109" s="444">
        <f t="shared" ca="1" si="50"/>
        <v>5.2594332645679103</v>
      </c>
      <c r="J109" s="221">
        <f t="shared" ca="1" si="56"/>
        <v>4751.7686996356952</v>
      </c>
      <c r="K109" s="94">
        <f t="shared" ca="1" si="57"/>
        <v>4741.7904674994516</v>
      </c>
      <c r="L109" s="94">
        <f t="shared" ca="1" si="51"/>
        <v>-9.9782321362436051</v>
      </c>
      <c r="M109" s="444">
        <f t="shared" ca="1" si="52"/>
        <v>-0.20998985360984865</v>
      </c>
      <c r="N109" s="275" t="s">
        <v>468</v>
      </c>
      <c r="O109" s="248" t="s">
        <v>19</v>
      </c>
      <c r="P109" s="162" t="s">
        <v>132</v>
      </c>
      <c r="Q109" s="162" t="s">
        <v>132</v>
      </c>
      <c r="R109" s="162" t="s">
        <v>4</v>
      </c>
      <c r="S109" s="164">
        <f t="shared" ca="1" si="58"/>
        <v>47908160.052075125</v>
      </c>
      <c r="T109" s="279">
        <f t="shared" si="59"/>
        <v>10</v>
      </c>
      <c r="U109" s="111" cm="1">
        <f t="array" aca="1" ref="U109" ca="1">S105*SUM(SUMIFS(S$66:S$103,R$66:R$103,{"kWh*"}))/SUM(SUMIFS(S$66:S$103,R$66:R$103,{"Load Size kW","Annual Load Size kW","kW","kWh*"}))*(1-SUM(U110:U114)/SUM(S104:S105))</f>
        <v>47608704.000264339</v>
      </c>
      <c r="V109" s="93" cm="1">
        <f t="array" aca="1" ref="V109" ca="1">SUM(SUMIFS(S$66:S$103,R$66:R$103,{"kWh*"}))/SUM(SUMIFS(S$66:S$103,R$66:R$103,{"Bill","Annual Bill","Load Size kW","Annual Load Size kW","kW","kWh*"}))*(SUM(S104:S105)-SUM(V110:V114))</f>
        <v>47941432.946720771</v>
      </c>
      <c r="W109" s="289"/>
      <c r="X109" s="350"/>
    </row>
    <row r="110" spans="1:25">
      <c r="A110" s="174" t="s">
        <v>137</v>
      </c>
      <c r="B110" s="174" t="s">
        <v>460</v>
      </c>
      <c r="C110" s="273">
        <v>100</v>
      </c>
      <c r="D110" s="94">
        <v>300</v>
      </c>
      <c r="E110" s="94">
        <f t="shared" si="53"/>
        <v>30000</v>
      </c>
      <c r="F110" s="94">
        <f t="shared" si="54"/>
        <v>2867.09</v>
      </c>
      <c r="G110" s="94">
        <f t="shared" ca="1" si="55"/>
        <v>2988.3595696707694</v>
      </c>
      <c r="H110" s="94">
        <f t="shared" ca="1" si="49"/>
        <v>121.26956967076922</v>
      </c>
      <c r="I110" s="444">
        <f t="shared" ca="1" si="50"/>
        <v>4.2297092058766621</v>
      </c>
      <c r="J110" s="221">
        <f t="shared" ca="1" si="56"/>
        <v>2988.3595696707694</v>
      </c>
      <c r="K110" s="94">
        <f t="shared" ca="1" si="57"/>
        <v>2982.1849062779925</v>
      </c>
      <c r="L110" s="94">
        <f t="shared" ca="1" si="51"/>
        <v>-6.1746633927768926</v>
      </c>
      <c r="M110" s="444">
        <f t="shared" ca="1" si="52"/>
        <v>-0.20662384324310618</v>
      </c>
      <c r="N110" s="275" t="s">
        <v>468</v>
      </c>
      <c r="O110" s="248" t="s">
        <v>19</v>
      </c>
      <c r="P110" s="162" t="s">
        <v>132</v>
      </c>
      <c r="Q110" s="162" t="s">
        <v>132</v>
      </c>
      <c r="R110" s="101" t="s">
        <v>138</v>
      </c>
      <c r="S110" s="164">
        <f t="shared" si="58"/>
        <v>71615.829999999987</v>
      </c>
      <c r="T110" s="279">
        <f t="shared" si="59"/>
        <v>10</v>
      </c>
      <c r="U110" s="111">
        <f>SUMIFS(S$66:S$103,R$66:R$103,R110)</f>
        <v>71615.829999999987</v>
      </c>
      <c r="V110" s="93">
        <f>SUMIFS(S$66:S$103,R$66:R$103,R110)</f>
        <v>71615.829999999987</v>
      </c>
      <c r="W110" s="289"/>
      <c r="X110" s="350"/>
    </row>
    <row r="111" spans="1:25">
      <c r="A111" s="174" t="s">
        <v>137</v>
      </c>
      <c r="B111" s="174" t="s">
        <v>460</v>
      </c>
      <c r="C111" s="273">
        <v>100</v>
      </c>
      <c r="D111" s="94">
        <v>500</v>
      </c>
      <c r="E111" s="94">
        <f t="shared" si="53"/>
        <v>50000</v>
      </c>
      <c r="F111" s="94">
        <f t="shared" si="54"/>
        <v>4439.09</v>
      </c>
      <c r="G111" s="94">
        <f t="shared" ca="1" si="55"/>
        <v>4665.6121296395922</v>
      </c>
      <c r="H111" s="94">
        <f t="shared" ca="1" si="49"/>
        <v>226.52212963959209</v>
      </c>
      <c r="I111" s="444">
        <f t="shared" ca="1" si="50"/>
        <v>5.102895630401548</v>
      </c>
      <c r="J111" s="221">
        <f t="shared" ca="1" si="56"/>
        <v>4665.6121296395922</v>
      </c>
      <c r="K111" s="94">
        <f t="shared" ca="1" si="57"/>
        <v>4655.834294030401</v>
      </c>
      <c r="L111" s="94">
        <f t="shared" ca="1" si="51"/>
        <v>-9.7778356091912428</v>
      </c>
      <c r="M111" s="444">
        <f t="shared" ca="1" si="52"/>
        <v>-0.20957240631030677</v>
      </c>
      <c r="N111" s="275" t="s">
        <v>468</v>
      </c>
      <c r="O111" s="248" t="s">
        <v>19</v>
      </c>
      <c r="P111" s="162" t="s">
        <v>132</v>
      </c>
      <c r="Q111" s="162" t="s">
        <v>132</v>
      </c>
      <c r="R111" s="122" t="s">
        <v>303</v>
      </c>
      <c r="S111" s="164">
        <f t="shared" si="58"/>
        <v>-1163.3600000000001</v>
      </c>
      <c r="T111" s="279">
        <f t="shared" si="59"/>
        <v>10</v>
      </c>
      <c r="U111" s="111">
        <f t="shared" ref="U111:U114" si="60">SUMIFS(S$66:S$103,R$66:R$103,R111)</f>
        <v>-1163.3600000000001</v>
      </c>
      <c r="V111" s="93">
        <f>SUMIFS(S$66:S$103,R$66:R$103,R111)</f>
        <v>-1163.3600000000001</v>
      </c>
      <c r="W111" s="289"/>
      <c r="X111" s="350"/>
    </row>
    <row r="112" spans="1:25">
      <c r="A112" s="174" t="s">
        <v>137</v>
      </c>
      <c r="B112" s="174" t="s">
        <v>460</v>
      </c>
      <c r="C112" s="273">
        <v>100</v>
      </c>
      <c r="D112" s="94">
        <v>700</v>
      </c>
      <c r="E112" s="94">
        <f t="shared" si="53"/>
        <v>70000</v>
      </c>
      <c r="F112" s="94">
        <f t="shared" si="54"/>
        <v>6011.09</v>
      </c>
      <c r="G112" s="94">
        <f t="shared" ca="1" si="55"/>
        <v>6342.8646896084156</v>
      </c>
      <c r="H112" s="94">
        <f t="shared" ca="1" si="49"/>
        <v>331.77468960841543</v>
      </c>
      <c r="I112" s="444">
        <f t="shared" ca="1" si="50"/>
        <v>5.5193765125528884</v>
      </c>
      <c r="J112" s="221">
        <f t="shared" ca="1" si="56"/>
        <v>6342.8646896084156</v>
      </c>
      <c r="K112" s="94">
        <f t="shared" ca="1" si="57"/>
        <v>6329.4836817828091</v>
      </c>
      <c r="L112" s="94">
        <f t="shared" ca="1" si="51"/>
        <v>-13.381007825606503</v>
      </c>
      <c r="M112" s="444">
        <f t="shared" ca="1" si="52"/>
        <v>-0.21096158408563806</v>
      </c>
      <c r="N112" s="275" t="s">
        <v>468</v>
      </c>
      <c r="O112" s="248" t="s">
        <v>19</v>
      </c>
      <c r="P112" s="162" t="s">
        <v>132</v>
      </c>
      <c r="Q112" s="162" t="s">
        <v>132</v>
      </c>
      <c r="R112" s="122" t="s">
        <v>294</v>
      </c>
      <c r="S112" s="164">
        <f t="shared" si="58"/>
        <v>-1276.75</v>
      </c>
      <c r="T112" s="279">
        <f t="shared" si="59"/>
        <v>10</v>
      </c>
      <c r="U112" s="111">
        <f t="shared" si="60"/>
        <v>-1276.75</v>
      </c>
      <c r="V112" s="93">
        <f>SUMIFS(S$66:S$103,R$66:R$103,R112)</f>
        <v>-1276.75</v>
      </c>
      <c r="W112" s="289"/>
      <c r="X112" s="350"/>
    </row>
    <row r="113" spans="1:32">
      <c r="A113" s="344" t="s">
        <v>451</v>
      </c>
      <c r="B113" s="297"/>
      <c r="C113" s="297"/>
      <c r="D113" s="297"/>
      <c r="E113" s="297"/>
      <c r="F113" s="297"/>
      <c r="G113" s="297"/>
      <c r="H113" s="297"/>
      <c r="I113" s="266"/>
      <c r="J113" s="297"/>
      <c r="K113" s="297"/>
      <c r="L113" s="297"/>
      <c r="M113" s="266"/>
      <c r="N113" s="275" t="s">
        <v>468</v>
      </c>
      <c r="O113" s="248" t="s">
        <v>19</v>
      </c>
      <c r="P113" s="162" t="s">
        <v>132</v>
      </c>
      <c r="Q113" s="162" t="s">
        <v>132</v>
      </c>
      <c r="R113" s="122" t="s">
        <v>304</v>
      </c>
      <c r="S113" s="164">
        <f t="shared" si="58"/>
        <v>9480</v>
      </c>
      <c r="T113" s="279">
        <f t="shared" si="59"/>
        <v>10</v>
      </c>
      <c r="U113" s="111">
        <f t="shared" si="60"/>
        <v>9480</v>
      </c>
      <c r="V113" s="93">
        <f>SUMIFS(S$66:S$103,R$66:R$103,R113)</f>
        <v>9480</v>
      </c>
      <c r="W113" s="289"/>
      <c r="X113" s="350"/>
    </row>
    <row r="114" spans="1:32">
      <c r="A114" s="335" t="s">
        <v>452</v>
      </c>
      <c r="B114" s="96"/>
      <c r="C114" s="96"/>
      <c r="D114" s="96"/>
      <c r="E114" s="96"/>
      <c r="F114" s="96"/>
      <c r="G114" s="96"/>
      <c r="H114" s="96"/>
      <c r="I114" s="221"/>
      <c r="J114" s="96"/>
      <c r="K114" s="96"/>
      <c r="L114" s="96"/>
      <c r="M114" s="221"/>
      <c r="N114" s="276" t="s">
        <v>468</v>
      </c>
      <c r="O114" s="252" t="s">
        <v>19</v>
      </c>
      <c r="P114" s="163" t="s">
        <v>132</v>
      </c>
      <c r="Q114" s="163" t="s">
        <v>132</v>
      </c>
      <c r="R114" s="163" t="s">
        <v>105</v>
      </c>
      <c r="S114" s="165">
        <f t="shared" si="58"/>
        <v>877126.09293441684</v>
      </c>
      <c r="T114" s="279">
        <f t="shared" si="59"/>
        <v>10</v>
      </c>
      <c r="U114" s="111">
        <f t="shared" si="60"/>
        <v>877126.09293441684</v>
      </c>
      <c r="V114" s="93">
        <f>SUMIFS(S$66:S$103,R$66:R$103,R114)</f>
        <v>877126.09293441684</v>
      </c>
      <c r="W114" s="289"/>
      <c r="X114" s="350"/>
    </row>
    <row r="115" spans="1:32">
      <c r="A115" s="284" t="s">
        <v>457</v>
      </c>
      <c r="B115" s="298"/>
      <c r="C115" s="298"/>
      <c r="D115" s="298"/>
      <c r="E115" s="298"/>
      <c r="F115" s="298"/>
      <c r="G115" s="298"/>
      <c r="H115" s="298"/>
      <c r="I115" s="267"/>
      <c r="J115" s="298"/>
      <c r="K115" s="298"/>
      <c r="L115" s="298"/>
      <c r="M115" s="267"/>
      <c r="N115" s="166" t="s">
        <v>439</v>
      </c>
      <c r="O115" s="166" t="s">
        <v>338</v>
      </c>
      <c r="P115" s="166" t="s">
        <v>132</v>
      </c>
      <c r="Q115" s="99" t="s">
        <v>136</v>
      </c>
      <c r="R115" s="467" t="s">
        <v>271</v>
      </c>
      <c r="S115" s="269">
        <f t="shared" ref="S115:S125" ca="1" si="61">ROUND(T115/100*W115*X115/Y115/Z115+AB115,U115)*AA115</f>
        <v>10.18</v>
      </c>
      <c r="T115" s="279">
        <f>100+Summary!$P$9</f>
        <v>106.29</v>
      </c>
      <c r="U115" s="111">
        <v>2</v>
      </c>
      <c r="V115" s="224">
        <f ca="1">W115*X115/Y115/Z115*AA115+AB115</f>
        <v>9.581592284678182</v>
      </c>
      <c r="W115" s="1">
        <f ca="1">S$106</f>
        <v>2726730.62847905</v>
      </c>
      <c r="X115" s="93">
        <f>SUMIFS(S$66:S$103,Q$66:Q$103,Q115,R$66:R$103,R115)+SUMIFS(S$66:S$103,Q$66:Q$103,Q116,R$66:R$103,R116)</f>
        <v>1763403.7624748859</v>
      </c>
      <c r="Y115" s="93" cm="1">
        <f t="array" ref="Y115">SUM(SUMIFS(S$66:S$103,R$66:R$103,{"Bill","Annual Bill"}))</f>
        <v>2805959.9279543376</v>
      </c>
      <c r="Z115" s="93">
        <f>SUMIFS(S$8:S$51,Q$8:Q$51,Q115,R$8:R$51,R115)*AA115+SUMIFS(S$8:S$51,Q$8:Q$51,Q116,R$8:R$51,R116)*AA116</f>
        <v>178844.19497716898</v>
      </c>
      <c r="AA115" s="93">
        <v>1</v>
      </c>
      <c r="AB115" s="93"/>
      <c r="AD115" s="93"/>
    </row>
    <row r="116" spans="1:32">
      <c r="C116"/>
      <c r="D116"/>
      <c r="E116"/>
      <c r="F116"/>
      <c r="G116"/>
      <c r="H116"/>
      <c r="I116"/>
      <c r="J116"/>
      <c r="K116"/>
      <c r="L116"/>
      <c r="M116"/>
      <c r="N116" s="162" t="s">
        <v>439</v>
      </c>
      <c r="O116" s="162" t="s">
        <v>338</v>
      </c>
      <c r="P116" s="162" t="s">
        <v>132</v>
      </c>
      <c r="Q116" s="101" t="s">
        <v>136</v>
      </c>
      <c r="R116" s="468" t="s">
        <v>272</v>
      </c>
      <c r="S116" s="270">
        <f t="shared" ca="1" si="61"/>
        <v>122.16</v>
      </c>
      <c r="T116" s="279">
        <f>100+Summary!$P$9</f>
        <v>106.29</v>
      </c>
      <c r="U116" s="111">
        <v>2</v>
      </c>
      <c r="V116" s="224">
        <f t="shared" ref="V116:V132" ca="1" si="62">W116*X116/Y116/Z116*AA116+AB116</f>
        <v>114.97910741613819</v>
      </c>
      <c r="W116" s="1">
        <f ca="1">S$106</f>
        <v>2726730.62847905</v>
      </c>
      <c r="X116" s="93">
        <f>SUMIFS(S$66:S$103,Q$66:Q$103,Q115,R$66:R$103,R115)+SUMIFS(S$66:S$103,Q$66:Q$103,Q116,R$66:R$103,R116)</f>
        <v>1763403.7624748859</v>
      </c>
      <c r="Y116" s="93" cm="1">
        <f t="array" ref="Y116">SUM(SUMIFS(S$66:S$103,R$66:R$103,{"Bill","Annual Bill"}))</f>
        <v>2805959.9279543376</v>
      </c>
      <c r="Z116" s="93">
        <f>SUMIFS(S$8:S$51,Q$8:Q$51,Q115,R$8:R$51,R115)*AA115+SUMIFS(S$8:S$51,Q$8:Q$51,Q116,R$8:R$51,R116)*AA116</f>
        <v>178844.19497716898</v>
      </c>
      <c r="AA116" s="93">
        <v>12</v>
      </c>
      <c r="AB116" s="93"/>
      <c r="AD116" s="93"/>
    </row>
    <row r="117" spans="1:32">
      <c r="C117"/>
      <c r="D117"/>
      <c r="E117"/>
      <c r="F117"/>
      <c r="G117"/>
      <c r="H117"/>
      <c r="I117"/>
      <c r="J117"/>
      <c r="K117"/>
      <c r="L117"/>
      <c r="M117"/>
      <c r="N117" s="162" t="s">
        <v>439</v>
      </c>
      <c r="O117" s="162" t="s">
        <v>338</v>
      </c>
      <c r="P117" s="162" t="s">
        <v>132</v>
      </c>
      <c r="Q117" s="101" t="s">
        <v>137</v>
      </c>
      <c r="R117" s="468" t="s">
        <v>271</v>
      </c>
      <c r="S117" s="270">
        <f t="shared" ca="1" si="61"/>
        <v>15.18</v>
      </c>
      <c r="T117" s="279">
        <f>100+Summary!$P$9</f>
        <v>106.29</v>
      </c>
      <c r="U117" s="111">
        <v>2</v>
      </c>
      <c r="V117" s="224">
        <f t="shared" ca="1" si="62"/>
        <v>14.284929673911691</v>
      </c>
      <c r="W117" s="1">
        <f ca="1">S$106</f>
        <v>2726730.62847905</v>
      </c>
      <c r="X117" s="93">
        <f>SUMIFS(S$66:S$103,Q$66:Q$103,Q117,R$66:R$103,R117)+SUMIFS(S$66:S$103,Q$66:Q$103,Q118,R$66:R$103,R118)</f>
        <v>1042556.1654794519</v>
      </c>
      <c r="Y117" s="93" cm="1">
        <f t="array" ref="Y117">SUM(SUMIFS(S$66:S$103,R$66:R$103,{"Bill","Annual Bill"}))</f>
        <v>2805959.9279543376</v>
      </c>
      <c r="Z117" s="93">
        <f>SUMIFS(S$8:S$51,Q$8:Q$51,Q117,R$8:R$51,R117)*AA117+SUMIFS(S$8:S$51,Q$8:Q$51,Q118,R$8:R$51,R118)*AA118</f>
        <v>70922.188127853879</v>
      </c>
      <c r="AA117" s="93">
        <v>1</v>
      </c>
      <c r="AB117" s="93"/>
      <c r="AD117" s="93"/>
    </row>
    <row r="118" spans="1:32">
      <c r="C118"/>
      <c r="D118"/>
      <c r="E118"/>
      <c r="F118"/>
      <c r="G118"/>
      <c r="H118"/>
      <c r="I118"/>
      <c r="J118"/>
      <c r="K118"/>
      <c r="L118"/>
      <c r="M118"/>
      <c r="N118" s="162" t="s">
        <v>439</v>
      </c>
      <c r="O118" s="162" t="s">
        <v>338</v>
      </c>
      <c r="P118" s="162" t="s">
        <v>132</v>
      </c>
      <c r="Q118" s="101" t="s">
        <v>137</v>
      </c>
      <c r="R118" s="468" t="s">
        <v>272</v>
      </c>
      <c r="S118" s="270">
        <f t="shared" ca="1" si="61"/>
        <v>182.16</v>
      </c>
      <c r="T118" s="279">
        <f>100+Summary!$P$9</f>
        <v>106.29</v>
      </c>
      <c r="U118" s="111">
        <v>2</v>
      </c>
      <c r="V118" s="224">
        <f t="shared" ca="1" si="62"/>
        <v>171.41915608694029</v>
      </c>
      <c r="W118" s="1">
        <f ca="1">S$106</f>
        <v>2726730.62847905</v>
      </c>
      <c r="X118" s="93">
        <f>SUMIFS(S$66:S$103,Q$66:Q$103,Q117,R$66:R$103,R117)+SUMIFS(S$66:S$103,Q$66:Q$103,Q118,R$66:R$103,R118)</f>
        <v>1042556.1654794519</v>
      </c>
      <c r="Y118" s="93" cm="1">
        <f t="array" ref="Y118">SUM(SUMIFS(S$66:S$103,R$66:R$103,{"Bill","Annual Bill"}))</f>
        <v>2805959.9279543376</v>
      </c>
      <c r="Z118" s="93">
        <f>SUMIFS(S$8:S$51,Q$8:Q$51,Q117,R$8:R$51,R117)*AA117+SUMIFS(S$8:S$51,Q$8:Q$51,Q118,R$8:R$51,R118)*AA118</f>
        <v>70922.188127853879</v>
      </c>
      <c r="AA118" s="93">
        <v>12</v>
      </c>
      <c r="AB118" s="93"/>
      <c r="AD118" s="93"/>
    </row>
    <row r="119" spans="1:32">
      <c r="C119"/>
      <c r="D119"/>
      <c r="E119"/>
      <c r="F119"/>
      <c r="G119"/>
      <c r="H119"/>
      <c r="I119"/>
      <c r="J119"/>
      <c r="K119"/>
      <c r="L119"/>
      <c r="M119"/>
      <c r="N119" s="162" t="s">
        <v>439</v>
      </c>
      <c r="O119" s="162" t="s">
        <v>338</v>
      </c>
      <c r="P119" s="162" t="s">
        <v>132</v>
      </c>
      <c r="Q119" s="101" t="s">
        <v>132</v>
      </c>
      <c r="R119" s="468" t="s">
        <v>217</v>
      </c>
      <c r="S119" s="270">
        <f t="shared" ca="1" si="61"/>
        <v>1.06</v>
      </c>
      <c r="T119" s="279">
        <f>100+Summary!$P$9</f>
        <v>106.29</v>
      </c>
      <c r="U119" s="111">
        <v>2</v>
      </c>
      <c r="V119" s="224">
        <f t="shared" ca="1" si="62"/>
        <v>0.99656273531612227</v>
      </c>
      <c r="W119" s="1">
        <f ca="1">S$107</f>
        <v>1284799.4276942862</v>
      </c>
      <c r="X119" s="93">
        <v>1</v>
      </c>
      <c r="Y119" s="93">
        <v>1</v>
      </c>
      <c r="Z119" s="93">
        <f>SUMIFS(S$8:S$51,R$8:R$51,R119)*AA119+SUMIFS(S$8:S$51,R$8:R$51,R120)*AA120</f>
        <v>1289230.8553828592</v>
      </c>
      <c r="AA119" s="93">
        <v>1</v>
      </c>
      <c r="AB119" s="93"/>
      <c r="AD119" s="93"/>
    </row>
    <row r="120" spans="1:32">
      <c r="C120"/>
      <c r="D120"/>
      <c r="E120"/>
      <c r="F120"/>
      <c r="G120"/>
      <c r="H120"/>
      <c r="I120"/>
      <c r="J120"/>
      <c r="K120"/>
      <c r="L120"/>
      <c r="M120"/>
      <c r="N120" s="162" t="s">
        <v>439</v>
      </c>
      <c r="O120" s="162" t="s">
        <v>338</v>
      </c>
      <c r="P120" s="162" t="s">
        <v>132</v>
      </c>
      <c r="Q120" s="101" t="s">
        <v>132</v>
      </c>
      <c r="R120" s="468" t="s">
        <v>219</v>
      </c>
      <c r="S120" s="270">
        <f t="shared" ca="1" si="61"/>
        <v>12.72</v>
      </c>
      <c r="T120" s="279">
        <f>100+Summary!$P$9</f>
        <v>106.29</v>
      </c>
      <c r="U120" s="111">
        <v>2</v>
      </c>
      <c r="V120" s="224">
        <f t="shared" ca="1" si="62"/>
        <v>11.958752823793468</v>
      </c>
      <c r="W120" s="1">
        <f ca="1">S$107</f>
        <v>1284799.4276942862</v>
      </c>
      <c r="X120" s="93">
        <v>1</v>
      </c>
      <c r="Y120" s="93">
        <v>1</v>
      </c>
      <c r="Z120" s="93">
        <f>SUMIFS(S$8:S$51,R$8:R$51,R119)*AA119+SUMIFS(S$8:S$51,R$8:R$51,R120)*AA120</f>
        <v>1289230.8553828592</v>
      </c>
      <c r="AA120" s="93">
        <v>12</v>
      </c>
      <c r="AB120" s="93"/>
      <c r="AD120" s="93"/>
    </row>
    <row r="121" spans="1:32">
      <c r="C121"/>
      <c r="D121"/>
      <c r="E121"/>
      <c r="F121"/>
      <c r="G121"/>
      <c r="H121"/>
      <c r="I121"/>
      <c r="J121"/>
      <c r="K121"/>
      <c r="L121"/>
      <c r="M121"/>
      <c r="N121" s="162" t="s">
        <v>439</v>
      </c>
      <c r="O121" s="162" t="s">
        <v>338</v>
      </c>
      <c r="P121" s="162" t="s">
        <v>132</v>
      </c>
      <c r="Q121" s="101" t="s">
        <v>132</v>
      </c>
      <c r="R121" s="468" t="s">
        <v>139</v>
      </c>
      <c r="S121" s="270">
        <f t="shared" ca="1" si="61"/>
        <v>3.88</v>
      </c>
      <c r="T121" s="279">
        <f>100+Summary!$P$9</f>
        <v>106.29</v>
      </c>
      <c r="U121" s="111">
        <v>2</v>
      </c>
      <c r="V121" s="224">
        <f t="shared" ca="1" si="62"/>
        <v>3.650869251494639</v>
      </c>
      <c r="W121" s="1">
        <f ca="1">S108</f>
        <v>2783985.4973972803</v>
      </c>
      <c r="X121" s="93">
        <v>1</v>
      </c>
      <c r="Y121" s="93">
        <v>1</v>
      </c>
      <c r="Z121" s="93">
        <f>SUMIFS(S$8:S$51,R$8:R$51,R121)</f>
        <v>762554.14960629912</v>
      </c>
      <c r="AA121" s="93">
        <v>1</v>
      </c>
      <c r="AB121" s="93"/>
      <c r="AC121" s="93"/>
      <c r="AD121" s="93"/>
    </row>
    <row r="122" spans="1:32">
      <c r="C122"/>
      <c r="D122"/>
      <c r="E122"/>
      <c r="F122"/>
      <c r="G122"/>
      <c r="H122"/>
      <c r="I122"/>
      <c r="J122"/>
      <c r="K122"/>
      <c r="L122"/>
      <c r="M122"/>
      <c r="N122" s="162" t="s">
        <v>439</v>
      </c>
      <c r="O122" s="162" t="s">
        <v>338</v>
      </c>
      <c r="P122" s="162" t="s">
        <v>132</v>
      </c>
      <c r="Q122" s="101" t="s">
        <v>132</v>
      </c>
      <c r="R122" s="468" t="s">
        <v>331</v>
      </c>
      <c r="S122" s="270">
        <f t="shared" ca="1" si="61"/>
        <v>0.12126000000000001</v>
      </c>
      <c r="T122" s="279">
        <f>100+Summary!$P$9</f>
        <v>106.29</v>
      </c>
      <c r="U122" s="111">
        <v>5</v>
      </c>
      <c r="V122" s="224">
        <f t="shared" ca="1" si="62"/>
        <v>0.11408726852570913</v>
      </c>
      <c r="W122" s="1">
        <f ca="1">S$109</f>
        <v>47908160.052075125</v>
      </c>
      <c r="X122" s="93">
        <f>SUMIFS(S$66:S$103,R$66:R$103,"kWh First Block*")</f>
        <v>16843540.947404664</v>
      </c>
      <c r="Y122" s="93">
        <f>SUMIFS(S$66:S$103,R$66:R$103,"kWh*")</f>
        <v>49996337.0979883</v>
      </c>
      <c r="Z122" s="1" cm="1">
        <f t="array" ref="Z122">SUM(SUMIFS(S$8:S$51,R$8:R$51,{"kWh First Block*"}))</f>
        <v>141471030.9709782</v>
      </c>
      <c r="AA122" s="93">
        <v>1</v>
      </c>
      <c r="AB122" s="257">
        <f>AC122/AD122*AE122</f>
        <v>0</v>
      </c>
      <c r="AC122" s="1">
        <f>SUMIFS(S$8:S$51,R$8:R$51,"*(October - May)")</f>
        <v>352686815.57061332</v>
      </c>
      <c r="AD122" s="93">
        <f>SUMIFS(S$8:S$51,R$8:R$51,"kWh*")</f>
        <v>544109630.43028224</v>
      </c>
      <c r="AE122" s="257">
        <f>'Sch.16,17,19'!AG$38</f>
        <v>0</v>
      </c>
    </row>
    <row r="123" spans="1:32">
      <c r="C123"/>
      <c r="D123"/>
      <c r="E123"/>
      <c r="F123"/>
      <c r="G123"/>
      <c r="H123"/>
      <c r="I123"/>
      <c r="J123"/>
      <c r="K123"/>
      <c r="L123"/>
      <c r="M123"/>
      <c r="N123" s="162" t="s">
        <v>439</v>
      </c>
      <c r="O123" s="162" t="s">
        <v>338</v>
      </c>
      <c r="P123" s="162" t="s">
        <v>132</v>
      </c>
      <c r="Q123" s="101" t="s">
        <v>132</v>
      </c>
      <c r="R123" s="468" t="s">
        <v>329</v>
      </c>
      <c r="S123" s="270">
        <f t="shared" ca="1" si="61"/>
        <v>0.12126000000000001</v>
      </c>
      <c r="T123" s="279">
        <f>100+Summary!$P$9</f>
        <v>106.29</v>
      </c>
      <c r="U123" s="111">
        <v>5</v>
      </c>
      <c r="V123" s="224">
        <f t="shared" ca="1" si="62"/>
        <v>0.11408726852570913</v>
      </c>
      <c r="W123" s="1">
        <f ca="1">S$109</f>
        <v>47908160.052075125</v>
      </c>
      <c r="X123" s="93">
        <f>SUMIFS(S$66:S$103,R$66:R$103,"kWh First Block*")</f>
        <v>16843540.947404664</v>
      </c>
      <c r="Y123" s="93">
        <f>SUMIFS(S$66:S$103,R$66:R$103,"kWh*")</f>
        <v>49996337.0979883</v>
      </c>
      <c r="Z123" s="1" cm="1">
        <f t="array" ref="Z123">SUM(SUMIFS(S$8:S$51,R$8:R$51,{"kWh First Block*"}))</f>
        <v>141471030.9709782</v>
      </c>
      <c r="AA123" s="93">
        <v>1</v>
      </c>
      <c r="AB123" s="257">
        <f t="shared" ref="AB123:AB125" si="63">AC123/AD123*AE123</f>
        <v>0</v>
      </c>
      <c r="AC123" s="1">
        <f>SUMIFS(S$8:S$51,R$8:R$51,"*(June - September)")</f>
        <v>191422814.85966891</v>
      </c>
      <c r="AD123" s="93">
        <f t="shared" ref="AD123:AD125" si="64">SUMIFS(S$8:S$51,R$8:R$51,"kWh*")</f>
        <v>544109630.43028224</v>
      </c>
      <c r="AE123" s="257">
        <f>-'Sch.16,17,19'!AG$38</f>
        <v>0</v>
      </c>
      <c r="AF123" s="257">
        <f ca="1">T123/100*W123*X123/Y123/Z123</f>
        <v>0.12126335771597622</v>
      </c>
    </row>
    <row r="124" spans="1:32">
      <c r="C124"/>
      <c r="D124"/>
      <c r="E124"/>
      <c r="F124"/>
      <c r="G124"/>
      <c r="H124"/>
      <c r="I124"/>
      <c r="J124"/>
      <c r="K124"/>
      <c r="L124"/>
      <c r="M124"/>
      <c r="N124" s="162" t="s">
        <v>439</v>
      </c>
      <c r="O124" s="162" t="s">
        <v>338</v>
      </c>
      <c r="P124" s="162" t="s">
        <v>132</v>
      </c>
      <c r="Q124" s="101" t="s">
        <v>132</v>
      </c>
      <c r="R124" s="468" t="s">
        <v>332</v>
      </c>
      <c r="S124" s="270">
        <f t="shared" ca="1" si="61"/>
        <v>8.3860000000000004E-2</v>
      </c>
      <c r="T124" s="279">
        <f>100+Summary!$P$9</f>
        <v>106.29</v>
      </c>
      <c r="U124" s="111">
        <v>5</v>
      </c>
      <c r="V124" s="224">
        <f t="shared" ca="1" si="62"/>
        <v>7.8899828768878674E-2</v>
      </c>
      <c r="W124" s="1">
        <f ca="1">S$109</f>
        <v>47908160.052075125</v>
      </c>
      <c r="X124" s="93" cm="1">
        <f t="array" ref="X124">SUM(SUMIFS(S$66:S$103,R$66:R$103,{"kWh Second Block*","kWh Third Block*"}))</f>
        <v>33152796.150583629</v>
      </c>
      <c r="Y124" s="93">
        <f>SUMIFS(S$66:S$103,R$66:R$103,"kWh*")</f>
        <v>49996337.0979883</v>
      </c>
      <c r="Z124" s="1" cm="1">
        <f t="array" ref="Z124">SUM(SUMIFS(S$8:S$51,R$8:R$51,{"kWh Second Block*","kWh Third Block*"}))</f>
        <v>402638599.45930403</v>
      </c>
      <c r="AA124" s="93">
        <v>1</v>
      </c>
      <c r="AB124" s="257">
        <f t="shared" si="63"/>
        <v>0</v>
      </c>
      <c r="AC124" s="1">
        <f>SUMIFS(S$8:S$51,R$8:R$51,"*(October - May)")</f>
        <v>352686815.57061332</v>
      </c>
      <c r="AD124" s="93">
        <f t="shared" si="64"/>
        <v>544109630.43028224</v>
      </c>
      <c r="AE124" s="257">
        <f>'Sch.16,17,19'!AG$38</f>
        <v>0</v>
      </c>
    </row>
    <row r="125" spans="1:32">
      <c r="C125"/>
      <c r="D125"/>
      <c r="E125"/>
      <c r="F125"/>
      <c r="G125"/>
      <c r="H125"/>
      <c r="I125"/>
      <c r="J125"/>
      <c r="K125"/>
      <c r="L125"/>
      <c r="M125"/>
      <c r="N125" s="162" t="s">
        <v>439</v>
      </c>
      <c r="O125" s="162" t="s">
        <v>338</v>
      </c>
      <c r="P125" s="162" t="s">
        <v>132</v>
      </c>
      <c r="Q125" s="101" t="s">
        <v>132</v>
      </c>
      <c r="R125" s="468" t="s">
        <v>330</v>
      </c>
      <c r="S125" s="270">
        <f t="shared" ca="1" si="61"/>
        <v>8.3860000000000004E-2</v>
      </c>
      <c r="T125" s="279">
        <f>100+Summary!$P$9</f>
        <v>106.29</v>
      </c>
      <c r="U125" s="111">
        <v>5</v>
      </c>
      <c r="V125" s="224">
        <f t="shared" ca="1" si="62"/>
        <v>7.8899828768878674E-2</v>
      </c>
      <c r="W125" s="1">
        <f ca="1">S$109</f>
        <v>47908160.052075125</v>
      </c>
      <c r="X125" s="93" cm="1">
        <f t="array" ref="X125">SUM(SUMIFS(S$66:S$103,R$66:R$103,{"kWh Second Block*","kWh Third Block*"}))</f>
        <v>33152796.150583629</v>
      </c>
      <c r="Y125" s="93">
        <f>SUMIFS(S$66:S$103,R$66:R$103,"kWh*")</f>
        <v>49996337.0979883</v>
      </c>
      <c r="Z125" s="1" cm="1">
        <f t="array" ref="Z125">SUM(SUMIFS(S$8:S$51,R$8:R$51,{"kWh Second Block*","kWh Third Block*"}))</f>
        <v>402638599.45930403</v>
      </c>
      <c r="AA125" s="93">
        <v>1</v>
      </c>
      <c r="AB125" s="257">
        <f t="shared" si="63"/>
        <v>0</v>
      </c>
      <c r="AC125" s="1">
        <f>SUMIFS(S$8:S$51,R$8:R$51,"*(June - September)")</f>
        <v>191422814.85966891</v>
      </c>
      <c r="AD125" s="93">
        <f t="shared" si="64"/>
        <v>544109630.43028224</v>
      </c>
      <c r="AE125" s="257">
        <f>-'Sch.16,17,19'!AG$38</f>
        <v>0</v>
      </c>
      <c r="AF125" s="257">
        <f ca="1">T125/100*W125*X125/Y125/Z125</f>
        <v>8.3862627998441144E-2</v>
      </c>
    </row>
    <row r="126" spans="1:32">
      <c r="C126"/>
      <c r="D126"/>
      <c r="E126"/>
      <c r="F126"/>
      <c r="G126"/>
      <c r="H126"/>
      <c r="I126"/>
      <c r="J126"/>
      <c r="K126"/>
      <c r="L126"/>
      <c r="M126"/>
      <c r="N126" s="162" t="s">
        <v>439</v>
      </c>
      <c r="O126" s="162" t="s">
        <v>338</v>
      </c>
      <c r="P126" s="162" t="s">
        <v>132</v>
      </c>
      <c r="Q126" s="101" t="s">
        <v>132</v>
      </c>
      <c r="R126" s="469" t="s">
        <v>510</v>
      </c>
      <c r="S126" s="270">
        <f>ROUND(W138*(1-X138/100),U126)</f>
        <v>3.0599999999999999E-2</v>
      </c>
      <c r="T126" s="279"/>
      <c r="U126" s="111">
        <v>5</v>
      </c>
      <c r="V126" s="224"/>
      <c r="W126" s="1"/>
      <c r="X126" s="93"/>
      <c r="Y126" s="93"/>
      <c r="Z126" s="1"/>
      <c r="AA126" s="93"/>
      <c r="AB126" s="257"/>
      <c r="AD126" s="93"/>
      <c r="AE126" s="257"/>
      <c r="AF126" s="257"/>
    </row>
    <row r="127" spans="1:32">
      <c r="C127"/>
      <c r="D127"/>
      <c r="E127"/>
      <c r="F127"/>
      <c r="G127"/>
      <c r="H127"/>
      <c r="I127"/>
      <c r="J127"/>
      <c r="K127"/>
      <c r="L127"/>
      <c r="M127"/>
      <c r="N127" s="162" t="s">
        <v>439</v>
      </c>
      <c r="O127" s="162" t="s">
        <v>338</v>
      </c>
      <c r="P127" s="162" t="s">
        <v>132</v>
      </c>
      <c r="Q127" s="101" t="s">
        <v>132</v>
      </c>
      <c r="R127" s="469" t="s">
        <v>511</v>
      </c>
      <c r="S127" s="270">
        <f>ROUND(W138*(-X138/100),U127)</f>
        <v>-2.2450000000000001E-2</v>
      </c>
      <c r="T127" s="279"/>
      <c r="U127" s="111">
        <v>5</v>
      </c>
      <c r="V127" s="224"/>
      <c r="W127" s="1"/>
      <c r="X127" s="93"/>
      <c r="Y127" s="93"/>
      <c r="Z127" s="1"/>
      <c r="AA127" s="93"/>
      <c r="AB127" s="257"/>
      <c r="AD127" s="93"/>
      <c r="AE127" s="257"/>
      <c r="AF127" s="257"/>
    </row>
    <row r="128" spans="1:32">
      <c r="C128"/>
      <c r="D128"/>
      <c r="E128"/>
      <c r="F128"/>
      <c r="G128"/>
      <c r="H128"/>
      <c r="I128"/>
      <c r="J128"/>
      <c r="K128"/>
      <c r="L128"/>
      <c r="M128"/>
      <c r="N128" s="162" t="s">
        <v>439</v>
      </c>
      <c r="O128" s="162" t="s">
        <v>338</v>
      </c>
      <c r="P128" s="162" t="s">
        <v>132</v>
      </c>
      <c r="Q128" s="101" t="s">
        <v>132</v>
      </c>
      <c r="R128" s="469" t="s">
        <v>512</v>
      </c>
      <c r="S128" s="270">
        <v>2</v>
      </c>
      <c r="T128" s="279"/>
      <c r="V128" s="224"/>
      <c r="W128" s="1"/>
      <c r="X128" s="93"/>
      <c r="Y128" s="93"/>
      <c r="Z128" s="1"/>
      <c r="AA128" s="93"/>
      <c r="AB128" s="257"/>
      <c r="AD128" s="93"/>
      <c r="AE128" s="257"/>
      <c r="AF128" s="257"/>
    </row>
    <row r="129" spans="3:30">
      <c r="C129"/>
      <c r="D129"/>
      <c r="E129"/>
      <c r="F129"/>
      <c r="G129"/>
      <c r="H129"/>
      <c r="I129"/>
      <c r="J129"/>
      <c r="K129"/>
      <c r="L129"/>
      <c r="M129"/>
      <c r="N129" s="162" t="s">
        <v>439</v>
      </c>
      <c r="O129" s="162" t="s">
        <v>338</v>
      </c>
      <c r="P129" s="162" t="s">
        <v>132</v>
      </c>
      <c r="Q129" s="101" t="s">
        <v>132</v>
      </c>
      <c r="R129" s="468" t="s">
        <v>138</v>
      </c>
      <c r="S129" s="270">
        <f t="shared" ref="S129" si="65">ROUND(T129/100*W129*X129/Y129/Z129+AB129,U129)*AA129</f>
        <v>0.62</v>
      </c>
      <c r="T129" s="279">
        <f>100+Summary!$P$9</f>
        <v>106.29</v>
      </c>
      <c r="U129" s="111">
        <v>2</v>
      </c>
      <c r="V129" s="224">
        <f t="shared" si="62"/>
        <v>0.57999999999999996</v>
      </c>
      <c r="W129" s="1">
        <f>S110</f>
        <v>71615.829999999987</v>
      </c>
      <c r="X129" s="93">
        <v>1</v>
      </c>
      <c r="Y129" s="93">
        <v>1</v>
      </c>
      <c r="Z129" s="93">
        <f>SUMIFS(S$8:S$51,R$8:R$51,R129)</f>
        <v>123475.56896551723</v>
      </c>
      <c r="AA129" s="93">
        <v>1</v>
      </c>
      <c r="AB129" s="93"/>
      <c r="AD129" s="93"/>
    </row>
    <row r="130" spans="3:30">
      <c r="C130"/>
      <c r="D130"/>
      <c r="E130"/>
      <c r="F130"/>
      <c r="G130"/>
      <c r="H130"/>
      <c r="I130"/>
      <c r="J130"/>
      <c r="K130"/>
      <c r="L130"/>
      <c r="M130"/>
      <c r="N130" s="162" t="s">
        <v>439</v>
      </c>
      <c r="O130" s="162" t="s">
        <v>338</v>
      </c>
      <c r="P130" s="162" t="s">
        <v>132</v>
      </c>
      <c r="Q130" s="101" t="s">
        <v>132</v>
      </c>
      <c r="R130" s="540" t="s">
        <v>303</v>
      </c>
      <c r="S130" s="270">
        <f t="shared" ref="S130:S132" si="66">ROUND(T130/100*W130*X130/Y130/Z130+AB130,U130)*AA130</f>
        <v>-0.01</v>
      </c>
      <c r="T130" s="508">
        <v>100</v>
      </c>
      <c r="U130" s="111">
        <v>2</v>
      </c>
      <c r="V130" s="224">
        <f t="shared" si="62"/>
        <v>-1.0000000000000002E-2</v>
      </c>
      <c r="W130" s="1">
        <f>S111</f>
        <v>-1163.3600000000001</v>
      </c>
      <c r="X130" s="93">
        <v>1</v>
      </c>
      <c r="Y130" s="93">
        <v>1</v>
      </c>
      <c r="Z130" s="93">
        <f>SUMIFS(S$8:S$51,R$8:R$51,R130)</f>
        <v>116336</v>
      </c>
      <c r="AA130" s="93">
        <v>1</v>
      </c>
      <c r="AB130" s="93"/>
      <c r="AD130" s="93"/>
    </row>
    <row r="131" spans="3:30">
      <c r="C131"/>
      <c r="D131"/>
      <c r="E131"/>
      <c r="F131"/>
      <c r="G131"/>
      <c r="H131"/>
      <c r="I131"/>
      <c r="J131"/>
      <c r="K131"/>
      <c r="L131"/>
      <c r="M131"/>
      <c r="N131" s="162" t="s">
        <v>439</v>
      </c>
      <c r="O131" s="162" t="s">
        <v>338</v>
      </c>
      <c r="P131" s="162" t="s">
        <v>132</v>
      </c>
      <c r="Q131" s="101" t="s">
        <v>132</v>
      </c>
      <c r="R131" s="540" t="s">
        <v>294</v>
      </c>
      <c r="S131" s="270">
        <f t="shared" si="66"/>
        <v>-0.3</v>
      </c>
      <c r="T131" s="508">
        <v>100</v>
      </c>
      <c r="U131" s="111">
        <v>2</v>
      </c>
      <c r="V131" s="224">
        <f t="shared" si="62"/>
        <v>-0.30000000000000004</v>
      </c>
      <c r="W131" s="1">
        <f>S112</f>
        <v>-1276.75</v>
      </c>
      <c r="X131" s="93">
        <v>1</v>
      </c>
      <c r="Y131" s="93">
        <v>1</v>
      </c>
      <c r="Z131" s="93">
        <f>SUMIFS(S$8:S$51,R$8:R$51,R131)</f>
        <v>4255.833333333333</v>
      </c>
      <c r="AA131" s="93">
        <v>1</v>
      </c>
      <c r="AB131" s="93"/>
      <c r="AD131" s="93"/>
    </row>
    <row r="132" spans="3:30">
      <c r="C132"/>
      <c r="D132"/>
      <c r="E132"/>
      <c r="F132"/>
      <c r="G132"/>
      <c r="H132"/>
      <c r="I132"/>
      <c r="J132"/>
      <c r="K132"/>
      <c r="L132"/>
      <c r="M132"/>
      <c r="N132" s="163" t="s">
        <v>439</v>
      </c>
      <c r="O132" s="163" t="s">
        <v>338</v>
      </c>
      <c r="P132" s="163" t="s">
        <v>132</v>
      </c>
      <c r="Q132" s="104" t="s">
        <v>132</v>
      </c>
      <c r="R132" s="541" t="s">
        <v>304</v>
      </c>
      <c r="S132" s="271">
        <f t="shared" si="66"/>
        <v>60</v>
      </c>
      <c r="T132" s="508">
        <v>100</v>
      </c>
      <c r="U132" s="111">
        <v>2</v>
      </c>
      <c r="V132" s="224">
        <f t="shared" si="62"/>
        <v>60</v>
      </c>
      <c r="W132" s="1">
        <f>S113</f>
        <v>9480</v>
      </c>
      <c r="X132" s="93">
        <v>1</v>
      </c>
      <c r="Y132" s="93">
        <v>1</v>
      </c>
      <c r="Z132" s="93">
        <f>SUMIFS(S$8:S$51,R$8:R$51,R132)</f>
        <v>158</v>
      </c>
      <c r="AA132" s="93">
        <v>1</v>
      </c>
      <c r="AB132" s="93"/>
      <c r="AD132" s="93"/>
    </row>
    <row r="133" spans="3:30">
      <c r="C133"/>
      <c r="D133"/>
      <c r="E133"/>
      <c r="F133"/>
      <c r="G133"/>
      <c r="H133"/>
      <c r="I133"/>
      <c r="J133"/>
      <c r="K133"/>
      <c r="L133"/>
      <c r="M133"/>
      <c r="N133" s="166" t="s">
        <v>439</v>
      </c>
      <c r="O133" s="166" t="s">
        <v>19</v>
      </c>
      <c r="P133" s="97" t="s">
        <v>2</v>
      </c>
      <c r="Q133" s="99" t="s">
        <v>136</v>
      </c>
      <c r="R133" s="99" t="s">
        <v>271</v>
      </c>
      <c r="S133" s="167">
        <f t="shared" ref="S133:S180" ca="1" si="67">IF(R133="Unbilled",SUMIFS(S$66:S$103,P$66:P$103,P133,R$66:R$103,R133),SUMIFS(S$115:S$132,Q$115:Q$132,Q133,R$115:R$132,R133)*U133)</f>
        <v>399680.03400000004</v>
      </c>
      <c r="T133" s="1">
        <f t="shared" ref="T133:T180" ca="1" si="68">IF(R133="Unbilled",SUMIFS(S$66:S$103,P$66:P$103,P133,R$66:R$103,R133),SUMIFS(V$115:V$132,Q$115:Q$132,Q133,R$115:R$132,R133)*U133)</f>
        <v>376185.76916643552</v>
      </c>
      <c r="U133" s="93">
        <f t="shared" ref="U133:U141" si="69">SUMIFS(S$8:S$51,P$8:P$51,P133,Q$8:Q$51,Q133,R$8:R$51,R133)</f>
        <v>39261.300000000003</v>
      </c>
      <c r="X133" s="93"/>
    </row>
    <row r="134" spans="3:30">
      <c r="C134"/>
      <c r="D134"/>
      <c r="E134"/>
      <c r="F134"/>
      <c r="G134"/>
      <c r="H134"/>
      <c r="I134"/>
      <c r="J134"/>
      <c r="K134"/>
      <c r="L134"/>
      <c r="M134"/>
      <c r="N134" s="162" t="s">
        <v>439</v>
      </c>
      <c r="O134" s="162" t="s">
        <v>19</v>
      </c>
      <c r="P134" s="55" t="s">
        <v>2</v>
      </c>
      <c r="Q134" s="101" t="s">
        <v>136</v>
      </c>
      <c r="R134" s="101" t="s">
        <v>272</v>
      </c>
      <c r="S134" s="164">
        <f t="shared" ca="1" si="67"/>
        <v>0</v>
      </c>
      <c r="T134" s="1">
        <f t="shared" ca="1" si="68"/>
        <v>0</v>
      </c>
      <c r="U134" s="93">
        <f t="shared" si="69"/>
        <v>0</v>
      </c>
      <c r="W134" s="171" t="s">
        <v>515</v>
      </c>
      <c r="X134" s="322"/>
    </row>
    <row r="135" spans="3:30">
      <c r="C135"/>
      <c r="D135"/>
      <c r="E135"/>
      <c r="F135"/>
      <c r="G135"/>
      <c r="H135"/>
      <c r="I135"/>
      <c r="J135"/>
      <c r="K135"/>
      <c r="L135"/>
      <c r="M135"/>
      <c r="N135" s="162" t="s">
        <v>439</v>
      </c>
      <c r="O135" s="162" t="s">
        <v>19</v>
      </c>
      <c r="P135" s="55" t="s">
        <v>2</v>
      </c>
      <c r="Q135" s="101" t="s">
        <v>137</v>
      </c>
      <c r="R135" s="101" t="s">
        <v>271</v>
      </c>
      <c r="S135" s="164">
        <f t="shared" ca="1" si="67"/>
        <v>41254.18</v>
      </c>
      <c r="T135" s="1">
        <f t="shared" ca="1" si="68"/>
        <v>38821.677210467344</v>
      </c>
      <c r="U135" s="93">
        <f t="shared" si="69"/>
        <v>2717.666666666667</v>
      </c>
      <c r="W135" s="338" t="s">
        <v>549</v>
      </c>
      <c r="X135" s="391"/>
    </row>
    <row r="136" spans="3:30">
      <c r="C136"/>
      <c r="D136"/>
      <c r="E136"/>
      <c r="F136"/>
      <c r="G136"/>
      <c r="H136"/>
      <c r="I136"/>
      <c r="J136"/>
      <c r="K136"/>
      <c r="L136"/>
      <c r="M136"/>
      <c r="N136" s="162" t="s">
        <v>439</v>
      </c>
      <c r="O136" s="162" t="s">
        <v>19</v>
      </c>
      <c r="P136" s="55" t="s">
        <v>2</v>
      </c>
      <c r="Q136" s="101" t="s">
        <v>137</v>
      </c>
      <c r="R136" s="101" t="s">
        <v>272</v>
      </c>
      <c r="S136" s="164">
        <f t="shared" ca="1" si="67"/>
        <v>0</v>
      </c>
      <c r="T136" s="1">
        <f t="shared" ca="1" si="68"/>
        <v>0</v>
      </c>
      <c r="U136" s="93">
        <f t="shared" si="69"/>
        <v>0</v>
      </c>
      <c r="W136" s="387" t="s">
        <v>540</v>
      </c>
      <c r="X136" s="387" t="s">
        <v>428</v>
      </c>
    </row>
    <row r="137" spans="3:30">
      <c r="C137"/>
      <c r="D137"/>
      <c r="E137"/>
      <c r="F137"/>
      <c r="G137"/>
      <c r="H137"/>
      <c r="I137"/>
      <c r="J137"/>
      <c r="K137"/>
      <c r="L137"/>
      <c r="M137"/>
      <c r="N137" s="162" t="s">
        <v>439</v>
      </c>
      <c r="O137" s="162" t="s">
        <v>19</v>
      </c>
      <c r="P137" s="55" t="s">
        <v>2</v>
      </c>
      <c r="Q137" s="101" t="s">
        <v>132</v>
      </c>
      <c r="R137" s="101" t="s">
        <v>217</v>
      </c>
      <c r="S137" s="164">
        <f t="shared" ca="1" si="67"/>
        <v>26026.099820512827</v>
      </c>
      <c r="T137" s="1">
        <f t="shared" ca="1" si="68"/>
        <v>24468.52945918934</v>
      </c>
      <c r="U137" s="93">
        <f t="shared" si="69"/>
        <v>24552.924358974364</v>
      </c>
      <c r="W137" s="605" t="s">
        <v>513</v>
      </c>
      <c r="X137" s="605" t="s">
        <v>426</v>
      </c>
    </row>
    <row r="138" spans="3:30">
      <c r="C138"/>
      <c r="D138"/>
      <c r="E138"/>
      <c r="F138"/>
      <c r="G138"/>
      <c r="H138"/>
      <c r="I138"/>
      <c r="J138"/>
      <c r="K138"/>
      <c r="L138"/>
      <c r="M138"/>
      <c r="N138" s="162" t="s">
        <v>439</v>
      </c>
      <c r="O138" s="162" t="s">
        <v>19</v>
      </c>
      <c r="P138" s="55" t="s">
        <v>2</v>
      </c>
      <c r="Q138" s="101" t="s">
        <v>132</v>
      </c>
      <c r="R138" s="101" t="s">
        <v>219</v>
      </c>
      <c r="S138" s="164">
        <f t="shared" ca="1" si="67"/>
        <v>0</v>
      </c>
      <c r="T138" s="1">
        <f t="shared" ca="1" si="68"/>
        <v>0</v>
      </c>
      <c r="U138" s="93">
        <f t="shared" si="69"/>
        <v>0</v>
      </c>
      <c r="W138" s="364">
        <f>'Sch.16,17,19'!Q25-'Sch.16,17,19'!Q26</f>
        <v>5.305E-2</v>
      </c>
      <c r="X138" s="283">
        <f>'Sch.16,17,19'!W28</f>
        <v>42.314263710172199</v>
      </c>
    </row>
    <row r="139" spans="3:30">
      <c r="C139"/>
      <c r="D139"/>
      <c r="E139"/>
      <c r="F139"/>
      <c r="G139"/>
      <c r="H139"/>
      <c r="I139"/>
      <c r="J139"/>
      <c r="K139"/>
      <c r="L139"/>
      <c r="M139"/>
      <c r="N139" s="162" t="s">
        <v>439</v>
      </c>
      <c r="O139" s="162" t="s">
        <v>19</v>
      </c>
      <c r="P139" s="55" t="s">
        <v>2</v>
      </c>
      <c r="Q139" s="101" t="s">
        <v>132</v>
      </c>
      <c r="R139" s="101" t="s">
        <v>139</v>
      </c>
      <c r="S139" s="164">
        <f t="shared" ca="1" si="67"/>
        <v>56318.709186351713</v>
      </c>
      <c r="T139" s="1">
        <f t="shared" ca="1" si="68"/>
        <v>52992.846302144368</v>
      </c>
      <c r="U139" s="93">
        <f t="shared" si="69"/>
        <v>14515.131233595803</v>
      </c>
    </row>
    <row r="140" spans="3:30">
      <c r="C140"/>
      <c r="D140"/>
      <c r="E140"/>
      <c r="F140"/>
      <c r="G140"/>
      <c r="H140"/>
      <c r="I140"/>
      <c r="J140"/>
      <c r="K140"/>
      <c r="L140"/>
      <c r="M140"/>
      <c r="N140" s="162" t="s">
        <v>439</v>
      </c>
      <c r="O140" s="162" t="s">
        <v>19</v>
      </c>
      <c r="P140" s="55" t="s">
        <v>2</v>
      </c>
      <c r="Q140" s="101" t="s">
        <v>132</v>
      </c>
      <c r="R140" s="101" t="s">
        <v>331</v>
      </c>
      <c r="S140" s="164">
        <f t="shared" ca="1" si="67"/>
        <v>550984.61143680778</v>
      </c>
      <c r="T140" s="1">
        <f t="shared" ca="1" si="68"/>
        <v>518392.95166192146</v>
      </c>
      <c r="U140" s="93">
        <f t="shared" si="69"/>
        <v>4543828.2322019441</v>
      </c>
    </row>
    <row r="141" spans="3:30">
      <c r="C141"/>
      <c r="D141"/>
      <c r="E141"/>
      <c r="F141"/>
      <c r="G141"/>
      <c r="H141"/>
      <c r="I141"/>
      <c r="J141"/>
      <c r="K141"/>
      <c r="L141"/>
      <c r="M141"/>
      <c r="N141" s="162" t="s">
        <v>439</v>
      </c>
      <c r="O141" s="162" t="s">
        <v>19</v>
      </c>
      <c r="P141" s="55" t="s">
        <v>2</v>
      </c>
      <c r="Q141" s="101" t="s">
        <v>132</v>
      </c>
      <c r="R141" s="101" t="s">
        <v>329</v>
      </c>
      <c r="S141" s="164">
        <f t="shared" ca="1" si="67"/>
        <v>1094117.3412132785</v>
      </c>
      <c r="T141" s="1">
        <f t="shared" ca="1" si="68"/>
        <v>1029398.4735744203</v>
      </c>
      <c r="U141" s="93">
        <f t="shared" si="69"/>
        <v>9022904.0179224666</v>
      </c>
      <c r="X141" s="93"/>
    </row>
    <row r="142" spans="3:30">
      <c r="C142"/>
      <c r="D142"/>
      <c r="E142"/>
      <c r="F142"/>
      <c r="G142"/>
      <c r="H142"/>
      <c r="I142"/>
      <c r="J142"/>
      <c r="K142"/>
      <c r="L142"/>
      <c r="M142"/>
      <c r="N142" s="162" t="s">
        <v>439</v>
      </c>
      <c r="O142" s="162" t="s">
        <v>19</v>
      </c>
      <c r="P142" s="55" t="s">
        <v>2</v>
      </c>
      <c r="Q142" s="101" t="s">
        <v>132</v>
      </c>
      <c r="R142" s="101" t="s">
        <v>332</v>
      </c>
      <c r="S142" s="164">
        <f t="shared" ca="1" si="67"/>
        <v>227195.4956209221</v>
      </c>
      <c r="T142" s="1">
        <f t="shared" ca="1" si="68"/>
        <v>213757.28239388595</v>
      </c>
      <c r="U142" s="93">
        <f>SUMIFS(S$8:S$51,P$8:P$51,P142,Q$8:Q$51,Q142,R$8:R$51,R142)+S16</f>
        <v>2709223.6539580501</v>
      </c>
      <c r="X142" s="93"/>
    </row>
    <row r="143" spans="3:30">
      <c r="C143"/>
      <c r="D143"/>
      <c r="E143"/>
      <c r="F143"/>
      <c r="G143"/>
      <c r="H143"/>
      <c r="I143"/>
      <c r="J143"/>
      <c r="K143"/>
      <c r="L143"/>
      <c r="M143"/>
      <c r="N143" s="162" t="s">
        <v>439</v>
      </c>
      <c r="O143" s="162" t="s">
        <v>19</v>
      </c>
      <c r="P143" s="55" t="s">
        <v>2</v>
      </c>
      <c r="Q143" s="101" t="s">
        <v>132</v>
      </c>
      <c r="R143" s="101" t="s">
        <v>330</v>
      </c>
      <c r="S143" s="164">
        <f t="shared" ca="1" si="67"/>
        <v>446841.54718837509</v>
      </c>
      <c r="T143" s="1">
        <f t="shared" ca="1" si="68"/>
        <v>420411.65704726463</v>
      </c>
      <c r="U143" s="93">
        <f>SUMIFS(S$8:S$51,P$8:P$51,P143,Q$8:Q$51,Q143,R$8:R$51,R143)+S17</f>
        <v>5328422.9333219063</v>
      </c>
      <c r="X143" s="93"/>
    </row>
    <row r="144" spans="3:30">
      <c r="C144"/>
      <c r="D144"/>
      <c r="E144"/>
      <c r="F144"/>
      <c r="G144"/>
      <c r="H144"/>
      <c r="I144"/>
      <c r="J144"/>
      <c r="K144"/>
      <c r="L144"/>
      <c r="M144"/>
      <c r="N144" s="162" t="s">
        <v>439</v>
      </c>
      <c r="O144" s="162" t="s">
        <v>19</v>
      </c>
      <c r="P144" s="55" t="s">
        <v>2</v>
      </c>
      <c r="Q144" s="101" t="s">
        <v>132</v>
      </c>
      <c r="R144" s="101" t="s">
        <v>138</v>
      </c>
      <c r="S144" s="164">
        <f t="shared" si="67"/>
        <v>70.06</v>
      </c>
      <c r="T144" s="1">
        <f t="shared" si="68"/>
        <v>65.539999999999992</v>
      </c>
      <c r="U144" s="93">
        <f>SUMIFS(S$8:S$51,P$8:P$51,P144,Q$8:Q$51,Q144,R$8:R$51,R144)</f>
        <v>113</v>
      </c>
      <c r="X144" s="93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 s="162" t="s">
        <v>439</v>
      </c>
      <c r="O145" s="162" t="s">
        <v>19</v>
      </c>
      <c r="P145" s="55" t="s">
        <v>2</v>
      </c>
      <c r="Q145" s="101" t="s">
        <v>132</v>
      </c>
      <c r="R145" s="122" t="s">
        <v>303</v>
      </c>
      <c r="S145" s="164">
        <f t="shared" si="67"/>
        <v>0</v>
      </c>
      <c r="T145" s="1">
        <f t="shared" si="68"/>
        <v>0</v>
      </c>
      <c r="U145" s="93">
        <f>SUMIFS(S$8:S$51,P$8:P$51,P145,Q$8:Q$51,Q145,R$8:R$51,R145)</f>
        <v>0</v>
      </c>
      <c r="X145" s="257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 s="162" t="s">
        <v>439</v>
      </c>
      <c r="O146" s="162" t="s">
        <v>19</v>
      </c>
      <c r="P146" s="55" t="s">
        <v>2</v>
      </c>
      <c r="Q146" s="101" t="s">
        <v>132</v>
      </c>
      <c r="R146" s="122" t="s">
        <v>294</v>
      </c>
      <c r="S146" s="164">
        <f t="shared" si="67"/>
        <v>0</v>
      </c>
      <c r="T146" s="1">
        <f t="shared" si="68"/>
        <v>0</v>
      </c>
      <c r="U146" s="93">
        <f>SUMIFS(S$8:S$51,P$8:P$51,P146,Q$8:Q$51,Q146,R$8:R$51,R146)</f>
        <v>0</v>
      </c>
      <c r="X146" s="93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 s="162" t="s">
        <v>439</v>
      </c>
      <c r="O147" s="162" t="s">
        <v>19</v>
      </c>
      <c r="P147" s="55" t="s">
        <v>2</v>
      </c>
      <c r="Q147" s="101" t="s">
        <v>132</v>
      </c>
      <c r="R147" s="122" t="s">
        <v>304</v>
      </c>
      <c r="S147" s="164">
        <f t="shared" si="67"/>
        <v>0</v>
      </c>
      <c r="T147" s="1">
        <f t="shared" si="68"/>
        <v>0</v>
      </c>
      <c r="U147" s="93">
        <f>SUMIFS(S$8:S$51,P$8:P$51,P147,Q$8:Q$51,Q147,R$8:R$51,R147)</f>
        <v>0</v>
      </c>
      <c r="X147" s="93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 s="163" t="s">
        <v>439</v>
      </c>
      <c r="O148" s="163" t="s">
        <v>19</v>
      </c>
      <c r="P148" s="105" t="s">
        <v>2</v>
      </c>
      <c r="Q148" s="104" t="s">
        <v>132</v>
      </c>
      <c r="R148" s="368" t="s">
        <v>105</v>
      </c>
      <c r="S148" s="165">
        <f t="shared" si="67"/>
        <v>92749.030275302401</v>
      </c>
      <c r="T148" s="1">
        <f t="shared" si="68"/>
        <v>92749.030275302401</v>
      </c>
      <c r="U148" s="93"/>
      <c r="X148" s="93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 s="166" t="s">
        <v>439</v>
      </c>
      <c r="O149" s="166" t="s">
        <v>19</v>
      </c>
      <c r="P149" s="99" t="s">
        <v>3</v>
      </c>
      <c r="Q149" s="99" t="s">
        <v>136</v>
      </c>
      <c r="R149" s="99" t="s">
        <v>271</v>
      </c>
      <c r="S149" s="167">
        <f t="shared" ca="1" si="67"/>
        <v>1399615.6240000001</v>
      </c>
      <c r="T149" s="1">
        <f t="shared" ca="1" si="68"/>
        <v>1317342.4621250925</v>
      </c>
      <c r="U149" s="93">
        <f t="shared" ref="U149:U157" si="70">SUMIFS(S$8:S$51,P$8:P$51,P149,Q$8:Q$51,Q149,R$8:R$51,R149)</f>
        <v>137486.80000000002</v>
      </c>
      <c r="X149" s="93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 s="162" t="s">
        <v>439</v>
      </c>
      <c r="O150" s="162" t="s">
        <v>19</v>
      </c>
      <c r="P150" s="101" t="s">
        <v>3</v>
      </c>
      <c r="Q150" s="101" t="s">
        <v>136</v>
      </c>
      <c r="R150" s="101" t="s">
        <v>272</v>
      </c>
      <c r="S150" s="164">
        <f t="shared" ca="1" si="67"/>
        <v>321.29753424657531</v>
      </c>
      <c r="T150" s="1">
        <f t="shared" ca="1" si="68"/>
        <v>302.41080306710319</v>
      </c>
      <c r="U150" s="93">
        <f t="shared" si="70"/>
        <v>2.6301369863013697</v>
      </c>
      <c r="X150" s="93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 s="162" t="s">
        <v>439</v>
      </c>
      <c r="O151" s="162" t="s">
        <v>19</v>
      </c>
      <c r="P151" s="101" t="s">
        <v>3</v>
      </c>
      <c r="Q151" s="101" t="s">
        <v>137</v>
      </c>
      <c r="R151" s="101" t="s">
        <v>271</v>
      </c>
      <c r="S151" s="164">
        <f t="shared" ca="1" si="67"/>
        <v>980852.66399999976</v>
      </c>
      <c r="T151" s="1">
        <f t="shared" ca="1" si="68"/>
        <v>923017.87389386899</v>
      </c>
      <c r="U151" s="93">
        <f t="shared" si="70"/>
        <v>64614.799999999988</v>
      </c>
      <c r="X151" s="93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 s="162" t="s">
        <v>439</v>
      </c>
      <c r="O152" s="162" t="s">
        <v>19</v>
      </c>
      <c r="P152" s="101" t="s">
        <v>3</v>
      </c>
      <c r="Q152" s="101" t="s">
        <v>137</v>
      </c>
      <c r="R152" s="101" t="s">
        <v>272</v>
      </c>
      <c r="S152" s="164">
        <f t="shared" ca="1" si="67"/>
        <v>11561.919780821914</v>
      </c>
      <c r="T152" s="1">
        <f t="shared" ca="1" si="68"/>
        <v>10880.185175523684</v>
      </c>
      <c r="U152" s="93">
        <f t="shared" si="70"/>
        <v>63.471232876712314</v>
      </c>
      <c r="X152" s="93"/>
    </row>
    <row r="153" spans="3:24">
      <c r="C153"/>
      <c r="D153"/>
      <c r="E153"/>
      <c r="F153"/>
      <c r="G153"/>
      <c r="H153"/>
      <c r="I153"/>
      <c r="J153"/>
      <c r="K153"/>
      <c r="L153"/>
      <c r="M153"/>
      <c r="N153" s="162" t="s">
        <v>439</v>
      </c>
      <c r="O153" s="162" t="s">
        <v>19</v>
      </c>
      <c r="P153" s="101" t="s">
        <v>3</v>
      </c>
      <c r="Q153" s="101" t="s">
        <v>132</v>
      </c>
      <c r="R153" s="101" t="s">
        <v>217</v>
      </c>
      <c r="S153" s="164">
        <f t="shared" ca="1" si="67"/>
        <v>1259151.4620897437</v>
      </c>
      <c r="T153" s="1">
        <f t="shared" ca="1" si="68"/>
        <v>1183795.6841862733</v>
      </c>
      <c r="U153" s="93">
        <f t="shared" si="70"/>
        <v>1187878.7378205128</v>
      </c>
      <c r="X153" s="93"/>
    </row>
    <row r="154" spans="3:24">
      <c r="C154"/>
      <c r="D154"/>
      <c r="E154"/>
      <c r="F154"/>
      <c r="G154"/>
      <c r="H154"/>
      <c r="I154"/>
      <c r="J154"/>
      <c r="K154"/>
      <c r="L154"/>
      <c r="M154"/>
      <c r="N154" s="162" t="s">
        <v>439</v>
      </c>
      <c r="O154" s="162" t="s">
        <v>19</v>
      </c>
      <c r="P154" s="101" t="s">
        <v>3</v>
      </c>
      <c r="Q154" s="101" t="s">
        <v>132</v>
      </c>
      <c r="R154" s="101" t="s">
        <v>219</v>
      </c>
      <c r="S154" s="164">
        <f t="shared" ca="1" si="67"/>
        <v>27094.634086406742</v>
      </c>
      <c r="T154" s="1">
        <f t="shared" ca="1" si="68"/>
        <v>25473.115714659383</v>
      </c>
      <c r="U154" s="93">
        <f t="shared" si="70"/>
        <v>2130.0812961011588</v>
      </c>
      <c r="X154" s="93"/>
    </row>
    <row r="155" spans="3:24">
      <c r="C155"/>
      <c r="D155"/>
      <c r="E155"/>
      <c r="F155"/>
      <c r="G155"/>
      <c r="H155"/>
      <c r="I155"/>
      <c r="J155"/>
      <c r="K155"/>
      <c r="L155"/>
      <c r="M155"/>
      <c r="N155" s="162" t="s">
        <v>439</v>
      </c>
      <c r="O155" s="162" t="s">
        <v>19</v>
      </c>
      <c r="P155" s="101" t="s">
        <v>3</v>
      </c>
      <c r="Q155" s="101" t="s">
        <v>132</v>
      </c>
      <c r="R155" s="101" t="s">
        <v>139</v>
      </c>
      <c r="S155" s="164">
        <f t="shared" ca="1" si="67"/>
        <v>2774911.9138057739</v>
      </c>
      <c r="T155" s="1">
        <f t="shared" ca="1" si="68"/>
        <v>2611041.387041145</v>
      </c>
      <c r="U155" s="93">
        <f t="shared" si="70"/>
        <v>715183.48293963249</v>
      </c>
      <c r="X155" s="93"/>
    </row>
    <row r="156" spans="3:24">
      <c r="C156"/>
      <c r="D156"/>
      <c r="E156"/>
      <c r="F156"/>
      <c r="G156"/>
      <c r="H156"/>
      <c r="I156"/>
      <c r="J156"/>
      <c r="K156"/>
      <c r="L156"/>
      <c r="M156"/>
      <c r="N156" s="162" t="s">
        <v>439</v>
      </c>
      <c r="O156" s="162" t="s">
        <v>19</v>
      </c>
      <c r="P156" s="101" t="s">
        <v>3</v>
      </c>
      <c r="Q156" s="101" t="s">
        <v>132</v>
      </c>
      <c r="R156" s="101" t="s">
        <v>331</v>
      </c>
      <c r="S156" s="164">
        <f t="shared" ca="1" si="67"/>
        <v>4931055.465240594</v>
      </c>
      <c r="T156" s="1">
        <f t="shared" ca="1" si="68"/>
        <v>4639375.3008252447</v>
      </c>
      <c r="U156" s="93">
        <f t="shared" si="70"/>
        <v>40665144.85601677</v>
      </c>
      <c r="X156" s="93"/>
    </row>
    <row r="157" spans="3:24">
      <c r="C157"/>
      <c r="D157"/>
      <c r="E157"/>
      <c r="F157"/>
      <c r="G157"/>
      <c r="H157"/>
      <c r="I157"/>
      <c r="J157"/>
      <c r="K157"/>
      <c r="L157"/>
      <c r="M157"/>
      <c r="N157" s="162" t="s">
        <v>439</v>
      </c>
      <c r="O157" s="162" t="s">
        <v>19</v>
      </c>
      <c r="P157" s="101" t="s">
        <v>3</v>
      </c>
      <c r="Q157" s="101" t="s">
        <v>132</v>
      </c>
      <c r="R157" s="101" t="s">
        <v>329</v>
      </c>
      <c r="S157" s="164">
        <f t="shared" ca="1" si="67"/>
        <v>10222492.166548045</v>
      </c>
      <c r="T157" s="1">
        <f t="shared" ca="1" si="68"/>
        <v>9617814.6858562175</v>
      </c>
      <c r="U157" s="93">
        <f t="shared" si="70"/>
        <v>84302260.980933905</v>
      </c>
      <c r="X157" s="93"/>
    </row>
    <row r="158" spans="3:24">
      <c r="C158"/>
      <c r="D158"/>
      <c r="E158"/>
      <c r="F158"/>
      <c r="G158"/>
      <c r="H158"/>
      <c r="I158"/>
      <c r="J158"/>
      <c r="K158"/>
      <c r="L158"/>
      <c r="M158"/>
      <c r="N158" s="162" t="s">
        <v>439</v>
      </c>
      <c r="O158" s="162" t="s">
        <v>19</v>
      </c>
      <c r="P158" s="101" t="s">
        <v>3</v>
      </c>
      <c r="Q158" s="101" t="s">
        <v>132</v>
      </c>
      <c r="R158" s="101" t="s">
        <v>332</v>
      </c>
      <c r="S158" s="164">
        <f t="shared" ca="1" si="67"/>
        <v>11619800.371077202</v>
      </c>
      <c r="T158" s="1">
        <f t="shared" ca="1" si="68"/>
        <v>10932509.654263582</v>
      </c>
      <c r="U158" s="93">
        <f>SUMIFS(S$8:S$51,P$8:P$51,P158,Q$8:Q$51,Q158,R$8:R$51,R158)+S30</f>
        <v>138561893.28735036</v>
      </c>
      <c r="X158" s="93"/>
    </row>
    <row r="159" spans="3:24">
      <c r="C159"/>
      <c r="D159"/>
      <c r="E159"/>
      <c r="F159"/>
      <c r="G159"/>
      <c r="H159"/>
      <c r="I159"/>
      <c r="J159"/>
      <c r="K159"/>
      <c r="L159"/>
      <c r="M159"/>
      <c r="N159" s="162" t="s">
        <v>439</v>
      </c>
      <c r="O159" s="162" t="s">
        <v>19</v>
      </c>
      <c r="P159" s="101" t="s">
        <v>3</v>
      </c>
      <c r="Q159" s="101" t="s">
        <v>132</v>
      </c>
      <c r="R159" s="101" t="s">
        <v>330</v>
      </c>
      <c r="S159" s="164">
        <f t="shared" ca="1" si="67"/>
        <v>20451247.407587007</v>
      </c>
      <c r="T159" s="1">
        <f t="shared" ca="1" si="68"/>
        <v>19241592.16036953</v>
      </c>
      <c r="U159" s="93">
        <f>SUMIFS(S$8:S$51,P$8:P$51,P159,Q$8:Q$51,Q159,R$8:R$51,R159)+S31</f>
        <v>243873687.18801582</v>
      </c>
      <c r="X159" s="93"/>
    </row>
    <row r="160" spans="3:24">
      <c r="C160"/>
      <c r="D160"/>
      <c r="E160"/>
      <c r="F160"/>
      <c r="G160"/>
      <c r="H160"/>
      <c r="I160"/>
      <c r="J160"/>
      <c r="K160"/>
      <c r="L160"/>
      <c r="M160"/>
      <c r="N160" s="162" t="s">
        <v>439</v>
      </c>
      <c r="O160" s="162" t="s">
        <v>19</v>
      </c>
      <c r="P160" s="101" t="s">
        <v>3</v>
      </c>
      <c r="Q160" s="101" t="s">
        <v>132</v>
      </c>
      <c r="R160" s="101" t="s">
        <v>138</v>
      </c>
      <c r="S160" s="164">
        <f t="shared" si="67"/>
        <v>67526.359310344822</v>
      </c>
      <c r="T160" s="1">
        <f t="shared" si="68"/>
        <v>63169.819999999992</v>
      </c>
      <c r="U160" s="93">
        <f>SUMIFS(S$8:S$51,P$8:P$51,P160,Q$8:Q$51,Q160,R$8:R$51,R160)</f>
        <v>108913.48275862068</v>
      </c>
      <c r="X160" s="93"/>
    </row>
    <row r="161" spans="3:24">
      <c r="C161"/>
      <c r="D161"/>
      <c r="E161"/>
      <c r="F161"/>
      <c r="G161"/>
      <c r="H161"/>
      <c r="I161"/>
      <c r="J161"/>
      <c r="K161"/>
      <c r="L161"/>
      <c r="M161"/>
      <c r="N161" s="162" t="s">
        <v>439</v>
      </c>
      <c r="O161" s="162" t="s">
        <v>19</v>
      </c>
      <c r="P161" s="101" t="s">
        <v>3</v>
      </c>
      <c r="Q161" s="101" t="s">
        <v>132</v>
      </c>
      <c r="R161" s="122" t="s">
        <v>303</v>
      </c>
      <c r="S161" s="164">
        <f t="shared" si="67"/>
        <v>-1043.94</v>
      </c>
      <c r="T161" s="1">
        <f t="shared" si="68"/>
        <v>-1043.9400000000003</v>
      </c>
      <c r="U161" s="93">
        <f>SUMIFS(S$8:S$51,P$8:P$51,P161,Q$8:Q$51,Q161,R$8:R$51,R161)</f>
        <v>104394</v>
      </c>
      <c r="X161" s="93"/>
    </row>
    <row r="162" spans="3:24">
      <c r="C162"/>
      <c r="D162"/>
      <c r="E162"/>
      <c r="F162"/>
      <c r="G162"/>
      <c r="H162"/>
      <c r="I162"/>
      <c r="J162"/>
      <c r="K162"/>
      <c r="L162"/>
      <c r="M162"/>
      <c r="N162" s="162" t="s">
        <v>439</v>
      </c>
      <c r="O162" s="162" t="s">
        <v>19</v>
      </c>
      <c r="P162" s="101" t="s">
        <v>3</v>
      </c>
      <c r="Q162" s="101" t="s">
        <v>132</v>
      </c>
      <c r="R162" s="122" t="s">
        <v>294</v>
      </c>
      <c r="S162" s="164">
        <f t="shared" si="67"/>
        <v>-1129.99</v>
      </c>
      <c r="T162" s="1">
        <f t="shared" si="68"/>
        <v>-1129.9900000000002</v>
      </c>
      <c r="U162" s="93">
        <f>SUMIFS(S$8:S$51,P$8:P$51,P162,Q$8:Q$51,Q162,R$8:R$51,R162)</f>
        <v>3766.6333333333332</v>
      </c>
      <c r="X162" s="93"/>
    </row>
    <row r="163" spans="3:24">
      <c r="C163"/>
      <c r="D163"/>
      <c r="E163"/>
      <c r="F163"/>
      <c r="G163"/>
      <c r="H163"/>
      <c r="I163"/>
      <c r="J163"/>
      <c r="K163"/>
      <c r="L163"/>
      <c r="M163"/>
      <c r="N163" s="162" t="s">
        <v>439</v>
      </c>
      <c r="O163" s="162" t="s">
        <v>19</v>
      </c>
      <c r="P163" s="101" t="s">
        <v>3</v>
      </c>
      <c r="Q163" s="101" t="s">
        <v>132</v>
      </c>
      <c r="R163" s="122" t="s">
        <v>304</v>
      </c>
      <c r="S163" s="164">
        <f t="shared" si="67"/>
        <v>7924</v>
      </c>
      <c r="T163" s="1">
        <f t="shared" si="68"/>
        <v>7924</v>
      </c>
      <c r="U163" s="93">
        <f>SUMIFS(S$8:S$51,P$8:P$51,P163,Q$8:Q$51,Q163,R$8:R$51,R163)</f>
        <v>132.06666666666666</v>
      </c>
      <c r="X163" s="93"/>
    </row>
    <row r="164" spans="3:24">
      <c r="C164"/>
      <c r="D164"/>
      <c r="E164"/>
      <c r="F164"/>
      <c r="G164"/>
      <c r="H164"/>
      <c r="I164"/>
      <c r="J164"/>
      <c r="K164"/>
      <c r="L164"/>
      <c r="M164"/>
      <c r="N164" s="163" t="s">
        <v>439</v>
      </c>
      <c r="O164" s="163" t="s">
        <v>19</v>
      </c>
      <c r="P164" s="104" t="s">
        <v>3</v>
      </c>
      <c r="Q164" s="104" t="s">
        <v>132</v>
      </c>
      <c r="R164" s="368" t="s">
        <v>105</v>
      </c>
      <c r="S164" s="165">
        <f t="shared" si="67"/>
        <v>753527.61020262272</v>
      </c>
      <c r="T164" s="1">
        <f t="shared" si="68"/>
        <v>753527.61020262272</v>
      </c>
      <c r="U164" s="93"/>
      <c r="X164" s="93"/>
    </row>
    <row r="165" spans="3:24">
      <c r="C165"/>
      <c r="D165"/>
      <c r="E165"/>
      <c r="F165"/>
      <c r="G165"/>
      <c r="H165"/>
      <c r="I165"/>
      <c r="J165"/>
      <c r="K165"/>
      <c r="L165"/>
      <c r="M165"/>
      <c r="N165" s="166" t="s">
        <v>439</v>
      </c>
      <c r="O165" s="166" t="s">
        <v>19</v>
      </c>
      <c r="P165" s="99" t="s">
        <v>5</v>
      </c>
      <c r="Q165" s="99" t="s">
        <v>136</v>
      </c>
      <c r="R165" s="99" t="s">
        <v>271</v>
      </c>
      <c r="S165" s="167">
        <f t="shared" ca="1" si="67"/>
        <v>21016.949333333334</v>
      </c>
      <c r="T165" s="1">
        <f t="shared" ca="1" si="68"/>
        <v>19781.516658127595</v>
      </c>
      <c r="U165" s="93">
        <f t="shared" ref="U165:U173" si="71">SUMIFS(S$8:S$51,P$8:P$51,P165,Q$8:Q$51,Q165,R$8:R$51,R165)</f>
        <v>2064.5333333333333</v>
      </c>
      <c r="X165" s="93"/>
    </row>
    <row r="166" spans="3:24">
      <c r="C166"/>
      <c r="D166"/>
      <c r="E166"/>
      <c r="F166"/>
      <c r="G166"/>
      <c r="H166"/>
      <c r="I166"/>
      <c r="J166"/>
      <c r="K166"/>
      <c r="L166"/>
      <c r="M166"/>
      <c r="N166" s="162" t="s">
        <v>439</v>
      </c>
      <c r="O166" s="162" t="s">
        <v>19</v>
      </c>
      <c r="P166" s="101" t="s">
        <v>5</v>
      </c>
      <c r="Q166" s="101" t="s">
        <v>136</v>
      </c>
      <c r="R166" s="101" t="s">
        <v>272</v>
      </c>
      <c r="S166" s="164">
        <f t="shared" ca="1" si="67"/>
        <v>0</v>
      </c>
      <c r="T166" s="1">
        <f t="shared" ca="1" si="68"/>
        <v>0</v>
      </c>
      <c r="U166" s="93">
        <f t="shared" si="71"/>
        <v>0</v>
      </c>
      <c r="X166" s="93"/>
    </row>
    <row r="167" spans="3:24">
      <c r="C167"/>
      <c r="D167"/>
      <c r="E167"/>
      <c r="F167"/>
      <c r="G167"/>
      <c r="H167"/>
      <c r="I167"/>
      <c r="J167"/>
      <c r="K167"/>
      <c r="L167"/>
      <c r="M167"/>
      <c r="N167" s="162" t="s">
        <v>439</v>
      </c>
      <c r="O167" s="162" t="s">
        <v>19</v>
      </c>
      <c r="P167" s="101" t="s">
        <v>5</v>
      </c>
      <c r="Q167" s="101" t="s">
        <v>137</v>
      </c>
      <c r="R167" s="101" t="s">
        <v>271</v>
      </c>
      <c r="S167" s="164">
        <f t="shared" ca="1" si="67"/>
        <v>42747.892</v>
      </c>
      <c r="T167" s="1">
        <f t="shared" ca="1" si="68"/>
        <v>40227.314290380251</v>
      </c>
      <c r="U167" s="93">
        <f t="shared" si="71"/>
        <v>2816.0666666666666</v>
      </c>
      <c r="X167" s="93"/>
    </row>
    <row r="168" spans="3:24">
      <c r="C168"/>
      <c r="D168"/>
      <c r="E168"/>
      <c r="F168"/>
      <c r="G168"/>
      <c r="H168"/>
      <c r="I168"/>
      <c r="J168"/>
      <c r="K168"/>
      <c r="L168"/>
      <c r="M168"/>
      <c r="N168" s="162" t="s">
        <v>439</v>
      </c>
      <c r="O168" s="162" t="s">
        <v>19</v>
      </c>
      <c r="P168" s="101" t="s">
        <v>5</v>
      </c>
      <c r="Q168" s="101" t="s">
        <v>137</v>
      </c>
      <c r="R168" s="101" t="s">
        <v>272</v>
      </c>
      <c r="S168" s="164">
        <f t="shared" ca="1" si="67"/>
        <v>182.16</v>
      </c>
      <c r="T168" s="1">
        <f t="shared" ca="1" si="68"/>
        <v>171.41915608694029</v>
      </c>
      <c r="U168" s="93">
        <f t="shared" si="71"/>
        <v>1</v>
      </c>
      <c r="X168" s="93"/>
    </row>
    <row r="169" spans="3:24">
      <c r="C169"/>
      <c r="D169"/>
      <c r="E169"/>
      <c r="F169"/>
      <c r="G169"/>
      <c r="H169"/>
      <c r="I169"/>
      <c r="J169"/>
      <c r="K169"/>
      <c r="L169"/>
      <c r="M169"/>
      <c r="N169" s="162" t="s">
        <v>439</v>
      </c>
      <c r="O169" s="162" t="s">
        <v>19</v>
      </c>
      <c r="P169" s="101" t="s">
        <v>5</v>
      </c>
      <c r="Q169" s="101" t="s">
        <v>132</v>
      </c>
      <c r="R169" s="101" t="s">
        <v>217</v>
      </c>
      <c r="S169" s="164">
        <f t="shared" ca="1" si="67"/>
        <v>53600.19442307693</v>
      </c>
      <c r="T169" s="1">
        <f t="shared" ca="1" si="68"/>
        <v>50392.41166767689</v>
      </c>
      <c r="U169" s="93">
        <f t="shared" si="71"/>
        <v>50566.221153846156</v>
      </c>
      <c r="X169" s="93"/>
    </row>
    <row r="170" spans="3:24">
      <c r="C170"/>
      <c r="D170"/>
      <c r="E170"/>
      <c r="F170"/>
      <c r="G170"/>
      <c r="H170"/>
      <c r="I170"/>
      <c r="J170"/>
      <c r="K170"/>
      <c r="L170"/>
      <c r="M170"/>
      <c r="N170" s="162" t="s">
        <v>439</v>
      </c>
      <c r="O170" s="162" t="s">
        <v>19</v>
      </c>
      <c r="P170" s="101" t="s">
        <v>5</v>
      </c>
      <c r="Q170" s="101" t="s">
        <v>132</v>
      </c>
      <c r="R170" s="101" t="s">
        <v>219</v>
      </c>
      <c r="S170" s="164">
        <f t="shared" ca="1" si="67"/>
        <v>712.3162860906217</v>
      </c>
      <c r="T170" s="1">
        <f t="shared" ca="1" si="68"/>
        <v>669.68666648744477</v>
      </c>
      <c r="U170" s="93">
        <f t="shared" si="71"/>
        <v>55.99970802599227</v>
      </c>
      <c r="X170" s="93"/>
    </row>
    <row r="171" spans="3:24">
      <c r="C171"/>
      <c r="D171"/>
      <c r="E171"/>
      <c r="F171"/>
      <c r="G171"/>
      <c r="H171"/>
      <c r="I171"/>
      <c r="J171"/>
      <c r="K171"/>
      <c r="L171"/>
      <c r="M171"/>
      <c r="N171" s="162" t="s">
        <v>439</v>
      </c>
      <c r="O171" s="162" t="s">
        <v>19</v>
      </c>
      <c r="P171" s="101" t="s">
        <v>5</v>
      </c>
      <c r="Q171" s="101" t="s">
        <v>132</v>
      </c>
      <c r="R171" s="101" t="s">
        <v>139</v>
      </c>
      <c r="S171" s="164">
        <f t="shared" ca="1" si="67"/>
        <v>127479.47748031495</v>
      </c>
      <c r="T171" s="1">
        <f t="shared" ca="1" si="68"/>
        <v>119951.26405399102</v>
      </c>
      <c r="U171" s="93">
        <f t="shared" si="71"/>
        <v>32855.535433070865</v>
      </c>
      <c r="X171" s="93"/>
    </row>
    <row r="172" spans="3:24">
      <c r="C172"/>
      <c r="D172"/>
      <c r="E172"/>
      <c r="F172"/>
      <c r="G172"/>
      <c r="H172"/>
      <c r="I172"/>
      <c r="J172"/>
      <c r="K172"/>
      <c r="L172"/>
      <c r="M172"/>
      <c r="N172" s="162" t="s">
        <v>439</v>
      </c>
      <c r="O172" s="162" t="s">
        <v>19</v>
      </c>
      <c r="P172" s="101" t="s">
        <v>5</v>
      </c>
      <c r="Q172" s="101" t="s">
        <v>132</v>
      </c>
      <c r="R172" s="101" t="s">
        <v>331</v>
      </c>
      <c r="S172" s="164">
        <f t="shared" ca="1" si="67"/>
        <v>119279.3988914443</v>
      </c>
      <c r="T172" s="1">
        <f t="shared" ca="1" si="68"/>
        <v>112223.82327983982</v>
      </c>
      <c r="U172" s="93">
        <f t="shared" si="71"/>
        <v>983666.49258984241</v>
      </c>
      <c r="X172" s="93"/>
    </row>
    <row r="173" spans="3:24">
      <c r="C173"/>
      <c r="D173"/>
      <c r="E173"/>
      <c r="F173"/>
      <c r="G173"/>
      <c r="H173"/>
      <c r="I173"/>
      <c r="J173"/>
      <c r="K173"/>
      <c r="L173"/>
      <c r="M173"/>
      <c r="N173" s="162" t="s">
        <v>439</v>
      </c>
      <c r="O173" s="162" t="s">
        <v>19</v>
      </c>
      <c r="P173" s="101" t="s">
        <v>5</v>
      </c>
      <c r="Q173" s="101" t="s">
        <v>132</v>
      </c>
      <c r="R173" s="101" t="s">
        <v>329</v>
      </c>
      <c r="S173" s="164">
        <f t="shared" ca="1" si="67"/>
        <v>236848.23221064819</v>
      </c>
      <c r="T173" s="1">
        <f t="shared" ca="1" si="68"/>
        <v>222838.26379725983</v>
      </c>
      <c r="U173" s="93">
        <f t="shared" si="71"/>
        <v>1953226.3913132786</v>
      </c>
      <c r="X173" s="93"/>
    </row>
    <row r="174" spans="3:24">
      <c r="C174"/>
      <c r="D174"/>
      <c r="E174"/>
      <c r="F174"/>
      <c r="G174"/>
      <c r="H174"/>
      <c r="I174"/>
      <c r="J174"/>
      <c r="K174"/>
      <c r="L174"/>
      <c r="M174"/>
      <c r="N174" s="162" t="s">
        <v>439</v>
      </c>
      <c r="O174" s="162" t="s">
        <v>19</v>
      </c>
      <c r="P174" s="101" t="s">
        <v>5</v>
      </c>
      <c r="Q174" s="101" t="s">
        <v>132</v>
      </c>
      <c r="R174" s="101" t="s">
        <v>332</v>
      </c>
      <c r="S174" s="164">
        <f t="shared" ca="1" si="67"/>
        <v>332006.6321871074</v>
      </c>
      <c r="T174" s="1">
        <f t="shared" ca="1" si="68"/>
        <v>312369.02491885115</v>
      </c>
      <c r="U174" s="93">
        <f>SUMIFS(S$8:S$51,P$8:P$51,P174,Q$8:Q$51,Q174,R$8:R$51,R174)+S46</f>
        <v>3959058.3375519603</v>
      </c>
      <c r="X174" s="93"/>
    </row>
    <row r="175" spans="3:24">
      <c r="C175"/>
      <c r="D175"/>
      <c r="E175"/>
      <c r="F175"/>
      <c r="G175"/>
      <c r="H175"/>
      <c r="I175"/>
      <c r="J175"/>
      <c r="K175"/>
      <c r="L175"/>
      <c r="M175"/>
      <c r="N175" s="162" t="s">
        <v>439</v>
      </c>
      <c r="O175" s="162" t="s">
        <v>19</v>
      </c>
      <c r="P175" s="101" t="s">
        <v>5</v>
      </c>
      <c r="Q175" s="101" t="s">
        <v>132</v>
      </c>
      <c r="R175" s="101" t="s">
        <v>330</v>
      </c>
      <c r="S175" s="164">
        <f t="shared" ca="1" si="67"/>
        <v>688181.49699662265</v>
      </c>
      <c r="T175" s="1">
        <f t="shared" ca="1" si="68"/>
        <v>647476.77408709889</v>
      </c>
      <c r="U175" s="93">
        <f>SUMIFS(S$8:S$51,P$8:P$51,P175,Q$8:Q$51,Q175,R$8:R$51,R175)+S47</f>
        <v>8206314.0591059215</v>
      </c>
      <c r="X175" s="93"/>
    </row>
    <row r="176" spans="3:24">
      <c r="C176"/>
      <c r="D176"/>
      <c r="E176"/>
      <c r="F176"/>
      <c r="G176"/>
      <c r="H176"/>
      <c r="I176"/>
      <c r="J176"/>
      <c r="K176"/>
      <c r="L176"/>
      <c r="M176"/>
      <c r="N176" s="162" t="s">
        <v>439</v>
      </c>
      <c r="O176" s="162" t="s">
        <v>19</v>
      </c>
      <c r="P176" s="101" t="s">
        <v>5</v>
      </c>
      <c r="Q176" s="101" t="s">
        <v>132</v>
      </c>
      <c r="R176" s="101" t="s">
        <v>138</v>
      </c>
      <c r="S176" s="164">
        <f t="shared" si="67"/>
        <v>8958.4334482758622</v>
      </c>
      <c r="T176" s="1">
        <f t="shared" si="68"/>
        <v>8380.4699999999993</v>
      </c>
      <c r="U176" s="93">
        <f>SUMIFS(S$8:S$51,P$8:P$51,P176,Q$8:Q$51,Q176,R$8:R$51,R176)</f>
        <v>14449.086206896553</v>
      </c>
      <c r="X176" s="93"/>
    </row>
    <row r="177" spans="3:27">
      <c r="C177"/>
      <c r="D177"/>
      <c r="E177"/>
      <c r="F177"/>
      <c r="G177"/>
      <c r="H177"/>
      <c r="I177"/>
      <c r="J177"/>
      <c r="K177"/>
      <c r="L177"/>
      <c r="M177"/>
      <c r="N177" s="162" t="s">
        <v>439</v>
      </c>
      <c r="O177" s="162" t="s">
        <v>19</v>
      </c>
      <c r="P177" s="101" t="s">
        <v>5</v>
      </c>
      <c r="Q177" s="101" t="s">
        <v>132</v>
      </c>
      <c r="R177" s="122" t="s">
        <v>303</v>
      </c>
      <c r="S177" s="164">
        <f t="shared" si="67"/>
        <v>-119.42</v>
      </c>
      <c r="T177" s="1">
        <f t="shared" si="68"/>
        <v>-119.42000000000003</v>
      </c>
      <c r="U177" s="93">
        <f>SUMIFS(S$8:S$51,P$8:P$51,P177,Q$8:Q$51,Q177,R$8:R$51,R177)</f>
        <v>11942</v>
      </c>
      <c r="X177" s="93"/>
    </row>
    <row r="178" spans="3:27">
      <c r="C178"/>
      <c r="D178"/>
      <c r="E178"/>
      <c r="F178"/>
      <c r="G178"/>
      <c r="H178"/>
      <c r="I178"/>
      <c r="J178"/>
      <c r="K178"/>
      <c r="L178"/>
      <c r="M178"/>
      <c r="N178" s="162" t="s">
        <v>439</v>
      </c>
      <c r="O178" s="162" t="s">
        <v>19</v>
      </c>
      <c r="P178" s="101" t="s">
        <v>5</v>
      </c>
      <c r="Q178" s="101" t="s">
        <v>132</v>
      </c>
      <c r="R178" s="122" t="s">
        <v>294</v>
      </c>
      <c r="S178" s="164">
        <f t="shared" si="67"/>
        <v>-146.76</v>
      </c>
      <c r="T178" s="1">
        <f t="shared" si="68"/>
        <v>-146.76000000000002</v>
      </c>
      <c r="U178" s="93">
        <f>SUMIFS(S$8:S$51,P$8:P$51,P178,Q$8:Q$51,Q178,R$8:R$51,R178)</f>
        <v>489.2</v>
      </c>
      <c r="X178" s="93"/>
    </row>
    <row r="179" spans="3:27">
      <c r="C179"/>
      <c r="D179"/>
      <c r="E179"/>
      <c r="F179"/>
      <c r="G179"/>
      <c r="H179"/>
      <c r="I179"/>
      <c r="J179"/>
      <c r="K179"/>
      <c r="L179"/>
      <c r="M179"/>
      <c r="N179" s="162" t="s">
        <v>439</v>
      </c>
      <c r="O179" s="162" t="s">
        <v>19</v>
      </c>
      <c r="P179" s="101" t="s">
        <v>5</v>
      </c>
      <c r="Q179" s="101" t="s">
        <v>132</v>
      </c>
      <c r="R179" s="122" t="s">
        <v>304</v>
      </c>
      <c r="S179" s="164">
        <f t="shared" si="67"/>
        <v>1556</v>
      </c>
      <c r="T179" s="1">
        <f t="shared" si="68"/>
        <v>1556</v>
      </c>
      <c r="U179" s="93">
        <f>SUMIFS(S$8:S$51,P$8:P$51,P179,Q$8:Q$51,Q179,R$8:R$51,R179)</f>
        <v>25.933333333333334</v>
      </c>
      <c r="X179" s="93"/>
    </row>
    <row r="180" spans="3:27">
      <c r="C180"/>
      <c r="D180"/>
      <c r="E180"/>
      <c r="F180"/>
      <c r="G180"/>
      <c r="H180"/>
      <c r="I180"/>
      <c r="J180"/>
      <c r="K180"/>
      <c r="L180"/>
      <c r="M180"/>
      <c r="N180" s="163" t="s">
        <v>439</v>
      </c>
      <c r="O180" s="163" t="s">
        <v>19</v>
      </c>
      <c r="P180" s="104" t="s">
        <v>5</v>
      </c>
      <c r="Q180" s="104" t="s">
        <v>132</v>
      </c>
      <c r="R180" s="368" t="s">
        <v>105</v>
      </c>
      <c r="S180" s="165">
        <f t="shared" si="67"/>
        <v>30849.452456491777</v>
      </c>
      <c r="T180" s="1">
        <f t="shared" si="68"/>
        <v>30849.452456491777</v>
      </c>
      <c r="U180" s="93">
        <f>SUMIFS(S$8:S$51,P$8:P$51,P180,Q$8:Q$51,Q180,R$8:R$51,R180)</f>
        <v>0</v>
      </c>
      <c r="X180" s="93"/>
    </row>
    <row r="181" spans="3:27">
      <c r="C181"/>
      <c r="D181"/>
      <c r="E181"/>
      <c r="F181"/>
      <c r="G181"/>
      <c r="H181"/>
      <c r="I181"/>
      <c r="J181"/>
      <c r="K181"/>
      <c r="L181"/>
      <c r="M181"/>
      <c r="N181" s="255" t="s">
        <v>474</v>
      </c>
      <c r="O181" s="210" t="s">
        <v>19</v>
      </c>
      <c r="P181" s="166" t="s">
        <v>132</v>
      </c>
      <c r="Q181" s="166" t="s">
        <v>132</v>
      </c>
      <c r="R181" s="166" t="s">
        <v>132</v>
      </c>
      <c r="S181" s="167">
        <f ca="1">'Cost of Service and Proposed $'!V123</f>
        <v>3104927.3867054735</v>
      </c>
      <c r="U181" s="38"/>
    </row>
    <row r="182" spans="3:27">
      <c r="C182"/>
      <c r="D182"/>
      <c r="E182"/>
      <c r="F182"/>
      <c r="G182"/>
      <c r="H182"/>
      <c r="I182"/>
      <c r="J182"/>
      <c r="K182"/>
      <c r="L182"/>
      <c r="M182"/>
      <c r="N182" s="256" t="s">
        <v>556</v>
      </c>
      <c r="O182" s="211" t="s">
        <v>19</v>
      </c>
      <c r="P182" s="163" t="s">
        <v>132</v>
      </c>
      <c r="Q182" s="163" t="s">
        <v>132</v>
      </c>
      <c r="R182" s="163" t="s">
        <v>132</v>
      </c>
      <c r="S182" s="165">
        <f ca="1">'Cost of Service and Proposed $'!V128-'Cost of Service and Proposed $'!V123</f>
        <v>52553464.240277842</v>
      </c>
      <c r="U182" s="38"/>
    </row>
    <row r="183" spans="3:27">
      <c r="C183"/>
      <c r="D183"/>
      <c r="E183"/>
      <c r="F183"/>
      <c r="G183"/>
      <c r="H183"/>
      <c r="I183"/>
      <c r="J183"/>
      <c r="K183"/>
      <c r="L183"/>
      <c r="M183"/>
      <c r="N183" s="274" t="s">
        <v>469</v>
      </c>
      <c r="O183" s="277" t="s">
        <v>19</v>
      </c>
      <c r="P183" s="166" t="s">
        <v>132</v>
      </c>
      <c r="Q183" s="166" t="s">
        <v>132</v>
      </c>
      <c r="R183" s="166" t="s">
        <v>271</v>
      </c>
      <c r="S183" s="167">
        <f ca="1">(T183*(U183-V183)+V183*100)/100</f>
        <v>2758398.7126934575</v>
      </c>
      <c r="T183" s="279">
        <f t="shared" ref="T183:T191" si="72">$T$106</f>
        <v>10</v>
      </c>
      <c r="U183" s="111">
        <f ca="1">S181*(1-SUM(U187:U191)/SUM(S181:S182))</f>
        <v>3051608.6859678766</v>
      </c>
      <c r="V183" s="93" cm="1">
        <f t="array" aca="1" ref="V183" ca="1">SUM(SUMIFS(S$133:S$180,R$133:R$180,{"Bill","Annual Bill"}))/SUM(SUMIFS(S$133:S$180,R$133:R$180,{"Bill","Annual Bill","Load Size kW","Annual Load Size kW","kW","kWh*"}))*(SUM(S181:S182)-SUM(V187:V191))</f>
        <v>2725819.826774078</v>
      </c>
    </row>
    <row r="184" spans="3:27">
      <c r="C184"/>
      <c r="D184"/>
      <c r="E184"/>
      <c r="F184"/>
      <c r="G184"/>
      <c r="H184"/>
      <c r="I184"/>
      <c r="J184"/>
      <c r="K184"/>
      <c r="L184"/>
      <c r="M184"/>
      <c r="N184" s="275" t="s">
        <v>469</v>
      </c>
      <c r="O184" s="248" t="s">
        <v>19</v>
      </c>
      <c r="P184" s="162" t="s">
        <v>132</v>
      </c>
      <c r="Q184" s="162" t="s">
        <v>132</v>
      </c>
      <c r="R184" s="162" t="s">
        <v>217</v>
      </c>
      <c r="S184" s="164">
        <f t="shared" ref="S184:S191" ca="1" si="73">(T184*(U184-V184)+V184*100)/100</f>
        <v>1284925.7168585155</v>
      </c>
      <c r="T184" s="279">
        <f t="shared" si="72"/>
        <v>10</v>
      </c>
      <c r="U184" s="111" cm="1">
        <f t="array" aca="1" ref="U184" ca="1">S182*SUM(SUMIFS(S$133:S$180,R$133:R$180,{"Load Size kW","Annual Load Size kW"}))/SUM(SUMIFS(S$133:S$180,R$133:R$180,{"Load Size kW","Annual Load Size kW","kW","kWh*"}))*(1-SUM(U187:U191)/SUM(S181:S182))</f>
        <v>1277672.6846704904</v>
      </c>
      <c r="V184" s="93" cm="1">
        <f t="array" aca="1" ref="V184" ca="1">SUM(SUMIFS(S$133:S$180,R$133:R$180,{"Load Size kW","Annual Load Size kW"}))/SUM(SUMIFS(S$133:S$180,R$133:R$180,{"Bill","Annual Bill","Load Size kW","Annual Load Size kW","kW","kWh*"}))*(SUM(S181:S182)-SUM(V187:V191))</f>
        <v>1285731.6093238518</v>
      </c>
    </row>
    <row r="185" spans="3:27">
      <c r="C185"/>
      <c r="D185"/>
      <c r="E185"/>
      <c r="F185"/>
      <c r="G185"/>
      <c r="H185"/>
      <c r="I185"/>
      <c r="J185"/>
      <c r="K185"/>
      <c r="L185"/>
      <c r="M185"/>
      <c r="N185" s="275" t="s">
        <v>469</v>
      </c>
      <c r="O185" s="248" t="s">
        <v>19</v>
      </c>
      <c r="P185" s="162" t="s">
        <v>132</v>
      </c>
      <c r="Q185" s="162" t="s">
        <v>132</v>
      </c>
      <c r="R185" s="162" t="s">
        <v>139</v>
      </c>
      <c r="S185" s="164">
        <f t="shared" ca="1" si="73"/>
        <v>2781915.1481580543</v>
      </c>
      <c r="T185" s="279">
        <f t="shared" si="72"/>
        <v>10</v>
      </c>
      <c r="U185" s="111" cm="1">
        <f t="array" aca="1" ref="U185" ca="1">S182*SUM(SUMIFS(S$133:S$180,R$133:R$180,{"kW"}))/SUM(SUMIFS(S$133:S$180,R$133:R$180,{"Load Size kW","Annual Load Size kW","kW","kWh*"}))*(1-SUM(U187:U191)/SUM(S181:S182))</f>
        <v>2766212.0457536005</v>
      </c>
      <c r="V185" s="93" cm="1">
        <f t="array" aca="1" ref="V185" ca="1">SUM(SUMIFS(S$133:S$180,R$133:R$180,{"kW"}))/SUM(SUMIFS(S$133:S$180,R$133:R$180,{"Bill","Annual Bill","Load Size kW","Annual Load Size kW","kW","kWh*"}))*(SUM(S181:S182)-SUM(V187:V191))</f>
        <v>2783659.9373141048</v>
      </c>
    </row>
    <row r="186" spans="3:27">
      <c r="C186"/>
      <c r="D186"/>
      <c r="E186"/>
      <c r="F186"/>
      <c r="G186"/>
      <c r="H186"/>
      <c r="I186"/>
      <c r="J186"/>
      <c r="K186"/>
      <c r="L186"/>
      <c r="M186"/>
      <c r="N186" s="275" t="s">
        <v>469</v>
      </c>
      <c r="O186" s="248" t="s">
        <v>19</v>
      </c>
      <c r="P186" s="162" t="s">
        <v>132</v>
      </c>
      <c r="Q186" s="162" t="s">
        <v>132</v>
      </c>
      <c r="R186" s="162" t="s">
        <v>4</v>
      </c>
      <c r="S186" s="164">
        <f t="shared" ca="1" si="73"/>
        <v>47877370.236338876</v>
      </c>
      <c r="T186" s="279">
        <f t="shared" si="72"/>
        <v>10</v>
      </c>
      <c r="U186" s="111" cm="1">
        <f t="array" aca="1" ref="U186" ca="1">S182*SUM(SUMIFS(S$133:S$180,R$133:R$180,{"kWh*"}))/SUM(SUMIFS(S$133:S$180,R$133:R$180,{"Load Size kW","Annual Load Size kW","kW","kWh*"}))*(1-SUM(U187:U191)/SUM(S181:S182))</f>
        <v>47607116.397656925</v>
      </c>
      <c r="V186" s="93" cm="1">
        <f t="array" aca="1" ref="V186" ca="1">SUM(SUMIFS(S$133:S$180,R$133:R$180,{"kWh*"}))/SUM(SUMIFS(S$133:S$180,R$133:R$180,{"Bill","Annual Bill","Load Size kW","Annual Load Size kW","kW","kWh*"}))*(SUM(S181:S182)-SUM(V187:V191))</f>
        <v>47907398.440636866</v>
      </c>
    </row>
    <row r="187" spans="3:27">
      <c r="C187"/>
      <c r="D187"/>
      <c r="E187"/>
      <c r="F187"/>
      <c r="G187"/>
      <c r="H187"/>
      <c r="I187"/>
      <c r="J187"/>
      <c r="K187"/>
      <c r="L187"/>
      <c r="M187"/>
      <c r="N187" s="275" t="s">
        <v>469</v>
      </c>
      <c r="O187" s="248" t="s">
        <v>19</v>
      </c>
      <c r="P187" s="162" t="s">
        <v>132</v>
      </c>
      <c r="Q187" s="162" t="s">
        <v>132</v>
      </c>
      <c r="R187" s="101" t="s">
        <v>138</v>
      </c>
      <c r="S187" s="164">
        <f t="shared" si="73"/>
        <v>71615.829999999987</v>
      </c>
      <c r="T187" s="279">
        <f t="shared" si="72"/>
        <v>10</v>
      </c>
      <c r="U187" s="111">
        <f>SUMIFS(S$66:S$103,R$66:R$103,R187)</f>
        <v>71615.829999999987</v>
      </c>
      <c r="V187" s="93">
        <f>SUMIFS(S$66:S$103,R$66:R$103,R187)</f>
        <v>71615.829999999987</v>
      </c>
    </row>
    <row r="188" spans="3:27">
      <c r="C188"/>
      <c r="D188"/>
      <c r="E188"/>
      <c r="F188"/>
      <c r="G188"/>
      <c r="H188"/>
      <c r="I188"/>
      <c r="J188"/>
      <c r="K188"/>
      <c r="L188"/>
      <c r="M188"/>
      <c r="N188" s="275" t="s">
        <v>469</v>
      </c>
      <c r="O188" s="248" t="s">
        <v>19</v>
      </c>
      <c r="P188" s="162" t="s">
        <v>132</v>
      </c>
      <c r="Q188" s="162" t="s">
        <v>132</v>
      </c>
      <c r="R188" s="122" t="s">
        <v>303</v>
      </c>
      <c r="S188" s="164">
        <f t="shared" si="73"/>
        <v>-1163.3600000000001</v>
      </c>
      <c r="T188" s="279">
        <f t="shared" si="72"/>
        <v>10</v>
      </c>
      <c r="U188" s="111">
        <f>SUMIFS(S$66:S$103,R$66:R$103,R188)</f>
        <v>-1163.3600000000001</v>
      </c>
      <c r="V188" s="93">
        <f>SUMIFS(S$66:S$103,R$66:R$103,R188)</f>
        <v>-1163.3600000000001</v>
      </c>
    </row>
    <row r="189" spans="3:27">
      <c r="C189"/>
      <c r="D189"/>
      <c r="E189"/>
      <c r="F189"/>
      <c r="G189"/>
      <c r="H189"/>
      <c r="I189"/>
      <c r="J189"/>
      <c r="K189"/>
      <c r="L189"/>
      <c r="M189"/>
      <c r="N189" s="275" t="s">
        <v>469</v>
      </c>
      <c r="O189" s="248" t="s">
        <v>19</v>
      </c>
      <c r="P189" s="162" t="s">
        <v>132</v>
      </c>
      <c r="Q189" s="162" t="s">
        <v>132</v>
      </c>
      <c r="R189" s="122" t="s">
        <v>294</v>
      </c>
      <c r="S189" s="164">
        <f t="shared" si="73"/>
        <v>-1276.75</v>
      </c>
      <c r="T189" s="279">
        <f t="shared" si="72"/>
        <v>10</v>
      </c>
      <c r="U189" s="111">
        <f>SUMIFS(S$66:S$103,R$66:R$103,R189)</f>
        <v>-1276.75</v>
      </c>
      <c r="V189" s="93">
        <f>SUMIFS(S$66:S$103,R$66:R$103,R189)</f>
        <v>-1276.75</v>
      </c>
    </row>
    <row r="190" spans="3:27">
      <c r="C190"/>
      <c r="D190"/>
      <c r="E190"/>
      <c r="F190"/>
      <c r="G190"/>
      <c r="H190"/>
      <c r="I190"/>
      <c r="J190"/>
      <c r="K190"/>
      <c r="L190"/>
      <c r="M190"/>
      <c r="N190" s="275" t="s">
        <v>469</v>
      </c>
      <c r="O190" s="248" t="s">
        <v>19</v>
      </c>
      <c r="P190" s="162" t="s">
        <v>132</v>
      </c>
      <c r="Q190" s="162" t="s">
        <v>132</v>
      </c>
      <c r="R190" s="122" t="s">
        <v>304</v>
      </c>
      <c r="S190" s="164">
        <f t="shared" si="73"/>
        <v>9480</v>
      </c>
      <c r="T190" s="279">
        <f t="shared" si="72"/>
        <v>10</v>
      </c>
      <c r="U190" s="111">
        <f>SUMIFS(S$66:S$103,R$66:R$103,R190)</f>
        <v>9480</v>
      </c>
      <c r="V190" s="93">
        <f>SUMIFS(S$66:S$103,R$66:R$103,R190)</f>
        <v>9480</v>
      </c>
    </row>
    <row r="191" spans="3:27">
      <c r="C191"/>
      <c r="D191"/>
      <c r="E191"/>
      <c r="F191"/>
      <c r="G191"/>
      <c r="H191"/>
      <c r="I191"/>
      <c r="J191"/>
      <c r="K191"/>
      <c r="L191"/>
      <c r="M191"/>
      <c r="N191" s="276" t="s">
        <v>469</v>
      </c>
      <c r="O191" s="252" t="s">
        <v>19</v>
      </c>
      <c r="P191" s="163" t="s">
        <v>132</v>
      </c>
      <c r="Q191" s="163" t="s">
        <v>132</v>
      </c>
      <c r="R191" s="163" t="s">
        <v>105</v>
      </c>
      <c r="S191" s="165">
        <f t="shared" si="73"/>
        <v>877126.09293441684</v>
      </c>
      <c r="T191" s="279">
        <f t="shared" si="72"/>
        <v>10</v>
      </c>
      <c r="U191" s="111">
        <f>SUMIFS(S$66:S$103,R$66:R$103,R191)</f>
        <v>877126.09293441684</v>
      </c>
      <c r="V191" s="93">
        <f>SUMIFS(S$66:S$103,R$66:R$103,R191)</f>
        <v>877126.09293441684</v>
      </c>
    </row>
    <row r="192" spans="3:27">
      <c r="C192"/>
      <c r="D192"/>
      <c r="E192"/>
      <c r="F192"/>
      <c r="G192"/>
      <c r="H192"/>
      <c r="I192"/>
      <c r="J192"/>
      <c r="K192"/>
      <c r="L192"/>
      <c r="M192"/>
      <c r="N192" s="166" t="s">
        <v>440</v>
      </c>
      <c r="O192" s="166" t="s">
        <v>338</v>
      </c>
      <c r="P192" s="166" t="s">
        <v>132</v>
      </c>
      <c r="Q192" s="99" t="s">
        <v>136</v>
      </c>
      <c r="R192" s="467" t="s">
        <v>271</v>
      </c>
      <c r="S192" s="269">
        <f t="shared" ref="S192:S202" ca="1" si="74">ROUND(T192/100*W192*X192/Y192/Z192+AB192,U192)*AA192</f>
        <v>10.29</v>
      </c>
      <c r="T192" s="380">
        <f>100+Summary!$Q$9</f>
        <v>106.13</v>
      </c>
      <c r="U192" s="111">
        <v>2</v>
      </c>
      <c r="V192" s="224">
        <f ca="1">W192*X192/Y192/Z192*AA192+AB192</f>
        <v>9.6921792630227372</v>
      </c>
      <c r="W192" s="1">
        <f ca="1">S$183</f>
        <v>2758398.7126934575</v>
      </c>
      <c r="X192" s="93">
        <f ca="1">SUMIFS(S$133:S$180,Q$133:Q$180,Q192,R$133:R$180,R192)+SUMIFS(S$133:S$180,Q$133:Q$180,Q193,R$133:R$180,R193)</f>
        <v>1820633.9048675799</v>
      </c>
      <c r="Y192" s="93" cm="1">
        <f t="array" aca="1" ref="Y192" ca="1">SUM(SUMIFS(S$133:S$180,R$133:R$180,{"Bill","Annual Bill"}))</f>
        <v>2897232.7206484019</v>
      </c>
      <c r="Z192" s="93">
        <f>SUMIFS(S$8:S$51,Q$8:Q$51,Q192,R$8:R$51,R192)*AA192+SUMIFS(S$8:S$51,Q$8:Q$51,Q193,R$8:R$51,R193)*AA193</f>
        <v>178844.19497716898</v>
      </c>
      <c r="AA192" s="93">
        <v>1</v>
      </c>
    </row>
    <row r="193" spans="3:32">
      <c r="C193"/>
      <c r="D193"/>
      <c r="E193"/>
      <c r="F193"/>
      <c r="G193"/>
      <c r="H193"/>
      <c r="I193"/>
      <c r="J193"/>
      <c r="K193"/>
      <c r="L193"/>
      <c r="M193"/>
      <c r="N193" s="162" t="s">
        <v>440</v>
      </c>
      <c r="O193" s="162" t="s">
        <v>338</v>
      </c>
      <c r="P193" s="162" t="s">
        <v>132</v>
      </c>
      <c r="Q193" s="101" t="s">
        <v>136</v>
      </c>
      <c r="R193" s="468" t="s">
        <v>272</v>
      </c>
      <c r="S193" s="270">
        <f t="shared" ca="1" si="74"/>
        <v>123.47999999999999</v>
      </c>
      <c r="T193" s="380">
        <f>100+Summary!$Q$9</f>
        <v>106.13</v>
      </c>
      <c r="U193" s="111">
        <v>2</v>
      </c>
      <c r="V193" s="224">
        <f t="shared" ref="V193:V209" ca="1" si="75">W193*X193/Y193/Z193*AA193+AB193</f>
        <v>116.30615115627285</v>
      </c>
      <c r="W193" s="1">
        <f ca="1">S$183</f>
        <v>2758398.7126934575</v>
      </c>
      <c r="X193" s="93">
        <f ca="1">SUMIFS(S$133:S$180,Q$133:Q$180,Q192,R$133:R$180,R192)+SUMIFS(S$133:S$180,Q$133:Q$180,Q193,R$133:R$180,R193)</f>
        <v>1820633.9048675799</v>
      </c>
      <c r="Y193" s="93" cm="1">
        <f t="array" aca="1" ref="Y193" ca="1">SUM(SUMIFS(S$133:S$180,R$133:R$180,{"Bill","Annual Bill"}))</f>
        <v>2897232.7206484019</v>
      </c>
      <c r="Z193" s="93">
        <f>SUMIFS(S$8:S$51,Q$8:Q$51,Q192,R$8:R$51,R192)*AA192+SUMIFS(S$8:S$51,Q$8:Q$51,Q193,R$8:R$51,R193)*AA193</f>
        <v>178844.19497716898</v>
      </c>
      <c r="AA193" s="93">
        <v>12</v>
      </c>
    </row>
    <row r="194" spans="3:32">
      <c r="C194"/>
      <c r="D194"/>
      <c r="E194"/>
      <c r="F194"/>
      <c r="G194"/>
      <c r="H194"/>
      <c r="I194"/>
      <c r="J194"/>
      <c r="K194"/>
      <c r="L194"/>
      <c r="M194"/>
      <c r="N194" s="162" t="s">
        <v>440</v>
      </c>
      <c r="O194" s="162" t="s">
        <v>338</v>
      </c>
      <c r="P194" s="162" t="s">
        <v>132</v>
      </c>
      <c r="Q194" s="101" t="s">
        <v>137</v>
      </c>
      <c r="R194" s="468" t="s">
        <v>271</v>
      </c>
      <c r="S194" s="270">
        <f t="shared" ca="1" si="74"/>
        <v>15.34</v>
      </c>
      <c r="T194" s="380">
        <f>100+Summary!$Q$9</f>
        <v>106.13</v>
      </c>
      <c r="U194" s="111">
        <v>2</v>
      </c>
      <c r="V194" s="224">
        <f t="shared" ca="1" si="75"/>
        <v>14.452581651540784</v>
      </c>
      <c r="W194" s="1">
        <f ca="1">S$183</f>
        <v>2758398.7126934575</v>
      </c>
      <c r="X194" s="93">
        <f ca="1">SUMIFS(S$133:S$180,Q$133:Q$180,Q194,R$133:R$180,R194)+SUMIFS(S$133:S$180,Q$133:Q$180,Q195,R$133:R$180,R195)</f>
        <v>1076598.8157808217</v>
      </c>
      <c r="Y194" s="93" cm="1">
        <f t="array" aca="1" ref="Y194" ca="1">SUM(SUMIFS(S$133:S$180,R$133:R$180,{"Bill","Annual Bill"}))</f>
        <v>2897232.7206484019</v>
      </c>
      <c r="Z194" s="93">
        <f>SUMIFS(S$8:S$51,Q$8:Q$51,Q194,R$8:R$51,R194)*AA194+SUMIFS(S$8:S$51,Q$8:Q$51,Q195,R$8:R$51,R195)*AA195</f>
        <v>70922.188127853879</v>
      </c>
      <c r="AA194" s="93">
        <v>1</v>
      </c>
    </row>
    <row r="195" spans="3:32">
      <c r="C195"/>
      <c r="D195"/>
      <c r="E195"/>
      <c r="F195"/>
      <c r="G195"/>
      <c r="H195"/>
      <c r="I195"/>
      <c r="J195"/>
      <c r="K195"/>
      <c r="L195"/>
      <c r="M195"/>
      <c r="N195" s="162" t="s">
        <v>440</v>
      </c>
      <c r="O195" s="162" t="s">
        <v>338</v>
      </c>
      <c r="P195" s="162" t="s">
        <v>132</v>
      </c>
      <c r="Q195" s="101" t="s">
        <v>137</v>
      </c>
      <c r="R195" s="468" t="s">
        <v>272</v>
      </c>
      <c r="S195" s="270">
        <f t="shared" ca="1" si="74"/>
        <v>184.07999999999998</v>
      </c>
      <c r="T195" s="380">
        <f>100+Summary!$Q$9</f>
        <v>106.13</v>
      </c>
      <c r="U195" s="111">
        <v>2</v>
      </c>
      <c r="V195" s="224">
        <f t="shared" ca="1" si="75"/>
        <v>173.43097981848942</v>
      </c>
      <c r="W195" s="1">
        <f ca="1">S$183</f>
        <v>2758398.7126934575</v>
      </c>
      <c r="X195" s="93">
        <f ca="1">SUMIFS(S$133:S$180,Q$133:Q$180,Q194,R$133:R$180,R194)+SUMIFS(S$133:S$180,Q$133:Q$180,Q195,R$133:R$180,R195)</f>
        <v>1076598.8157808217</v>
      </c>
      <c r="Y195" s="93" cm="1">
        <f t="array" aca="1" ref="Y195" ca="1">SUM(SUMIFS(S$133:S$180,R$133:R$180,{"Bill","Annual Bill"}))</f>
        <v>2897232.7206484019</v>
      </c>
      <c r="Z195" s="93">
        <f>SUMIFS(S$8:S$51,Q$8:Q$51,Q194,R$8:R$51,R194)*AA194+SUMIFS(S$8:S$51,Q$8:Q$51,Q195,R$8:R$51,R195)*AA195</f>
        <v>70922.188127853879</v>
      </c>
      <c r="AA195" s="93">
        <v>12</v>
      </c>
    </row>
    <row r="196" spans="3:32">
      <c r="C196"/>
      <c r="D196"/>
      <c r="E196"/>
      <c r="F196"/>
      <c r="G196"/>
      <c r="H196"/>
      <c r="I196"/>
      <c r="J196"/>
      <c r="K196"/>
      <c r="L196"/>
      <c r="M196"/>
      <c r="N196" s="162" t="s">
        <v>440</v>
      </c>
      <c r="O196" s="162" t="s">
        <v>338</v>
      </c>
      <c r="P196" s="162" t="s">
        <v>132</v>
      </c>
      <c r="Q196" s="101" t="s">
        <v>132</v>
      </c>
      <c r="R196" s="468" t="s">
        <v>217</v>
      </c>
      <c r="S196" s="270">
        <f t="shared" ca="1" si="74"/>
        <v>1.06</v>
      </c>
      <c r="T196" s="380">
        <f>100+Summary!$Q$9</f>
        <v>106.13</v>
      </c>
      <c r="U196" s="111">
        <v>2</v>
      </c>
      <c r="V196" s="224">
        <f t="shared" ca="1" si="75"/>
        <v>0.99666069229853704</v>
      </c>
      <c r="W196" s="1">
        <f ca="1">S$184</f>
        <v>1284925.7168585155</v>
      </c>
      <c r="X196" s="93">
        <v>1</v>
      </c>
      <c r="Y196" s="93">
        <v>1</v>
      </c>
      <c r="Z196" s="93">
        <f>SUMIFS(S$8:S$51,R$8:R$51,R196)*AA196+SUMIFS(S$8:S$51,R$8:R$51,R197)*AA197</f>
        <v>1289230.8553828592</v>
      </c>
      <c r="AA196" s="93">
        <v>1</v>
      </c>
    </row>
    <row r="197" spans="3:32">
      <c r="C197"/>
      <c r="D197"/>
      <c r="E197"/>
      <c r="F197"/>
      <c r="G197"/>
      <c r="H197"/>
      <c r="I197"/>
      <c r="J197"/>
      <c r="K197"/>
      <c r="L197"/>
      <c r="M197"/>
      <c r="N197" s="162" t="s">
        <v>440</v>
      </c>
      <c r="O197" s="162" t="s">
        <v>338</v>
      </c>
      <c r="P197" s="162" t="s">
        <v>132</v>
      </c>
      <c r="Q197" s="101" t="s">
        <v>132</v>
      </c>
      <c r="R197" s="468" t="s">
        <v>219</v>
      </c>
      <c r="S197" s="270">
        <f t="shared" ca="1" si="74"/>
        <v>12.72</v>
      </c>
      <c r="T197" s="380">
        <f>100+Summary!$Q$9</f>
        <v>106.13</v>
      </c>
      <c r="U197" s="111">
        <v>2</v>
      </c>
      <c r="V197" s="224">
        <f t="shared" ca="1" si="75"/>
        <v>11.959928307582445</v>
      </c>
      <c r="W197" s="1">
        <f ca="1">S$184</f>
        <v>1284925.7168585155</v>
      </c>
      <c r="X197" s="93">
        <v>1</v>
      </c>
      <c r="Y197" s="93">
        <v>1</v>
      </c>
      <c r="Z197" s="93">
        <f>SUMIFS(S$8:S$51,R$8:R$51,R196)*AA196+SUMIFS(S$8:S$51,R$8:R$51,R197)*AA197</f>
        <v>1289230.8553828592</v>
      </c>
      <c r="AA197" s="93">
        <v>12</v>
      </c>
    </row>
    <row r="198" spans="3:32">
      <c r="C198"/>
      <c r="D198"/>
      <c r="E198"/>
      <c r="F198"/>
      <c r="G198"/>
      <c r="H198"/>
      <c r="I198"/>
      <c r="J198"/>
      <c r="K198"/>
      <c r="L198"/>
      <c r="M198"/>
      <c r="N198" s="162" t="s">
        <v>440</v>
      </c>
      <c r="O198" s="162" t="s">
        <v>338</v>
      </c>
      <c r="P198" s="162" t="s">
        <v>132</v>
      </c>
      <c r="Q198" s="101" t="s">
        <v>132</v>
      </c>
      <c r="R198" s="468" t="s">
        <v>139</v>
      </c>
      <c r="S198" s="270">
        <f t="shared" ca="1" si="74"/>
        <v>3.87</v>
      </c>
      <c r="T198" s="380">
        <f>100+Summary!$Q$9</f>
        <v>106.13</v>
      </c>
      <c r="U198" s="111">
        <v>2</v>
      </c>
      <c r="V198" s="224">
        <f t="shared" ca="1" si="75"/>
        <v>3.6481542321870988</v>
      </c>
      <c r="W198" s="1">
        <f ca="1">S$185</f>
        <v>2781915.1481580543</v>
      </c>
      <c r="X198" s="93">
        <v>1</v>
      </c>
      <c r="Y198" s="93">
        <v>1</v>
      </c>
      <c r="Z198" s="93">
        <f>SUMIFS(S$8:S$51,R$8:R$51,R198)</f>
        <v>762554.14960629912</v>
      </c>
      <c r="AA198" s="93">
        <v>1</v>
      </c>
      <c r="AB198" s="93"/>
    </row>
    <row r="199" spans="3:32">
      <c r="C199"/>
      <c r="D199"/>
      <c r="E199"/>
      <c r="F199"/>
      <c r="G199"/>
      <c r="H199"/>
      <c r="I199"/>
      <c r="J199"/>
      <c r="K199"/>
      <c r="L199"/>
      <c r="M199"/>
      <c r="N199" s="162" t="s">
        <v>440</v>
      </c>
      <c r="O199" s="162" t="s">
        <v>338</v>
      </c>
      <c r="P199" s="162" t="s">
        <v>132</v>
      </c>
      <c r="Q199" s="101" t="s">
        <v>132</v>
      </c>
      <c r="R199" s="468" t="s">
        <v>331</v>
      </c>
      <c r="S199" s="270">
        <f t="shared" ca="1" si="74"/>
        <v>0.121</v>
      </c>
      <c r="T199" s="380">
        <f>100+Summary!$Q$9</f>
        <v>106.13</v>
      </c>
      <c r="U199" s="111">
        <v>5</v>
      </c>
      <c r="V199" s="224">
        <f t="shared" ca="1" si="75"/>
        <v>0.11401422221520816</v>
      </c>
      <c r="W199" s="1">
        <f ca="1">S$186</f>
        <v>47877370.236338876</v>
      </c>
      <c r="X199" s="93">
        <f ca="1">SUMIFS(S$133:S$180,R$133:R$180,"kWh First Block*")</f>
        <v>17154777.215540819</v>
      </c>
      <c r="Y199" s="93">
        <f ca="1">SUMIFS(S$133:S$180,R$133:R$180,"kWh*")</f>
        <v>50920050.16619806</v>
      </c>
      <c r="Z199" s="1" cm="1">
        <f t="array" ref="Z199">SUM(SUMIFS(S$8:S$51,R$8:R$51,{"kWh First Block*"}))</f>
        <v>141471030.9709782</v>
      </c>
      <c r="AA199" s="93">
        <v>1</v>
      </c>
      <c r="AB199" s="257">
        <f>AC199/AD199*AE199</f>
        <v>0</v>
      </c>
      <c r="AC199" s="1">
        <f>SUMIFS(S$8:S$51,R$8:R$51,"*(October - May)")</f>
        <v>352686815.57061332</v>
      </c>
      <c r="AD199" s="93">
        <f>SUMIFS(S$8:S$51,R$8:R$51,"kWh*")</f>
        <v>544109630.43028224</v>
      </c>
      <c r="AE199" s="257">
        <f>'Sch.16,17,19'!AH$38</f>
        <v>0</v>
      </c>
    </row>
    <row r="200" spans="3:32">
      <c r="C200"/>
      <c r="D200"/>
      <c r="E200"/>
      <c r="F200"/>
      <c r="G200"/>
      <c r="H200"/>
      <c r="I200"/>
      <c r="J200"/>
      <c r="K200"/>
      <c r="L200"/>
      <c r="M200"/>
      <c r="N200" s="162" t="s">
        <v>440</v>
      </c>
      <c r="O200" s="162" t="s">
        <v>338</v>
      </c>
      <c r="P200" s="162" t="s">
        <v>132</v>
      </c>
      <c r="Q200" s="101" t="s">
        <v>132</v>
      </c>
      <c r="R200" s="468" t="s">
        <v>329</v>
      </c>
      <c r="S200" s="270">
        <f t="shared" ca="1" si="74"/>
        <v>0.121</v>
      </c>
      <c r="T200" s="380">
        <f>100+Summary!$Q$9</f>
        <v>106.13</v>
      </c>
      <c r="U200" s="111">
        <v>5</v>
      </c>
      <c r="V200" s="224">
        <f t="shared" ca="1" si="75"/>
        <v>0.11401422221520816</v>
      </c>
      <c r="W200" s="1">
        <f ca="1">S$186</f>
        <v>47877370.236338876</v>
      </c>
      <c r="X200" s="93">
        <f ca="1">SUMIFS(S$133:S$180,R$133:R$180,"kWh First Block*")</f>
        <v>17154777.215540819</v>
      </c>
      <c r="Y200" s="93">
        <f ca="1">SUMIFS(S$133:S$180,R$133:R$180,"kWh*")</f>
        <v>50920050.16619806</v>
      </c>
      <c r="Z200" s="1" cm="1">
        <f t="array" ref="Z200">SUM(SUMIFS(S$8:S$51,R$8:R$51,{"kWh First Block*"}))</f>
        <v>141471030.9709782</v>
      </c>
      <c r="AA200" s="93">
        <v>1</v>
      </c>
      <c r="AB200" s="257">
        <f t="shared" ref="AB200:AB202" si="76">AC200/AD200*AE200</f>
        <v>0</v>
      </c>
      <c r="AC200" s="1">
        <f>SUMIFS(S$8:S$51,R$8:R$51,"*(June - September)")</f>
        <v>191422814.85966891</v>
      </c>
      <c r="AD200" s="93">
        <f t="shared" ref="AD200:AD202" si="77">SUMIFS(S$8:S$51,R$8:R$51,"kWh*")</f>
        <v>544109630.43028224</v>
      </c>
      <c r="AE200" s="257">
        <f>-'Sch.16,17,19'!AH$38</f>
        <v>0</v>
      </c>
      <c r="AF200" s="257">
        <f ca="1">T200/100*W200*X200/Y200/Z200</f>
        <v>0.12100329403700041</v>
      </c>
    </row>
    <row r="201" spans="3:32">
      <c r="C201"/>
      <c r="D201"/>
      <c r="E201"/>
      <c r="F201"/>
      <c r="G201"/>
      <c r="H201"/>
      <c r="I201"/>
      <c r="J201"/>
      <c r="K201"/>
      <c r="L201"/>
      <c r="M201"/>
      <c r="N201" s="162" t="s">
        <v>440</v>
      </c>
      <c r="O201" s="162" t="s">
        <v>338</v>
      </c>
      <c r="P201" s="162" t="s">
        <v>132</v>
      </c>
      <c r="Q201" s="101" t="s">
        <v>132</v>
      </c>
      <c r="R201" s="468" t="s">
        <v>332</v>
      </c>
      <c r="S201" s="270">
        <f t="shared" ca="1" si="74"/>
        <v>8.3680000000000004E-2</v>
      </c>
      <c r="T201" s="380">
        <f>100+Summary!$Q$9</f>
        <v>106.13</v>
      </c>
      <c r="U201" s="111">
        <v>5</v>
      </c>
      <c r="V201" s="224">
        <f t="shared" ca="1" si="75"/>
        <v>7.8849024203920121E-2</v>
      </c>
      <c r="W201" s="1">
        <f ca="1">S$186</f>
        <v>47877370.236338876</v>
      </c>
      <c r="X201" s="93" cm="1">
        <f t="array" aca="1" ref="X201" ca="1">SUM(SUMIFS(S$133:S$180,R$133:R$180,{"kWh Second Block*","kWh Third Block*"}))</f>
        <v>33765272.950657234</v>
      </c>
      <c r="Y201" s="93">
        <f ca="1">SUMIFS(S$133:S$180,R$133:R$180,"kWh*")</f>
        <v>50920050.16619806</v>
      </c>
      <c r="Z201" s="1" cm="1">
        <f t="array" ref="Z201">SUM(SUMIFS(S$8:S$51,R$8:R$51,{"kWh Second Block*","kWh Third Block*"}))</f>
        <v>402638599.45930403</v>
      </c>
      <c r="AA201" s="93">
        <v>1</v>
      </c>
      <c r="AB201" s="257">
        <f t="shared" si="76"/>
        <v>0</v>
      </c>
      <c r="AC201" s="1">
        <f>SUMIFS(S$8:S$51,R$8:R$51,"*(October - May)")</f>
        <v>352686815.57061332</v>
      </c>
      <c r="AD201" s="93">
        <f t="shared" si="77"/>
        <v>544109630.43028224</v>
      </c>
      <c r="AE201" s="257">
        <f>'Sch.16,17,19'!AH$38</f>
        <v>0</v>
      </c>
    </row>
    <row r="202" spans="3:32">
      <c r="C202"/>
      <c r="D202"/>
      <c r="E202"/>
      <c r="F202"/>
      <c r="G202"/>
      <c r="H202"/>
      <c r="I202"/>
      <c r="J202"/>
      <c r="K202"/>
      <c r="L202"/>
      <c r="M202"/>
      <c r="N202" s="162" t="s">
        <v>440</v>
      </c>
      <c r="O202" s="162" t="s">
        <v>338</v>
      </c>
      <c r="P202" s="162" t="s">
        <v>132</v>
      </c>
      <c r="Q202" s="101" t="s">
        <v>132</v>
      </c>
      <c r="R202" s="468" t="s">
        <v>330</v>
      </c>
      <c r="S202" s="270">
        <f t="shared" ca="1" si="74"/>
        <v>8.3680000000000004E-2</v>
      </c>
      <c r="T202" s="380">
        <f>100+Summary!$Q$9</f>
        <v>106.13</v>
      </c>
      <c r="U202" s="111">
        <v>5</v>
      </c>
      <c r="V202" s="224">
        <f t="shared" ca="1" si="75"/>
        <v>7.8849024203920121E-2</v>
      </c>
      <c r="W202" s="1">
        <f ca="1">S$186</f>
        <v>47877370.236338876</v>
      </c>
      <c r="X202" s="93" cm="1">
        <f t="array" aca="1" ref="X202" ca="1">SUM(SUMIFS(S$133:S$180,R$133:R$180,{"kWh Second Block*","kWh Third Block*"}))</f>
        <v>33765272.950657234</v>
      </c>
      <c r="Y202" s="93">
        <f ca="1">SUMIFS(S$133:S$180,R$133:R$180,"kWh*")</f>
        <v>50920050.16619806</v>
      </c>
      <c r="Z202" s="1" cm="1">
        <f t="array" ref="Z202">SUM(SUMIFS(S$8:S$51,R$8:R$51,{"kWh Second Block*","kWh Third Block*"}))</f>
        <v>402638599.45930403</v>
      </c>
      <c r="AA202" s="93">
        <v>1</v>
      </c>
      <c r="AB202" s="257">
        <f t="shared" si="76"/>
        <v>0</v>
      </c>
      <c r="AC202" s="1">
        <f>SUMIFS(S$8:S$51,R$8:R$51,"*(June - September)")</f>
        <v>191422814.85966891</v>
      </c>
      <c r="AD202" s="93">
        <f t="shared" si="77"/>
        <v>544109630.43028224</v>
      </c>
      <c r="AE202" s="257">
        <f>-'Sch.16,17,19'!AH$38</f>
        <v>0</v>
      </c>
      <c r="AF202" s="257">
        <f ca="1">T202/100*W202*X202/Y202/Z202</f>
        <v>8.3682469387620417E-2</v>
      </c>
    </row>
    <row r="203" spans="3:32">
      <c r="C203"/>
      <c r="D203"/>
      <c r="E203"/>
      <c r="F203"/>
      <c r="G203"/>
      <c r="H203"/>
      <c r="I203"/>
      <c r="J203"/>
      <c r="K203"/>
      <c r="L203"/>
      <c r="M203"/>
      <c r="N203" s="162" t="s">
        <v>440</v>
      </c>
      <c r="O203" s="162" t="s">
        <v>338</v>
      </c>
      <c r="P203" s="162" t="s">
        <v>132</v>
      </c>
      <c r="Q203" s="101" t="s">
        <v>132</v>
      </c>
      <c r="R203" s="469" t="s">
        <v>510</v>
      </c>
      <c r="S203" s="270">
        <f>ROUND(W138*(1-X138/100),U203)</f>
        <v>3.0599999999999999E-2</v>
      </c>
      <c r="T203" s="380"/>
      <c r="U203" s="111">
        <v>5</v>
      </c>
      <c r="V203" s="224"/>
      <c r="W203" s="1"/>
      <c r="X203" s="93"/>
      <c r="Y203" s="93"/>
      <c r="Z203" s="1"/>
      <c r="AA203" s="93"/>
      <c r="AB203" s="257"/>
      <c r="AC203" s="1"/>
      <c r="AD203" s="93"/>
      <c r="AE203" s="257"/>
      <c r="AF203" s="257"/>
    </row>
    <row r="204" spans="3:32">
      <c r="C204"/>
      <c r="D204"/>
      <c r="E204"/>
      <c r="F204"/>
      <c r="G204"/>
      <c r="H204"/>
      <c r="I204"/>
      <c r="J204"/>
      <c r="K204"/>
      <c r="L204"/>
      <c r="M204"/>
      <c r="N204" s="162" t="s">
        <v>440</v>
      </c>
      <c r="O204" s="162" t="s">
        <v>338</v>
      </c>
      <c r="P204" s="162" t="s">
        <v>132</v>
      </c>
      <c r="Q204" s="101" t="s">
        <v>132</v>
      </c>
      <c r="R204" s="469" t="s">
        <v>511</v>
      </c>
      <c r="S204" s="270">
        <f>ROUND(W138*(-X138/100),U204)</f>
        <v>-2.2450000000000001E-2</v>
      </c>
      <c r="T204" s="380"/>
      <c r="U204" s="111">
        <v>5</v>
      </c>
      <c r="V204" s="224"/>
      <c r="W204" s="1"/>
      <c r="X204" s="93"/>
      <c r="Y204" s="93"/>
      <c r="Z204" s="1"/>
      <c r="AA204" s="93"/>
      <c r="AB204" s="257"/>
      <c r="AC204" s="1"/>
      <c r="AD204" s="93"/>
      <c r="AE204" s="257"/>
      <c r="AF204" s="257"/>
    </row>
    <row r="205" spans="3:32">
      <c r="C205"/>
      <c r="D205"/>
      <c r="E205"/>
      <c r="F205"/>
      <c r="G205"/>
      <c r="H205"/>
      <c r="I205"/>
      <c r="J205"/>
      <c r="K205"/>
      <c r="L205"/>
      <c r="M205"/>
      <c r="N205" s="162" t="s">
        <v>440</v>
      </c>
      <c r="O205" s="162" t="s">
        <v>338</v>
      </c>
      <c r="P205" s="162" t="s">
        <v>132</v>
      </c>
      <c r="Q205" s="101" t="s">
        <v>132</v>
      </c>
      <c r="R205" s="469" t="s">
        <v>512</v>
      </c>
      <c r="S205" s="270">
        <v>2</v>
      </c>
      <c r="T205" s="380"/>
      <c r="V205" s="224"/>
      <c r="W205" s="1"/>
      <c r="X205" s="93"/>
      <c r="Y205" s="93"/>
      <c r="Z205" s="1"/>
      <c r="AA205" s="93"/>
      <c r="AB205" s="257"/>
      <c r="AC205" s="1"/>
      <c r="AD205" s="93"/>
      <c r="AE205" s="257"/>
      <c r="AF205" s="257"/>
    </row>
    <row r="206" spans="3:32">
      <c r="C206"/>
      <c r="D206"/>
      <c r="E206"/>
      <c r="F206"/>
      <c r="G206"/>
      <c r="H206"/>
      <c r="I206"/>
      <c r="J206"/>
      <c r="K206"/>
      <c r="L206"/>
      <c r="M206"/>
      <c r="N206" s="162" t="s">
        <v>440</v>
      </c>
      <c r="O206" s="162" t="s">
        <v>338</v>
      </c>
      <c r="P206" s="162" t="s">
        <v>132</v>
      </c>
      <c r="Q206" s="101" t="s">
        <v>132</v>
      </c>
      <c r="R206" s="468" t="s">
        <v>138</v>
      </c>
      <c r="S206" s="270">
        <f t="shared" ref="S206" si="78">ROUND(T206/100*W206*X206/Y206/Z206+AB206,U206)*AA206</f>
        <v>0.62</v>
      </c>
      <c r="T206" s="380">
        <f>100+Summary!$Q$9</f>
        <v>106.13</v>
      </c>
      <c r="U206" s="111">
        <v>2</v>
      </c>
      <c r="V206" s="224">
        <f t="shared" si="75"/>
        <v>0.57999999999999996</v>
      </c>
      <c r="W206" s="1">
        <f>S187</f>
        <v>71615.829999999987</v>
      </c>
      <c r="X206" s="93">
        <v>1</v>
      </c>
      <c r="Y206" s="93">
        <v>1</v>
      </c>
      <c r="Z206" s="93">
        <f>SUMIFS(S$8:S$51,R$8:R$51,R206)</f>
        <v>123475.56896551723</v>
      </c>
      <c r="AA206" s="93">
        <v>1</v>
      </c>
    </row>
    <row r="207" spans="3:32">
      <c r="C207"/>
      <c r="D207"/>
      <c r="E207"/>
      <c r="F207"/>
      <c r="G207"/>
      <c r="H207"/>
      <c r="I207"/>
      <c r="J207"/>
      <c r="K207"/>
      <c r="L207"/>
      <c r="M207"/>
      <c r="N207" s="162" t="s">
        <v>440</v>
      </c>
      <c r="O207" s="162" t="s">
        <v>338</v>
      </c>
      <c r="P207" s="162" t="s">
        <v>132</v>
      </c>
      <c r="Q207" s="101" t="s">
        <v>132</v>
      </c>
      <c r="R207" s="540" t="s">
        <v>303</v>
      </c>
      <c r="S207" s="270">
        <f t="shared" ref="S207:S209" si="79">ROUND(T207/100*W207*X207/Y207/Z207+AB207,U207)*AA207</f>
        <v>-0.01</v>
      </c>
      <c r="T207" s="508">
        <v>100</v>
      </c>
      <c r="U207" s="111">
        <v>2</v>
      </c>
      <c r="V207" s="224">
        <f t="shared" si="75"/>
        <v>-1.0000000000000002E-2</v>
      </c>
      <c r="W207" s="1">
        <f>S188</f>
        <v>-1163.3600000000001</v>
      </c>
      <c r="X207" s="93">
        <v>1</v>
      </c>
      <c r="Y207" s="93">
        <v>1</v>
      </c>
      <c r="Z207" s="93">
        <f>SUMIFS(S$8:S$51,R$8:R$51,R207)</f>
        <v>116336</v>
      </c>
      <c r="AA207" s="93">
        <v>1</v>
      </c>
    </row>
    <row r="208" spans="3:32">
      <c r="C208"/>
      <c r="D208"/>
      <c r="E208"/>
      <c r="F208"/>
      <c r="G208"/>
      <c r="H208"/>
      <c r="I208"/>
      <c r="J208"/>
      <c r="K208"/>
      <c r="L208"/>
      <c r="M208"/>
      <c r="N208" s="162" t="s">
        <v>440</v>
      </c>
      <c r="O208" s="162" t="s">
        <v>338</v>
      </c>
      <c r="P208" s="162" t="s">
        <v>132</v>
      </c>
      <c r="Q208" s="101" t="s">
        <v>132</v>
      </c>
      <c r="R208" s="540" t="s">
        <v>294</v>
      </c>
      <c r="S208" s="270">
        <f t="shared" si="79"/>
        <v>-0.3</v>
      </c>
      <c r="T208" s="508">
        <v>100</v>
      </c>
      <c r="U208" s="111">
        <v>2</v>
      </c>
      <c r="V208" s="224">
        <f t="shared" si="75"/>
        <v>-0.30000000000000004</v>
      </c>
      <c r="W208" s="1">
        <f>S189</f>
        <v>-1276.75</v>
      </c>
      <c r="X208" s="93">
        <v>1</v>
      </c>
      <c r="Y208" s="93">
        <v>1</v>
      </c>
      <c r="Z208" s="93">
        <f>SUMIFS(S$8:S$51,R$8:R$51,R208)</f>
        <v>4255.833333333333</v>
      </c>
      <c r="AA208" s="93">
        <v>1</v>
      </c>
    </row>
    <row r="209" spans="3:27">
      <c r="C209"/>
      <c r="D209"/>
      <c r="E209"/>
      <c r="F209"/>
      <c r="G209"/>
      <c r="H209"/>
      <c r="I209"/>
      <c r="J209"/>
      <c r="K209"/>
      <c r="L209"/>
      <c r="M209"/>
      <c r="N209" s="163" t="s">
        <v>440</v>
      </c>
      <c r="O209" s="163" t="s">
        <v>338</v>
      </c>
      <c r="P209" s="163" t="s">
        <v>132</v>
      </c>
      <c r="Q209" s="104" t="s">
        <v>132</v>
      </c>
      <c r="R209" s="541" t="s">
        <v>304</v>
      </c>
      <c r="S209" s="271">
        <f t="shared" si="79"/>
        <v>60</v>
      </c>
      <c r="T209" s="508">
        <v>100</v>
      </c>
      <c r="U209" s="111">
        <v>2</v>
      </c>
      <c r="V209" s="224">
        <f t="shared" si="75"/>
        <v>60</v>
      </c>
      <c r="W209" s="1">
        <f>S190</f>
        <v>9480</v>
      </c>
      <c r="X209" s="93">
        <v>1</v>
      </c>
      <c r="Y209" s="93">
        <v>1</v>
      </c>
      <c r="Z209" s="93">
        <f>SUMIFS(S$8:S$51,R$8:R$51,R209)</f>
        <v>158</v>
      </c>
      <c r="AA209" s="93">
        <v>1</v>
      </c>
    </row>
    <row r="210" spans="3:27">
      <c r="C210"/>
      <c r="D210"/>
      <c r="E210"/>
      <c r="F210"/>
      <c r="G210"/>
      <c r="H210"/>
      <c r="I210"/>
      <c r="J210"/>
      <c r="K210"/>
      <c r="L210"/>
      <c r="M210"/>
      <c r="N210" s="166" t="s">
        <v>440</v>
      </c>
      <c r="O210" s="166" t="s">
        <v>19</v>
      </c>
      <c r="P210" s="97" t="s">
        <v>2</v>
      </c>
      <c r="Q210" s="99" t="s">
        <v>136</v>
      </c>
      <c r="R210" s="467" t="s">
        <v>271</v>
      </c>
      <c r="S210" s="167">
        <f t="shared" ref="S210:S257" ca="1" si="80">IF(R210="Unbilled",SUMIFS(S$133:S$180,P$133:P$180,P210,R$133:R$180,R210),SUMIFS(S$192:S$209,Q$192:Q$209,Q210,R$192:R$209,R210)*U210)</f>
        <v>403998.777</v>
      </c>
      <c r="T210" s="1">
        <f t="shared" ref="T210:T257" ca="1" si="81">IF(R210="Unbilled",SUMIFS(S$133:S$180,P$133:P$180,P210,R$133:R$180,R210),SUMIFS(V$192:V$209,Q$192:Q$209,Q210,R$192:R$209,R210)*U210)</f>
        <v>380527.55769931461</v>
      </c>
      <c r="U210" s="93">
        <f t="shared" ref="U210:U218" si="82">SUMIFS(S$8:S$51,P$8:P$51,P210,Q$8:Q$51,Q210,R$8:R$51,R210)</f>
        <v>39261.300000000003</v>
      </c>
    </row>
    <row r="211" spans="3:27">
      <c r="C211"/>
      <c r="D211"/>
      <c r="E211"/>
      <c r="F211"/>
      <c r="G211"/>
      <c r="H211"/>
      <c r="I211"/>
      <c r="J211"/>
      <c r="K211"/>
      <c r="L211"/>
      <c r="M211"/>
      <c r="N211" s="162" t="s">
        <v>440</v>
      </c>
      <c r="O211" s="162" t="s">
        <v>19</v>
      </c>
      <c r="P211" s="55" t="s">
        <v>2</v>
      </c>
      <c r="Q211" s="101" t="s">
        <v>136</v>
      </c>
      <c r="R211" s="468" t="s">
        <v>272</v>
      </c>
      <c r="S211" s="164">
        <f t="shared" ca="1" si="80"/>
        <v>0</v>
      </c>
      <c r="T211" s="1">
        <f t="shared" ca="1" si="81"/>
        <v>0</v>
      </c>
      <c r="U211" s="93">
        <f t="shared" si="82"/>
        <v>0</v>
      </c>
    </row>
    <row r="212" spans="3:27">
      <c r="C212"/>
      <c r="D212"/>
      <c r="E212"/>
      <c r="F212"/>
      <c r="G212"/>
      <c r="H212"/>
      <c r="I212"/>
      <c r="J212"/>
      <c r="K212"/>
      <c r="L212"/>
      <c r="M212"/>
      <c r="N212" s="162" t="s">
        <v>440</v>
      </c>
      <c r="O212" s="162" t="s">
        <v>19</v>
      </c>
      <c r="P212" s="55" t="s">
        <v>2</v>
      </c>
      <c r="Q212" s="101" t="s">
        <v>137</v>
      </c>
      <c r="R212" s="468" t="s">
        <v>271</v>
      </c>
      <c r="S212" s="164">
        <f t="shared" ca="1" si="80"/>
        <v>41689.006666666668</v>
      </c>
      <c r="T212" s="1">
        <f t="shared" ca="1" si="81"/>
        <v>39277.299401670673</v>
      </c>
      <c r="U212" s="93">
        <f t="shared" si="82"/>
        <v>2717.666666666667</v>
      </c>
    </row>
    <row r="213" spans="3:27">
      <c r="C213"/>
      <c r="D213"/>
      <c r="E213"/>
      <c r="F213"/>
      <c r="G213"/>
      <c r="H213"/>
      <c r="I213"/>
      <c r="J213"/>
      <c r="K213"/>
      <c r="L213"/>
      <c r="M213"/>
      <c r="N213" s="162" t="s">
        <v>440</v>
      </c>
      <c r="O213" s="162" t="s">
        <v>19</v>
      </c>
      <c r="P213" s="55" t="s">
        <v>2</v>
      </c>
      <c r="Q213" s="101" t="s">
        <v>137</v>
      </c>
      <c r="R213" s="468" t="s">
        <v>272</v>
      </c>
      <c r="S213" s="164">
        <f t="shared" ca="1" si="80"/>
        <v>0</v>
      </c>
      <c r="T213" s="1">
        <f t="shared" ca="1" si="81"/>
        <v>0</v>
      </c>
      <c r="U213" s="93">
        <f t="shared" si="82"/>
        <v>0</v>
      </c>
    </row>
    <row r="214" spans="3:27">
      <c r="C214"/>
      <c r="D214"/>
      <c r="E214"/>
      <c r="F214"/>
      <c r="G214"/>
      <c r="H214"/>
      <c r="I214"/>
      <c r="J214"/>
      <c r="K214"/>
      <c r="L214"/>
      <c r="M214"/>
      <c r="N214" s="162" t="s">
        <v>440</v>
      </c>
      <c r="O214" s="162" t="s">
        <v>19</v>
      </c>
      <c r="P214" s="55" t="s">
        <v>2</v>
      </c>
      <c r="Q214" s="101" t="s">
        <v>132</v>
      </c>
      <c r="R214" s="468" t="s">
        <v>217</v>
      </c>
      <c r="S214" s="164">
        <f t="shared" ca="1" si="80"/>
        <v>26026.099820512827</v>
      </c>
      <c r="T214" s="1">
        <f t="shared" ca="1" si="81"/>
        <v>24470.934589569002</v>
      </c>
      <c r="U214" s="93">
        <f t="shared" si="82"/>
        <v>24552.924358974364</v>
      </c>
    </row>
    <row r="215" spans="3:27">
      <c r="C215"/>
      <c r="D215"/>
      <c r="E215"/>
      <c r="F215"/>
      <c r="G215"/>
      <c r="H215"/>
      <c r="I215"/>
      <c r="J215"/>
      <c r="K215"/>
      <c r="L215"/>
      <c r="M215"/>
      <c r="N215" s="162" t="s">
        <v>440</v>
      </c>
      <c r="O215" s="162" t="s">
        <v>19</v>
      </c>
      <c r="P215" s="55" t="s">
        <v>2</v>
      </c>
      <c r="Q215" s="101" t="s">
        <v>132</v>
      </c>
      <c r="R215" s="468" t="s">
        <v>219</v>
      </c>
      <c r="S215" s="164">
        <f t="shared" ca="1" si="80"/>
        <v>0</v>
      </c>
      <c r="T215" s="1">
        <f t="shared" ca="1" si="81"/>
        <v>0</v>
      </c>
      <c r="U215" s="93">
        <f t="shared" si="82"/>
        <v>0</v>
      </c>
    </row>
    <row r="216" spans="3:27">
      <c r="C216"/>
      <c r="D216"/>
      <c r="E216"/>
      <c r="F216"/>
      <c r="G216"/>
      <c r="H216"/>
      <c r="I216"/>
      <c r="J216"/>
      <c r="K216"/>
      <c r="L216"/>
      <c r="M216"/>
      <c r="N216" s="162" t="s">
        <v>440</v>
      </c>
      <c r="O216" s="162" t="s">
        <v>19</v>
      </c>
      <c r="P216" s="55" t="s">
        <v>2</v>
      </c>
      <c r="Q216" s="101" t="s">
        <v>132</v>
      </c>
      <c r="R216" s="468" t="s">
        <v>139</v>
      </c>
      <c r="S216" s="164">
        <f t="shared" ca="1" si="80"/>
        <v>56173.557874015758</v>
      </c>
      <c r="T216" s="1">
        <f t="shared" ca="1" si="81"/>
        <v>52953.437440593669</v>
      </c>
      <c r="U216" s="93">
        <f t="shared" si="82"/>
        <v>14515.131233595803</v>
      </c>
    </row>
    <row r="217" spans="3:27">
      <c r="C217"/>
      <c r="D217"/>
      <c r="E217"/>
      <c r="F217"/>
      <c r="G217"/>
      <c r="H217"/>
      <c r="I217"/>
      <c r="J217"/>
      <c r="K217"/>
      <c r="L217"/>
      <c r="M217"/>
      <c r="N217" s="162" t="s">
        <v>440</v>
      </c>
      <c r="O217" s="162" t="s">
        <v>19</v>
      </c>
      <c r="P217" s="55" t="s">
        <v>2</v>
      </c>
      <c r="Q217" s="101" t="s">
        <v>132</v>
      </c>
      <c r="R217" s="468" t="s">
        <v>331</v>
      </c>
      <c r="S217" s="164">
        <f t="shared" ca="1" si="80"/>
        <v>549803.21609643521</v>
      </c>
      <c r="T217" s="1">
        <f t="shared" ca="1" si="81"/>
        <v>518061.04177400889</v>
      </c>
      <c r="U217" s="93">
        <f t="shared" si="82"/>
        <v>4543828.2322019441</v>
      </c>
    </row>
    <row r="218" spans="3:27">
      <c r="C218"/>
      <c r="D218"/>
      <c r="E218"/>
      <c r="F218"/>
      <c r="G218"/>
      <c r="H218"/>
      <c r="I218"/>
      <c r="J218"/>
      <c r="K218"/>
      <c r="L218"/>
      <c r="M218"/>
      <c r="N218" s="162" t="s">
        <v>440</v>
      </c>
      <c r="O218" s="162" t="s">
        <v>19</v>
      </c>
      <c r="P218" s="55" t="s">
        <v>2</v>
      </c>
      <c r="Q218" s="101" t="s">
        <v>132</v>
      </c>
      <c r="R218" s="468" t="s">
        <v>329</v>
      </c>
      <c r="S218" s="164">
        <f t="shared" ca="1" si="80"/>
        <v>1091771.3861686185</v>
      </c>
      <c r="T218" s="1">
        <f t="shared" ca="1" si="81"/>
        <v>1028739.3837259066</v>
      </c>
      <c r="U218" s="93">
        <f t="shared" si="82"/>
        <v>9022904.0179224666</v>
      </c>
    </row>
    <row r="219" spans="3:27">
      <c r="C219"/>
      <c r="D219"/>
      <c r="E219"/>
      <c r="F219"/>
      <c r="G219"/>
      <c r="H219"/>
      <c r="I219"/>
      <c r="J219"/>
      <c r="K219"/>
      <c r="L219"/>
      <c r="M219"/>
      <c r="N219" s="162" t="s">
        <v>440</v>
      </c>
      <c r="O219" s="162" t="s">
        <v>19</v>
      </c>
      <c r="P219" s="55" t="s">
        <v>2</v>
      </c>
      <c r="Q219" s="101" t="s">
        <v>132</v>
      </c>
      <c r="R219" s="468" t="s">
        <v>332</v>
      </c>
      <c r="S219" s="164">
        <f t="shared" ca="1" si="80"/>
        <v>226707.83536320966</v>
      </c>
      <c r="T219" s="1">
        <f t="shared" ca="1" si="81"/>
        <v>213619.64146477121</v>
      </c>
      <c r="U219" s="93">
        <f>SUMIFS(S$8:S$51,P$8:P$51,P219,Q$8:Q$51,Q219,R$8:R$51,R219)+S16</f>
        <v>2709223.6539580501</v>
      </c>
    </row>
    <row r="220" spans="3:27">
      <c r="C220"/>
      <c r="D220"/>
      <c r="E220"/>
      <c r="F220"/>
      <c r="G220"/>
      <c r="H220"/>
      <c r="I220"/>
      <c r="J220"/>
      <c r="K220"/>
      <c r="L220"/>
      <c r="M220"/>
      <c r="N220" s="162" t="s">
        <v>440</v>
      </c>
      <c r="O220" s="162" t="s">
        <v>19</v>
      </c>
      <c r="P220" s="55" t="s">
        <v>2</v>
      </c>
      <c r="Q220" s="101" t="s">
        <v>132</v>
      </c>
      <c r="R220" s="468" t="s">
        <v>330</v>
      </c>
      <c r="S220" s="164">
        <f t="shared" ca="1" si="80"/>
        <v>445882.43106037716</v>
      </c>
      <c r="T220" s="1">
        <f t="shared" ca="1" si="81"/>
        <v>420140.94883822202</v>
      </c>
      <c r="U220" s="93">
        <f>SUMIFS(S$8:S$51,P$8:P$51,P220,Q$8:Q$51,Q220,R$8:R$51,R220)+S17</f>
        <v>5328422.9333219063</v>
      </c>
    </row>
    <row r="221" spans="3:27">
      <c r="C221"/>
      <c r="D221"/>
      <c r="E221"/>
      <c r="F221"/>
      <c r="G221"/>
      <c r="H221"/>
      <c r="I221"/>
      <c r="J221"/>
      <c r="K221"/>
      <c r="L221"/>
      <c r="M221"/>
      <c r="N221" s="162" t="s">
        <v>440</v>
      </c>
      <c r="O221" s="162" t="s">
        <v>19</v>
      </c>
      <c r="P221" s="55" t="s">
        <v>2</v>
      </c>
      <c r="Q221" s="101" t="s">
        <v>132</v>
      </c>
      <c r="R221" s="468" t="s">
        <v>138</v>
      </c>
      <c r="S221" s="164">
        <f t="shared" si="80"/>
        <v>70.06</v>
      </c>
      <c r="T221" s="1">
        <f t="shared" si="81"/>
        <v>65.539999999999992</v>
      </c>
      <c r="U221" s="93">
        <f t="shared" ref="U221:U234" si="83">SUMIFS(S$8:S$51,P$8:P$51,P221,Q$8:Q$51,Q221,R$8:R$51,R221)</f>
        <v>113</v>
      </c>
    </row>
    <row r="222" spans="3:27">
      <c r="C222"/>
      <c r="D222"/>
      <c r="E222"/>
      <c r="F222"/>
      <c r="G222"/>
      <c r="H222"/>
      <c r="I222"/>
      <c r="J222"/>
      <c r="K222"/>
      <c r="L222"/>
      <c r="M222"/>
      <c r="N222" s="162" t="s">
        <v>440</v>
      </c>
      <c r="O222" s="162" t="s">
        <v>19</v>
      </c>
      <c r="P222" s="55" t="s">
        <v>2</v>
      </c>
      <c r="Q222" s="101" t="s">
        <v>132</v>
      </c>
      <c r="R222" s="540" t="s">
        <v>303</v>
      </c>
      <c r="S222" s="164">
        <f t="shared" si="80"/>
        <v>0</v>
      </c>
      <c r="T222" s="1">
        <f t="shared" si="81"/>
        <v>0</v>
      </c>
      <c r="U222" s="93">
        <f t="shared" si="83"/>
        <v>0</v>
      </c>
    </row>
    <row r="223" spans="3:27">
      <c r="C223"/>
      <c r="D223"/>
      <c r="E223"/>
      <c r="F223"/>
      <c r="G223"/>
      <c r="H223"/>
      <c r="I223"/>
      <c r="J223"/>
      <c r="K223"/>
      <c r="L223"/>
      <c r="M223"/>
      <c r="N223" s="162" t="s">
        <v>440</v>
      </c>
      <c r="O223" s="162" t="s">
        <v>19</v>
      </c>
      <c r="P223" s="55" t="s">
        <v>2</v>
      </c>
      <c r="Q223" s="101" t="s">
        <v>132</v>
      </c>
      <c r="R223" s="540" t="s">
        <v>294</v>
      </c>
      <c r="S223" s="164">
        <f t="shared" si="80"/>
        <v>0</v>
      </c>
      <c r="T223" s="1">
        <f t="shared" si="81"/>
        <v>0</v>
      </c>
      <c r="U223" s="93">
        <f t="shared" si="83"/>
        <v>0</v>
      </c>
    </row>
    <row r="224" spans="3:27">
      <c r="C224"/>
      <c r="D224"/>
      <c r="E224"/>
      <c r="F224"/>
      <c r="G224"/>
      <c r="H224"/>
      <c r="I224"/>
      <c r="J224"/>
      <c r="K224"/>
      <c r="L224"/>
      <c r="M224"/>
      <c r="N224" s="162" t="s">
        <v>440</v>
      </c>
      <c r="O224" s="162" t="s">
        <v>19</v>
      </c>
      <c r="P224" s="55" t="s">
        <v>2</v>
      </c>
      <c r="Q224" s="101" t="s">
        <v>132</v>
      </c>
      <c r="R224" s="540" t="s">
        <v>304</v>
      </c>
      <c r="S224" s="164">
        <f t="shared" si="80"/>
        <v>0</v>
      </c>
      <c r="T224" s="1">
        <f t="shared" si="81"/>
        <v>0</v>
      </c>
      <c r="U224" s="93">
        <f t="shared" si="83"/>
        <v>0</v>
      </c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 s="163" t="s">
        <v>440</v>
      </c>
      <c r="O225" s="163" t="s">
        <v>19</v>
      </c>
      <c r="P225" s="105" t="s">
        <v>2</v>
      </c>
      <c r="Q225" s="104" t="s">
        <v>132</v>
      </c>
      <c r="R225" s="545" t="s">
        <v>105</v>
      </c>
      <c r="S225" s="165">
        <f t="shared" si="80"/>
        <v>92749.030275302401</v>
      </c>
      <c r="T225" s="1">
        <f t="shared" si="81"/>
        <v>92749.030275302401</v>
      </c>
      <c r="U225" s="93">
        <f t="shared" si="83"/>
        <v>0</v>
      </c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 s="166" t="s">
        <v>440</v>
      </c>
      <c r="O226" s="166" t="s">
        <v>19</v>
      </c>
      <c r="P226" s="99" t="s">
        <v>3</v>
      </c>
      <c r="Q226" s="99" t="s">
        <v>136</v>
      </c>
      <c r="R226" s="99" t="s">
        <v>271</v>
      </c>
      <c r="S226" s="167">
        <f t="shared" ca="1" si="80"/>
        <v>1414739.172</v>
      </c>
      <c r="T226" s="1">
        <f t="shared" ca="1" si="81"/>
        <v>1332546.7118993546</v>
      </c>
      <c r="U226" s="93">
        <f t="shared" si="83"/>
        <v>137486.80000000002</v>
      </c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 s="162" t="s">
        <v>440</v>
      </c>
      <c r="O227" s="162" t="s">
        <v>19</v>
      </c>
      <c r="P227" s="101" t="s">
        <v>3</v>
      </c>
      <c r="Q227" s="101" t="s">
        <v>136</v>
      </c>
      <c r="R227" s="101" t="s">
        <v>272</v>
      </c>
      <c r="S227" s="164">
        <f t="shared" ca="1" si="80"/>
        <v>324.76931506849309</v>
      </c>
      <c r="T227" s="1">
        <f t="shared" ca="1" si="81"/>
        <v>305.90110989047105</v>
      </c>
      <c r="U227" s="93">
        <f t="shared" si="83"/>
        <v>2.6301369863013697</v>
      </c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 s="162" t="s">
        <v>440</v>
      </c>
      <c r="O228" s="162" t="s">
        <v>19</v>
      </c>
      <c r="P228" s="101" t="s">
        <v>3</v>
      </c>
      <c r="Q228" s="101" t="s">
        <v>137</v>
      </c>
      <c r="R228" s="101" t="s">
        <v>271</v>
      </c>
      <c r="S228" s="164">
        <f t="shared" ca="1" si="80"/>
        <v>991191.03199999977</v>
      </c>
      <c r="T228" s="1">
        <f t="shared" ca="1" si="81"/>
        <v>933850.67289797729</v>
      </c>
      <c r="U228" s="93">
        <f t="shared" si="83"/>
        <v>64614.799999999988</v>
      </c>
    </row>
    <row r="229" spans="3:21">
      <c r="N229" s="162" t="s">
        <v>440</v>
      </c>
      <c r="O229" s="162" t="s">
        <v>19</v>
      </c>
      <c r="P229" s="101" t="s">
        <v>3</v>
      </c>
      <c r="Q229" s="101" t="s">
        <v>137</v>
      </c>
      <c r="R229" s="101" t="s">
        <v>272</v>
      </c>
      <c r="S229" s="164">
        <f t="shared" ca="1" si="80"/>
        <v>11683.784547945203</v>
      </c>
      <c r="T229" s="1">
        <f t="shared" ca="1" si="81"/>
        <v>11007.878108095736</v>
      </c>
      <c r="U229" s="93">
        <f t="shared" si="83"/>
        <v>63.471232876712314</v>
      </c>
    </row>
    <row r="230" spans="3:21">
      <c r="N230" s="162" t="s">
        <v>440</v>
      </c>
      <c r="O230" s="162" t="s">
        <v>19</v>
      </c>
      <c r="P230" s="101" t="s">
        <v>3</v>
      </c>
      <c r="Q230" s="101" t="s">
        <v>132</v>
      </c>
      <c r="R230" s="101" t="s">
        <v>217</v>
      </c>
      <c r="S230" s="164">
        <f t="shared" ca="1" si="80"/>
        <v>1259151.4620897437</v>
      </c>
      <c r="T230" s="1">
        <f t="shared" ca="1" si="81"/>
        <v>1183912.0452029046</v>
      </c>
      <c r="U230" s="93">
        <f t="shared" si="83"/>
        <v>1187878.7378205128</v>
      </c>
    </row>
    <row r="231" spans="3:21">
      <c r="N231" s="162" t="s">
        <v>440</v>
      </c>
      <c r="O231" s="162" t="s">
        <v>19</v>
      </c>
      <c r="P231" s="101" t="s">
        <v>3</v>
      </c>
      <c r="Q231" s="101" t="s">
        <v>132</v>
      </c>
      <c r="R231" s="101" t="s">
        <v>219</v>
      </c>
      <c r="S231" s="164">
        <f t="shared" ca="1" si="80"/>
        <v>27094.634086406742</v>
      </c>
      <c r="T231" s="1">
        <f t="shared" ca="1" si="81"/>
        <v>25475.619590692153</v>
      </c>
      <c r="U231" s="93">
        <f t="shared" si="83"/>
        <v>2130.0812961011588</v>
      </c>
    </row>
    <row r="232" spans="3:21">
      <c r="N232" s="162" t="s">
        <v>440</v>
      </c>
      <c r="O232" s="162" t="s">
        <v>19</v>
      </c>
      <c r="P232" s="101" t="s">
        <v>3</v>
      </c>
      <c r="Q232" s="101" t="s">
        <v>132</v>
      </c>
      <c r="R232" s="101" t="s">
        <v>139</v>
      </c>
      <c r="S232" s="164">
        <f t="shared" ca="1" si="80"/>
        <v>2767760.0789763778</v>
      </c>
      <c r="T232" s="1">
        <f t="shared" ca="1" si="81"/>
        <v>2609099.6500765299</v>
      </c>
      <c r="U232" s="93">
        <f t="shared" si="83"/>
        <v>715183.48293963249</v>
      </c>
    </row>
    <row r="233" spans="3:21">
      <c r="N233" s="162" t="s">
        <v>440</v>
      </c>
      <c r="O233" s="162" t="s">
        <v>19</v>
      </c>
      <c r="P233" s="101" t="s">
        <v>3</v>
      </c>
      <c r="Q233" s="101" t="s">
        <v>132</v>
      </c>
      <c r="R233" s="101" t="s">
        <v>331</v>
      </c>
      <c r="S233" s="164">
        <f t="shared" ca="1" si="80"/>
        <v>4920482.5275780289</v>
      </c>
      <c r="T233" s="1">
        <f t="shared" ca="1" si="81"/>
        <v>4636404.862027525</v>
      </c>
      <c r="U233" s="93">
        <f t="shared" si="83"/>
        <v>40665144.85601677</v>
      </c>
    </row>
    <row r="234" spans="3:21">
      <c r="N234" s="162" t="s">
        <v>440</v>
      </c>
      <c r="O234" s="162" t="s">
        <v>19</v>
      </c>
      <c r="P234" s="101" t="s">
        <v>3</v>
      </c>
      <c r="Q234" s="101" t="s">
        <v>132</v>
      </c>
      <c r="R234" s="101" t="s">
        <v>329</v>
      </c>
      <c r="S234" s="164">
        <f t="shared" ca="1" si="80"/>
        <v>10200573.578693002</v>
      </c>
      <c r="T234" s="1">
        <f t="shared" ca="1" si="81"/>
        <v>9611656.7167246696</v>
      </c>
      <c r="U234" s="93">
        <f t="shared" si="83"/>
        <v>84302260.980933905</v>
      </c>
    </row>
    <row r="235" spans="3:21">
      <c r="N235" s="162" t="s">
        <v>440</v>
      </c>
      <c r="O235" s="162" t="s">
        <v>19</v>
      </c>
      <c r="P235" s="101" t="s">
        <v>3</v>
      </c>
      <c r="Q235" s="101" t="s">
        <v>132</v>
      </c>
      <c r="R235" s="101" t="s">
        <v>332</v>
      </c>
      <c r="S235" s="164">
        <f t="shared" ca="1" si="80"/>
        <v>11594859.230285479</v>
      </c>
      <c r="T235" s="1">
        <f t="shared" ca="1" si="81"/>
        <v>10925470.077555286</v>
      </c>
      <c r="U235" s="93">
        <f>SUMIFS(S$8:S$51,P$8:P$51,P235,Q$8:Q$51,Q235,R$8:R$51,R235)+S30</f>
        <v>138561893.28735036</v>
      </c>
    </row>
    <row r="236" spans="3:21">
      <c r="N236" s="162" t="s">
        <v>440</v>
      </c>
      <c r="O236" s="162" t="s">
        <v>19</v>
      </c>
      <c r="P236" s="101" t="s">
        <v>3</v>
      </c>
      <c r="Q236" s="101" t="s">
        <v>132</v>
      </c>
      <c r="R236" s="101" t="s">
        <v>330</v>
      </c>
      <c r="S236" s="164">
        <f t="shared" ca="1" si="80"/>
        <v>20407350.143893164</v>
      </c>
      <c r="T236" s="1">
        <f t="shared" ca="1" si="81"/>
        <v>19229202.263787102</v>
      </c>
      <c r="U236" s="93">
        <f>SUMIFS(S$8:S$51,P$8:P$51,P236,Q$8:Q$51,Q236,R$8:R$51,R236)+S31</f>
        <v>243873687.18801582</v>
      </c>
    </row>
    <row r="237" spans="3:21">
      <c r="N237" s="162" t="s">
        <v>440</v>
      </c>
      <c r="O237" s="162" t="s">
        <v>19</v>
      </c>
      <c r="P237" s="101" t="s">
        <v>3</v>
      </c>
      <c r="Q237" s="101" t="s">
        <v>132</v>
      </c>
      <c r="R237" s="101" t="s">
        <v>138</v>
      </c>
      <c r="S237" s="164">
        <f t="shared" si="80"/>
        <v>67526.359310344822</v>
      </c>
      <c r="T237" s="1">
        <f t="shared" si="81"/>
        <v>63169.819999999992</v>
      </c>
      <c r="U237" s="93">
        <f t="shared" ref="U237:U250" si="84">SUMIFS(S$8:S$51,P$8:P$51,P237,Q$8:Q$51,Q237,R$8:R$51,R237)</f>
        <v>108913.48275862068</v>
      </c>
    </row>
    <row r="238" spans="3:21">
      <c r="N238" s="162" t="s">
        <v>440</v>
      </c>
      <c r="O238" s="162" t="s">
        <v>19</v>
      </c>
      <c r="P238" s="101" t="s">
        <v>3</v>
      </c>
      <c r="Q238" s="101" t="s">
        <v>132</v>
      </c>
      <c r="R238" s="122" t="s">
        <v>303</v>
      </c>
      <c r="S238" s="164">
        <f t="shared" si="80"/>
        <v>-1043.94</v>
      </c>
      <c r="T238" s="1">
        <f t="shared" si="81"/>
        <v>-1043.9400000000003</v>
      </c>
      <c r="U238" s="93">
        <f t="shared" si="84"/>
        <v>104394</v>
      </c>
    </row>
    <row r="239" spans="3:21">
      <c r="N239" s="162" t="s">
        <v>440</v>
      </c>
      <c r="O239" s="162" t="s">
        <v>19</v>
      </c>
      <c r="P239" s="101" t="s">
        <v>3</v>
      </c>
      <c r="Q239" s="101" t="s">
        <v>132</v>
      </c>
      <c r="R239" s="122" t="s">
        <v>294</v>
      </c>
      <c r="S239" s="164">
        <f t="shared" si="80"/>
        <v>-1129.99</v>
      </c>
      <c r="T239" s="1">
        <f t="shared" si="81"/>
        <v>-1129.9900000000002</v>
      </c>
      <c r="U239" s="93">
        <f t="shared" si="84"/>
        <v>3766.6333333333332</v>
      </c>
    </row>
    <row r="240" spans="3:21">
      <c r="N240" s="162" t="s">
        <v>440</v>
      </c>
      <c r="O240" s="162" t="s">
        <v>19</v>
      </c>
      <c r="P240" s="101" t="s">
        <v>3</v>
      </c>
      <c r="Q240" s="101" t="s">
        <v>132</v>
      </c>
      <c r="R240" s="122" t="s">
        <v>304</v>
      </c>
      <c r="S240" s="164">
        <f t="shared" si="80"/>
        <v>7924</v>
      </c>
      <c r="T240" s="1">
        <f t="shared" si="81"/>
        <v>7924</v>
      </c>
      <c r="U240" s="93">
        <f t="shared" si="84"/>
        <v>132.06666666666666</v>
      </c>
    </row>
    <row r="241" spans="14:21">
      <c r="N241" s="163" t="s">
        <v>440</v>
      </c>
      <c r="O241" s="163" t="s">
        <v>19</v>
      </c>
      <c r="P241" s="104" t="s">
        <v>3</v>
      </c>
      <c r="Q241" s="104" t="s">
        <v>132</v>
      </c>
      <c r="R241" s="368" t="s">
        <v>105</v>
      </c>
      <c r="S241" s="165">
        <f t="shared" si="80"/>
        <v>753527.61020262272</v>
      </c>
      <c r="T241" s="1">
        <f t="shared" si="81"/>
        <v>753527.61020262272</v>
      </c>
      <c r="U241" s="93">
        <f t="shared" si="84"/>
        <v>0</v>
      </c>
    </row>
    <row r="242" spans="14:21">
      <c r="N242" s="166" t="s">
        <v>440</v>
      </c>
      <c r="O242" s="166" t="s">
        <v>19</v>
      </c>
      <c r="P242" s="99" t="s">
        <v>5</v>
      </c>
      <c r="Q242" s="99" t="s">
        <v>136</v>
      </c>
      <c r="R242" s="99" t="s">
        <v>271</v>
      </c>
      <c r="S242" s="167">
        <f t="shared" ca="1" si="80"/>
        <v>21244.047999999999</v>
      </c>
      <c r="T242" s="1">
        <f t="shared" ca="1" si="81"/>
        <v>20009.827161152542</v>
      </c>
      <c r="U242" s="93">
        <f t="shared" si="84"/>
        <v>2064.5333333333333</v>
      </c>
    </row>
    <row r="243" spans="14:21">
      <c r="N243" s="162" t="s">
        <v>440</v>
      </c>
      <c r="O243" s="162" t="s">
        <v>19</v>
      </c>
      <c r="P243" s="101" t="s">
        <v>5</v>
      </c>
      <c r="Q243" s="101" t="s">
        <v>136</v>
      </c>
      <c r="R243" s="101" t="s">
        <v>272</v>
      </c>
      <c r="S243" s="164">
        <f t="shared" ca="1" si="80"/>
        <v>0</v>
      </c>
      <c r="T243" s="1">
        <f t="shared" ca="1" si="81"/>
        <v>0</v>
      </c>
      <c r="U243" s="93">
        <f t="shared" si="84"/>
        <v>0</v>
      </c>
    </row>
    <row r="244" spans="14:21">
      <c r="N244" s="162" t="s">
        <v>440</v>
      </c>
      <c r="O244" s="162" t="s">
        <v>19</v>
      </c>
      <c r="P244" s="101" t="s">
        <v>5</v>
      </c>
      <c r="Q244" s="101" t="s">
        <v>137</v>
      </c>
      <c r="R244" s="101" t="s">
        <v>271</v>
      </c>
      <c r="S244" s="164">
        <f t="shared" ca="1" si="80"/>
        <v>43198.462666666666</v>
      </c>
      <c r="T244" s="1">
        <f t="shared" ca="1" si="81"/>
        <v>40699.433436182284</v>
      </c>
      <c r="U244" s="93">
        <f t="shared" si="84"/>
        <v>2816.0666666666666</v>
      </c>
    </row>
    <row r="245" spans="14:21">
      <c r="N245" s="162" t="s">
        <v>440</v>
      </c>
      <c r="O245" s="162" t="s">
        <v>19</v>
      </c>
      <c r="P245" s="101" t="s">
        <v>5</v>
      </c>
      <c r="Q245" s="101" t="s">
        <v>137</v>
      </c>
      <c r="R245" s="101" t="s">
        <v>272</v>
      </c>
      <c r="S245" s="164">
        <f t="shared" ca="1" si="80"/>
        <v>184.07999999999998</v>
      </c>
      <c r="T245" s="1">
        <f t="shared" ca="1" si="81"/>
        <v>173.43097981848942</v>
      </c>
      <c r="U245" s="93">
        <f t="shared" si="84"/>
        <v>1</v>
      </c>
    </row>
    <row r="246" spans="14:21">
      <c r="N246" s="162" t="s">
        <v>440</v>
      </c>
      <c r="O246" s="162" t="s">
        <v>19</v>
      </c>
      <c r="P246" s="101" t="s">
        <v>5</v>
      </c>
      <c r="Q246" s="101" t="s">
        <v>132</v>
      </c>
      <c r="R246" s="101" t="s">
        <v>217</v>
      </c>
      <c r="S246" s="164">
        <f t="shared" ca="1" si="80"/>
        <v>53600.19442307693</v>
      </c>
      <c r="T246" s="1">
        <f t="shared" ca="1" si="81"/>
        <v>50397.364982113242</v>
      </c>
      <c r="U246" s="93">
        <f t="shared" si="84"/>
        <v>50566.221153846156</v>
      </c>
    </row>
    <row r="247" spans="14:21">
      <c r="N247" s="162" t="s">
        <v>440</v>
      </c>
      <c r="O247" s="162" t="s">
        <v>19</v>
      </c>
      <c r="P247" s="101" t="s">
        <v>5</v>
      </c>
      <c r="Q247" s="101" t="s">
        <v>132</v>
      </c>
      <c r="R247" s="101" t="s">
        <v>219</v>
      </c>
      <c r="S247" s="164">
        <f t="shared" ca="1" si="80"/>
        <v>712.3162860906217</v>
      </c>
      <c r="T247" s="1">
        <f t="shared" ca="1" si="81"/>
        <v>669.75249323641674</v>
      </c>
      <c r="U247" s="93">
        <f t="shared" si="84"/>
        <v>55.99970802599227</v>
      </c>
    </row>
    <row r="248" spans="14:21">
      <c r="N248" s="162" t="s">
        <v>440</v>
      </c>
      <c r="O248" s="162" t="s">
        <v>19</v>
      </c>
      <c r="P248" s="101" t="s">
        <v>5</v>
      </c>
      <c r="Q248" s="101" t="s">
        <v>132</v>
      </c>
      <c r="R248" s="101" t="s">
        <v>139</v>
      </c>
      <c r="S248" s="164">
        <f t="shared" ca="1" si="80"/>
        <v>127150.92212598425</v>
      </c>
      <c r="T248" s="1">
        <f t="shared" ca="1" si="81"/>
        <v>119862.06064093066</v>
      </c>
      <c r="U248" s="93">
        <f t="shared" si="84"/>
        <v>32855.535433070865</v>
      </c>
    </row>
    <row r="249" spans="14:21">
      <c r="N249" s="162" t="s">
        <v>440</v>
      </c>
      <c r="O249" s="162" t="s">
        <v>19</v>
      </c>
      <c r="P249" s="101" t="s">
        <v>5</v>
      </c>
      <c r="Q249" s="101" t="s">
        <v>132</v>
      </c>
      <c r="R249" s="101" t="s">
        <v>331</v>
      </c>
      <c r="S249" s="164">
        <f t="shared" ca="1" si="80"/>
        <v>119023.64560337093</v>
      </c>
      <c r="T249" s="1">
        <f t="shared" ca="1" si="81"/>
        <v>112151.9700717927</v>
      </c>
      <c r="U249" s="93">
        <f t="shared" si="84"/>
        <v>983666.49258984241</v>
      </c>
    </row>
    <row r="250" spans="14:21">
      <c r="N250" s="162" t="s">
        <v>440</v>
      </c>
      <c r="O250" s="162" t="s">
        <v>19</v>
      </c>
      <c r="P250" s="101" t="s">
        <v>5</v>
      </c>
      <c r="Q250" s="101" t="s">
        <v>132</v>
      </c>
      <c r="R250" s="101" t="s">
        <v>329</v>
      </c>
      <c r="S250" s="164">
        <f t="shared" ca="1" si="80"/>
        <v>236340.39334890671</v>
      </c>
      <c r="T250" s="1">
        <f t="shared" ca="1" si="81"/>
        <v>222695.58781580126</v>
      </c>
      <c r="U250" s="93">
        <f t="shared" si="84"/>
        <v>1953226.3913132786</v>
      </c>
    </row>
    <row r="251" spans="14:21">
      <c r="N251" s="162" t="s">
        <v>440</v>
      </c>
      <c r="O251" s="162" t="s">
        <v>19</v>
      </c>
      <c r="P251" s="101" t="s">
        <v>5</v>
      </c>
      <c r="Q251" s="101" t="s">
        <v>132</v>
      </c>
      <c r="R251" s="101" t="s">
        <v>332</v>
      </c>
      <c r="S251" s="164">
        <f t="shared" ca="1" si="80"/>
        <v>331294.00168634806</v>
      </c>
      <c r="T251" s="1">
        <f t="shared" ca="1" si="81"/>
        <v>312167.88668236625</v>
      </c>
      <c r="U251" s="93">
        <f>SUMIFS(S$8:S$51,P$8:P$51,P251,Q$8:Q$51,Q251,R$8:R$51,R251)+S46</f>
        <v>3959058.3375519603</v>
      </c>
    </row>
    <row r="252" spans="14:21">
      <c r="N252" s="162" t="s">
        <v>440</v>
      </c>
      <c r="O252" s="162" t="s">
        <v>19</v>
      </c>
      <c r="P252" s="101" t="s">
        <v>5</v>
      </c>
      <c r="Q252" s="101" t="s">
        <v>132</v>
      </c>
      <c r="R252" s="101" t="s">
        <v>330</v>
      </c>
      <c r="S252" s="164">
        <f t="shared" ca="1" si="80"/>
        <v>686704.36046598351</v>
      </c>
      <c r="T252" s="1">
        <f t="shared" ca="1" si="81"/>
        <v>647059.85587141279</v>
      </c>
      <c r="U252" s="93">
        <f>SUMIFS(S$8:S$51,P$8:P$51,P252,Q$8:Q$51,Q252,R$8:R$51,R252)+S47</f>
        <v>8206314.0591059215</v>
      </c>
    </row>
    <row r="253" spans="14:21">
      <c r="N253" s="162" t="s">
        <v>440</v>
      </c>
      <c r="O253" s="162" t="s">
        <v>19</v>
      </c>
      <c r="P253" s="101" t="s">
        <v>5</v>
      </c>
      <c r="Q253" s="101" t="s">
        <v>132</v>
      </c>
      <c r="R253" s="101" t="s">
        <v>138</v>
      </c>
      <c r="S253" s="164">
        <f t="shared" si="80"/>
        <v>8958.4334482758622</v>
      </c>
      <c r="T253" s="1">
        <f t="shared" si="81"/>
        <v>8380.4699999999993</v>
      </c>
      <c r="U253" s="93">
        <f>SUMIFS(S$8:S$51,P$8:P$51,P253,Q$8:Q$51,Q253,R$8:R$51,R253)</f>
        <v>14449.086206896553</v>
      </c>
    </row>
    <row r="254" spans="14:21">
      <c r="N254" s="162" t="s">
        <v>440</v>
      </c>
      <c r="O254" s="162" t="s">
        <v>19</v>
      </c>
      <c r="P254" s="101" t="s">
        <v>5</v>
      </c>
      <c r="Q254" s="101" t="s">
        <v>132</v>
      </c>
      <c r="R254" s="122" t="s">
        <v>303</v>
      </c>
      <c r="S254" s="164">
        <f t="shared" si="80"/>
        <v>-119.42</v>
      </c>
      <c r="T254" s="1">
        <f t="shared" si="81"/>
        <v>-119.42000000000003</v>
      </c>
      <c r="U254" s="93">
        <f>SUMIFS(S$8:S$51,P$8:P$51,P254,Q$8:Q$51,Q254,R$8:R$51,R254)</f>
        <v>11942</v>
      </c>
    </row>
    <row r="255" spans="14:21">
      <c r="N255" s="162" t="s">
        <v>440</v>
      </c>
      <c r="O255" s="162" t="s">
        <v>19</v>
      </c>
      <c r="P255" s="101" t="s">
        <v>5</v>
      </c>
      <c r="Q255" s="101" t="s">
        <v>132</v>
      </c>
      <c r="R255" s="122" t="s">
        <v>294</v>
      </c>
      <c r="S255" s="164">
        <f t="shared" si="80"/>
        <v>-146.76</v>
      </c>
      <c r="T255" s="1">
        <f t="shared" si="81"/>
        <v>-146.76000000000002</v>
      </c>
      <c r="U255" s="93">
        <f>SUMIFS(S$8:S$51,P$8:P$51,P255,Q$8:Q$51,Q255,R$8:R$51,R255)</f>
        <v>489.2</v>
      </c>
    </row>
    <row r="256" spans="14:21">
      <c r="N256" s="162" t="s">
        <v>440</v>
      </c>
      <c r="O256" s="162" t="s">
        <v>19</v>
      </c>
      <c r="P256" s="101" t="s">
        <v>5</v>
      </c>
      <c r="Q256" s="101" t="s">
        <v>132</v>
      </c>
      <c r="R256" s="122" t="s">
        <v>304</v>
      </c>
      <c r="S256" s="164">
        <f t="shared" si="80"/>
        <v>1556</v>
      </c>
      <c r="T256" s="1">
        <f t="shared" si="81"/>
        <v>1556</v>
      </c>
      <c r="U256" s="93">
        <f>SUMIFS(S$8:S$51,P$8:P$51,P256,Q$8:Q$51,Q256,R$8:R$51,R256)</f>
        <v>25.933333333333334</v>
      </c>
    </row>
    <row r="257" spans="14:21">
      <c r="N257" s="163" t="s">
        <v>440</v>
      </c>
      <c r="O257" s="163" t="s">
        <v>19</v>
      </c>
      <c r="P257" s="104" t="s">
        <v>5</v>
      </c>
      <c r="Q257" s="104" t="s">
        <v>132</v>
      </c>
      <c r="R257" s="368" t="s">
        <v>105</v>
      </c>
      <c r="S257" s="165">
        <f t="shared" si="80"/>
        <v>30849.452456491777</v>
      </c>
      <c r="T257" s="1">
        <f t="shared" si="81"/>
        <v>30849.452456491777</v>
      </c>
      <c r="U257" s="93">
        <f>SUMIFS(S$8:S$51,P$8:P$51,P257,Q$8:Q$51,Q257,R$8:R$51,R257)</f>
        <v>0</v>
      </c>
    </row>
    <row r="259" spans="14:21">
      <c r="S259" s="481" t="s">
        <v>152</v>
      </c>
      <c r="T259" s="155"/>
    </row>
    <row r="260" spans="14:21">
      <c r="S260" s="482" t="s">
        <v>435</v>
      </c>
      <c r="T260" s="480">
        <f ca="1">SUM(T133:T180)-SUM(S104:S105)</f>
        <v>0</v>
      </c>
    </row>
    <row r="261" spans="14:21">
      <c r="S261" s="483" t="s">
        <v>437</v>
      </c>
      <c r="T261" s="471">
        <f ca="1">SUM(T210:T257)-SUM(S181:S182)</f>
        <v>0</v>
      </c>
    </row>
  </sheetData>
  <phoneticPr fontId="19" type="noConversion"/>
  <printOptions horizontalCentered="1"/>
  <pageMargins left="0.2" right="0.2" top="0.2" bottom="0.2" header="0" footer="0"/>
  <pageSetup scale="99" fitToHeight="0" orientation="landscape" r:id="rId1"/>
  <rowBreaks count="19" manualBreakCount="19">
    <brk id="18" min="13" max="18" man="1"/>
    <brk id="25" max="12" man="1"/>
    <brk id="35" min="13" max="18" man="1"/>
    <brk id="43" max="12" man="1"/>
    <brk id="51" min="13" max="18" man="1"/>
    <brk id="61" max="12" man="1"/>
    <brk id="65" min="13" max="18" man="1"/>
    <brk id="74" min="13" max="18" man="1"/>
    <brk id="79" max="12" man="1"/>
    <brk id="89" min="13" max="18" man="1"/>
    <brk id="97" max="12" man="1"/>
    <brk id="103" min="13" max="18" man="1"/>
    <brk id="132" min="13" max="18" man="1"/>
    <brk id="148" min="13" max="18" man="1"/>
    <brk id="164" min="13" max="18" man="1"/>
    <brk id="180" min="13" max="18" man="1"/>
    <brk id="209" min="13" max="18" man="1"/>
    <brk id="225" min="13" max="18" man="1"/>
    <brk id="241" min="1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EB13-4573-4819-A40B-B540C42E2364}">
  <sheetPr>
    <pageSetUpPr fitToPage="1"/>
  </sheetPr>
  <dimension ref="A1:AE220"/>
  <sheetViews>
    <sheetView showGridLines="0" zoomScale="70" zoomScaleNormal="70" zoomScaleSheetLayoutView="75" workbookViewId="0">
      <pane ySplit="7" topLeftCell="A59" activePane="bottomLeft" state="frozen"/>
      <selection activeCell="C2" sqref="C2"/>
      <selection pane="bottomLeft" activeCell="C2" sqref="C2"/>
    </sheetView>
  </sheetViews>
  <sheetFormatPr defaultRowHeight="15.75"/>
  <cols>
    <col min="1" max="1" width="9.25" style="5" bestFit="1" customWidth="1"/>
    <col min="2" max="2" width="7.5" style="5" bestFit="1" customWidth="1"/>
    <col min="3" max="3" width="6.75" style="5" bestFit="1" customWidth="1"/>
    <col min="4" max="4" width="9.625" style="5" bestFit="1" customWidth="1"/>
    <col min="5" max="8" width="10.25" style="5" customWidth="1"/>
    <col min="9" max="12" width="10.25" style="5" hidden="1" customWidth="1"/>
    <col min="13" max="13" width="46.25" style="110" bestFit="1" customWidth="1"/>
    <col min="14" max="14" width="7.125" style="110" bestFit="1" customWidth="1"/>
    <col min="15" max="15" width="15.125" style="110" bestFit="1" customWidth="1"/>
    <col min="16" max="16" width="12.625" style="110" bestFit="1" customWidth="1"/>
    <col min="17" max="17" width="10.5" style="110" bestFit="1" customWidth="1"/>
    <col min="18" max="18" width="41" style="110" bestFit="1" customWidth="1"/>
    <col min="19" max="19" width="13.375" style="111" customWidth="1"/>
    <col min="20" max="25" width="15.5" customWidth="1"/>
    <col min="26" max="26" width="15.5" style="188" customWidth="1"/>
    <col min="27" max="31" width="15.5" customWidth="1"/>
  </cols>
  <sheetData>
    <row r="1" spans="1:31">
      <c r="A1" s="326" t="s">
        <v>287</v>
      </c>
      <c r="B1" s="327"/>
      <c r="C1" s="327"/>
      <c r="D1" s="327"/>
      <c r="E1" s="327"/>
      <c r="F1" s="327"/>
      <c r="G1" s="327"/>
      <c r="H1" s="287"/>
      <c r="I1" s="327"/>
      <c r="J1" s="327"/>
      <c r="K1" s="327"/>
      <c r="L1" s="287"/>
    </row>
    <row r="2" spans="1:31">
      <c r="A2" s="329" t="s">
        <v>422</v>
      </c>
      <c r="B2" s="288"/>
      <c r="C2" s="288"/>
      <c r="D2" s="288"/>
      <c r="E2" s="288"/>
      <c r="F2" s="288"/>
      <c r="G2" s="288"/>
      <c r="H2" s="343"/>
      <c r="I2" s="288"/>
      <c r="J2" s="288"/>
      <c r="K2" s="288"/>
      <c r="L2" s="343"/>
    </row>
    <row r="3" spans="1:31">
      <c r="A3" s="329" t="s">
        <v>442</v>
      </c>
      <c r="B3" s="288"/>
      <c r="C3" s="288"/>
      <c r="D3" s="288"/>
      <c r="E3" s="331"/>
      <c r="F3" s="331"/>
      <c r="G3" s="331"/>
      <c r="H3" s="341"/>
      <c r="I3" s="331"/>
      <c r="J3" s="331"/>
      <c r="K3" s="331"/>
      <c r="L3" s="341"/>
    </row>
    <row r="4" spans="1:31" s="183" customFormat="1">
      <c r="A4" s="522"/>
      <c r="B4" s="522"/>
      <c r="C4" s="522"/>
      <c r="D4" s="522"/>
      <c r="E4" s="447" t="s">
        <v>552</v>
      </c>
      <c r="F4" s="447"/>
      <c r="G4" s="447"/>
      <c r="H4" s="548"/>
      <c r="I4" s="447"/>
      <c r="J4" s="447"/>
      <c r="K4" s="447"/>
      <c r="L4" s="548"/>
      <c r="M4" s="218" t="s">
        <v>499</v>
      </c>
      <c r="N4" s="262"/>
      <c r="O4" s="262"/>
      <c r="P4" s="262"/>
      <c r="Q4" s="262"/>
      <c r="R4" s="262"/>
      <c r="S4" s="263"/>
      <c r="Z4" s="292"/>
      <c r="AB4"/>
      <c r="AC4"/>
      <c r="AD4" s="261"/>
      <c r="AE4" s="319"/>
    </row>
    <row r="5" spans="1:31" s="183" customFormat="1">
      <c r="A5" s="237"/>
      <c r="B5" s="369" t="s">
        <v>424</v>
      </c>
      <c r="C5" s="369" t="s">
        <v>4</v>
      </c>
      <c r="D5" s="370"/>
      <c r="E5" s="351" t="s">
        <v>435</v>
      </c>
      <c r="F5" s="351"/>
      <c r="G5" s="327"/>
      <c r="H5" s="376"/>
      <c r="I5" s="351" t="s">
        <v>437</v>
      </c>
      <c r="J5" s="351"/>
      <c r="K5" s="327"/>
      <c r="L5" s="376"/>
      <c r="M5" s="219" t="s">
        <v>422</v>
      </c>
      <c r="N5" s="261"/>
      <c r="O5" s="261"/>
      <c r="P5" s="261"/>
      <c r="Q5" s="261"/>
      <c r="R5" s="261"/>
      <c r="S5" s="264"/>
      <c r="Z5" s="292"/>
      <c r="AB5" s="380"/>
      <c r="AC5" s="6"/>
      <c r="AD5" s="261"/>
      <c r="AE5" s="319"/>
    </row>
    <row r="6" spans="1:31">
      <c r="A6" s="174" t="s">
        <v>424</v>
      </c>
      <c r="B6" s="369" t="s">
        <v>461</v>
      </c>
      <c r="C6" s="370" t="s">
        <v>464</v>
      </c>
      <c r="D6" s="369"/>
      <c r="E6" s="546"/>
      <c r="F6" s="334"/>
      <c r="G6" s="334"/>
      <c r="H6" s="167" t="s">
        <v>428</v>
      </c>
      <c r="I6" s="546"/>
      <c r="J6" s="334"/>
      <c r="K6" s="334"/>
      <c r="L6" s="167" t="s">
        <v>428</v>
      </c>
      <c r="M6" s="202" t="s">
        <v>342</v>
      </c>
      <c r="N6" s="203"/>
      <c r="O6" s="204"/>
      <c r="P6" s="204"/>
      <c r="Q6" s="204"/>
      <c r="R6" s="205"/>
      <c r="S6" s="206"/>
      <c r="AB6" s="380"/>
      <c r="AC6" s="553"/>
      <c r="AD6" s="554"/>
      <c r="AE6" s="554"/>
    </row>
    <row r="7" spans="1:31">
      <c r="A7" s="283" t="s">
        <v>461</v>
      </c>
      <c r="B7" s="371" t="s">
        <v>139</v>
      </c>
      <c r="C7" s="371" t="s">
        <v>139</v>
      </c>
      <c r="D7" s="371" t="s">
        <v>4</v>
      </c>
      <c r="E7" s="310" t="s">
        <v>341</v>
      </c>
      <c r="F7" s="230" t="s">
        <v>346</v>
      </c>
      <c r="G7" s="165" t="s">
        <v>348</v>
      </c>
      <c r="H7" s="165" t="s">
        <v>348</v>
      </c>
      <c r="I7" s="310" t="s">
        <v>341</v>
      </c>
      <c r="J7" s="230" t="s">
        <v>346</v>
      </c>
      <c r="K7" s="165" t="s">
        <v>348</v>
      </c>
      <c r="L7" s="165" t="s">
        <v>348</v>
      </c>
      <c r="M7" s="180"/>
      <c r="N7" s="180"/>
      <c r="O7" s="180" t="s">
        <v>146</v>
      </c>
      <c r="P7" s="180" t="s">
        <v>90</v>
      </c>
      <c r="Q7" s="181" t="s">
        <v>131</v>
      </c>
      <c r="R7" s="181" t="s">
        <v>336</v>
      </c>
      <c r="S7" s="367" t="s">
        <v>143</v>
      </c>
      <c r="AB7" s="380"/>
      <c r="AC7" s="553"/>
      <c r="AD7" s="553"/>
      <c r="AE7" s="553"/>
    </row>
    <row r="8" spans="1:31">
      <c r="A8" s="294" t="s">
        <v>140</v>
      </c>
      <c r="B8" s="214">
        <v>100</v>
      </c>
      <c r="C8" s="214">
        <v>300</v>
      </c>
      <c r="D8" s="214">
        <f>B8*C8</f>
        <v>30000</v>
      </c>
      <c r="E8" s="294">
        <f t="shared" ref="E8:E28" si="0">SUMIFS(S$40:S$42,Q$40:Q$42,A8)+SUM(SUMIFS(S$43:S$44,Q$43:Q$44,A8),S$45)*B8+IF(D8&lt;=40000,S$46*D8,S$46*40000+S$47*(D8-40000))</f>
        <v>2904.8</v>
      </c>
      <c r="F8" s="214">
        <f t="shared" ref="F8:F28" ca="1" si="1">SUMIFS(S$103:S$105,Q$103:Q$105,A8)+SUM(SUMIFS(S$106:S$107,Q$106:Q$107,A8),S$108)*B8+S$109*D8</f>
        <v>2780.04</v>
      </c>
      <c r="G8" s="214">
        <f ca="1">F8-E8</f>
        <v>-124.76000000000022</v>
      </c>
      <c r="H8" s="448">
        <f ca="1">G8/E8*100</f>
        <v>-4.2949600660975005</v>
      </c>
      <c r="I8" s="221">
        <f t="shared" ref="I8:I28" ca="1" si="2">SUMIFS(S$103:S$105,Q$103:Q$105,A8)+SUM(SUMIFS(S$106:S$107,Q$106:Q$107,A8),S$108)*B8+S$109*D8</f>
        <v>2780.04</v>
      </c>
      <c r="J8" s="94">
        <f t="shared" ref="J8:J28" ca="1" si="3">SUMIFS(S$166:S$168,Q$166:Q$168,A8)+SUM(SUMIFS(S$169:S$170,Q$169:Q$170,A8),S$171)*B8+S$172*D8</f>
        <v>2694.86</v>
      </c>
      <c r="K8" s="94">
        <f ca="1">J8-I8</f>
        <v>-85.179999999999836</v>
      </c>
      <c r="L8" s="444">
        <f ca="1">K8/I8*100</f>
        <v>-3.0639846908677515</v>
      </c>
      <c r="M8" s="208" t="s">
        <v>154</v>
      </c>
      <c r="N8" s="98" t="s">
        <v>337</v>
      </c>
      <c r="O8" s="98" t="s">
        <v>215</v>
      </c>
      <c r="P8" s="97" t="s">
        <v>2</v>
      </c>
      <c r="Q8" s="97" t="s">
        <v>140</v>
      </c>
      <c r="R8" s="97" t="s">
        <v>271</v>
      </c>
      <c r="S8" s="97">
        <f>SUMIFS('Normalized Units'!I:I,'Normalized Units'!B:B,"Normalized Billing Units",'Normalized Units'!C:C,O8,'Normalized Units'!D:D,P8,'Normalized Units'!G:G,Q8,'Normalized Units'!H:H,R8)</f>
        <v>2</v>
      </c>
      <c r="AB8" s="555"/>
      <c r="AC8" s="556"/>
      <c r="AD8" s="394"/>
      <c r="AE8" s="394"/>
    </row>
    <row r="9" spans="1:31">
      <c r="A9" s="174" t="s">
        <v>140</v>
      </c>
      <c r="B9" s="94">
        <v>100</v>
      </c>
      <c r="C9" s="174">
        <v>500</v>
      </c>
      <c r="D9" s="94">
        <f t="shared" ref="D9:D28" si="4">B9*C9</f>
        <v>50000</v>
      </c>
      <c r="E9" s="174">
        <f t="shared" si="0"/>
        <v>4205.7999999999993</v>
      </c>
      <c r="F9" s="94">
        <f t="shared" ca="1" si="1"/>
        <v>4067.84</v>
      </c>
      <c r="G9" s="94">
        <f t="shared" ref="G9:G28" ca="1" si="5">F9-E9</f>
        <v>-137.95999999999913</v>
      </c>
      <c r="H9" s="444">
        <f t="shared" ref="H9:H28" ca="1" si="6">G9/E9*100</f>
        <v>-3.2802320604878776</v>
      </c>
      <c r="I9" s="221">
        <f t="shared" ca="1" si="2"/>
        <v>4067.84</v>
      </c>
      <c r="J9" s="94">
        <f t="shared" ca="1" si="3"/>
        <v>3953.8600000000006</v>
      </c>
      <c r="K9" s="94">
        <f t="shared" ref="K9:K28" ca="1" si="7">J9-I9</f>
        <v>-113.97999999999956</v>
      </c>
      <c r="L9" s="444">
        <f t="shared" ref="L9:L28" ca="1" si="8">K9/I9*100</f>
        <v>-2.8019784455632366</v>
      </c>
      <c r="M9" s="184" t="s">
        <v>154</v>
      </c>
      <c r="N9" s="57" t="s">
        <v>337</v>
      </c>
      <c r="O9" s="55" t="s">
        <v>215</v>
      </c>
      <c r="P9" s="55" t="s">
        <v>2</v>
      </c>
      <c r="Q9" s="55" t="s">
        <v>220</v>
      </c>
      <c r="R9" s="55" t="s">
        <v>271</v>
      </c>
      <c r="S9" s="55">
        <f>SUMIFS('Normalized Units'!I:I,'Normalized Units'!B:B,"Normalized Billing Units",'Normalized Units'!C:C,O9,'Normalized Units'!D:D,P9,'Normalized Units'!G:G,Q9,'Normalized Units'!H:H,R9)</f>
        <v>37</v>
      </c>
      <c r="U9" s="278"/>
      <c r="V9" s="319"/>
      <c r="W9" s="319"/>
      <c r="X9" s="319"/>
      <c r="Y9" s="319"/>
      <c r="AB9" s="555"/>
      <c r="AC9" s="556"/>
      <c r="AD9" s="394"/>
      <c r="AE9" s="394"/>
    </row>
    <row r="10" spans="1:31">
      <c r="A10" s="174" t="s">
        <v>140</v>
      </c>
      <c r="B10" s="94">
        <v>100</v>
      </c>
      <c r="C10" s="174">
        <v>700</v>
      </c>
      <c r="D10" s="94">
        <f t="shared" si="4"/>
        <v>70000</v>
      </c>
      <c r="E10" s="174">
        <f t="shared" si="0"/>
        <v>5456.5999999999995</v>
      </c>
      <c r="F10" s="94">
        <f t="shared" ca="1" si="1"/>
        <v>5355.64</v>
      </c>
      <c r="G10" s="94">
        <f t="shared" ca="1" si="5"/>
        <v>-100.95999999999913</v>
      </c>
      <c r="H10" s="444">
        <f t="shared" ca="1" si="6"/>
        <v>-1.850236410951859</v>
      </c>
      <c r="I10" s="221">
        <f t="shared" ca="1" si="2"/>
        <v>5355.64</v>
      </c>
      <c r="J10" s="94">
        <f t="shared" ca="1" si="3"/>
        <v>5212.8599999999997</v>
      </c>
      <c r="K10" s="94">
        <f t="shared" ca="1" si="7"/>
        <v>-142.78000000000065</v>
      </c>
      <c r="L10" s="444">
        <f t="shared" ca="1" si="8"/>
        <v>-2.6659745613969692</v>
      </c>
      <c r="M10" s="184" t="s">
        <v>154</v>
      </c>
      <c r="N10" s="57" t="s">
        <v>337</v>
      </c>
      <c r="O10" s="55" t="s">
        <v>215</v>
      </c>
      <c r="P10" s="55" t="s">
        <v>2</v>
      </c>
      <c r="Q10" s="55" t="s">
        <v>141</v>
      </c>
      <c r="R10" s="55" t="s">
        <v>271</v>
      </c>
      <c r="S10" s="55">
        <f>SUMIFS('Normalized Units'!I:I,'Normalized Units'!B:B,"Normalized Billing Units",'Normalized Units'!C:C,O10,'Normalized Units'!D:D,P10,'Normalized Units'!G:G,Q10,'Normalized Units'!H:H,R10)</f>
        <v>7</v>
      </c>
      <c r="W10" s="96"/>
      <c r="X10" s="553"/>
      <c r="Y10" s="553"/>
      <c r="AB10" s="555"/>
      <c r="AC10" s="556"/>
      <c r="AD10" s="394"/>
      <c r="AE10" s="394"/>
    </row>
    <row r="11" spans="1:31">
      <c r="A11" s="174" t="s">
        <v>220</v>
      </c>
      <c r="B11" s="174">
        <v>200</v>
      </c>
      <c r="C11" s="94">
        <v>300</v>
      </c>
      <c r="D11" s="94">
        <f t="shared" si="4"/>
        <v>60000</v>
      </c>
      <c r="E11" s="174">
        <f t="shared" si="0"/>
        <v>5666.2</v>
      </c>
      <c r="F11" s="94">
        <f t="shared" ca="1" si="1"/>
        <v>5688.7800000000007</v>
      </c>
      <c r="G11" s="94">
        <f t="shared" ca="1" si="5"/>
        <v>22.580000000000837</v>
      </c>
      <c r="H11" s="444">
        <f t="shared" ca="1" si="6"/>
        <v>0.39850340616287527</v>
      </c>
      <c r="I11" s="221">
        <f t="shared" ca="1" si="2"/>
        <v>5688.7800000000007</v>
      </c>
      <c r="J11" s="94">
        <f t="shared" ca="1" si="3"/>
        <v>5673.51</v>
      </c>
      <c r="K11" s="94">
        <f t="shared" ca="1" si="7"/>
        <v>-15.270000000000437</v>
      </c>
      <c r="L11" s="444">
        <f t="shared" ca="1" si="8"/>
        <v>-0.26842310653603119</v>
      </c>
      <c r="M11" s="184" t="s">
        <v>154</v>
      </c>
      <c r="N11" s="57" t="s">
        <v>337</v>
      </c>
      <c r="O11" s="55" t="s">
        <v>215</v>
      </c>
      <c r="P11" s="55" t="s">
        <v>2</v>
      </c>
      <c r="Q11" s="55" t="s">
        <v>220</v>
      </c>
      <c r="R11" s="55" t="s">
        <v>217</v>
      </c>
      <c r="S11" s="55">
        <f>SUMIFS('Normalized Units'!I:I,'Normalized Units'!B:B,"Normalized Billing Units",'Normalized Units'!C:C,O11,'Normalized Units'!D:D,P11,'Normalized Units'!G:G,Q11,'Normalized Units'!H:H,R11)</f>
        <v>5273</v>
      </c>
      <c r="U11" s="557"/>
      <c r="X11" s="96"/>
      <c r="Y11" s="96"/>
      <c r="AB11" s="555"/>
      <c r="AC11" s="556"/>
      <c r="AD11" s="394"/>
      <c r="AE11" s="394"/>
    </row>
    <row r="12" spans="1:31">
      <c r="A12" s="174" t="s">
        <v>220</v>
      </c>
      <c r="B12" s="174">
        <v>200</v>
      </c>
      <c r="C12" s="174">
        <v>500</v>
      </c>
      <c r="D12" s="94">
        <f t="shared" si="4"/>
        <v>100000</v>
      </c>
      <c r="E12" s="174">
        <f t="shared" si="0"/>
        <v>8167.7999999999993</v>
      </c>
      <c r="F12" s="94">
        <f t="shared" ca="1" si="1"/>
        <v>8264.380000000001</v>
      </c>
      <c r="G12" s="94">
        <f t="shared" ca="1" si="5"/>
        <v>96.580000000001746</v>
      </c>
      <c r="H12" s="444">
        <f t="shared" ca="1" si="6"/>
        <v>1.1824481500526671</v>
      </c>
      <c r="I12" s="221">
        <f t="shared" ca="1" si="2"/>
        <v>8264.380000000001</v>
      </c>
      <c r="J12" s="94">
        <f t="shared" ca="1" si="3"/>
        <v>8191.51</v>
      </c>
      <c r="K12" s="94">
        <f t="shared" ca="1" si="7"/>
        <v>-72.8700000000008</v>
      </c>
      <c r="L12" s="444">
        <f t="shared" ca="1" si="8"/>
        <v>-0.88173583499307617</v>
      </c>
      <c r="M12" s="184" t="s">
        <v>154</v>
      </c>
      <c r="N12" s="57" t="s">
        <v>337</v>
      </c>
      <c r="O12" s="55" t="s">
        <v>215</v>
      </c>
      <c r="P12" s="55" t="s">
        <v>2</v>
      </c>
      <c r="Q12" s="55" t="s">
        <v>141</v>
      </c>
      <c r="R12" s="55" t="s">
        <v>217</v>
      </c>
      <c r="S12" s="55">
        <f>SUMIFS('Normalized Units'!I:I,'Normalized Units'!B:B,"Normalized Billing Units",'Normalized Units'!C:C,O12,'Normalized Units'!D:D,P12,'Normalized Units'!G:G,Q12,'Normalized Units'!H:H,R12)</f>
        <v>2167</v>
      </c>
      <c r="U12" s="557"/>
      <c r="X12" s="96"/>
      <c r="Y12" s="96"/>
      <c r="AB12" s="555"/>
      <c r="AC12" s="556"/>
      <c r="AD12" s="394"/>
      <c r="AE12" s="394"/>
    </row>
    <row r="13" spans="1:31">
      <c r="A13" s="174" t="s">
        <v>220</v>
      </c>
      <c r="B13" s="174">
        <v>200</v>
      </c>
      <c r="C13" s="174">
        <v>700</v>
      </c>
      <c r="D13" s="94">
        <f t="shared" si="4"/>
        <v>140000</v>
      </c>
      <c r="E13" s="174">
        <f t="shared" si="0"/>
        <v>10669.4</v>
      </c>
      <c r="F13" s="94">
        <f t="shared" ca="1" si="1"/>
        <v>10839.98</v>
      </c>
      <c r="G13" s="94">
        <f t="shared" ca="1" si="5"/>
        <v>170.57999999999993</v>
      </c>
      <c r="H13" s="444">
        <f t="shared" ca="1" si="6"/>
        <v>1.5987778131853707</v>
      </c>
      <c r="I13" s="221">
        <f t="shared" ca="1" si="2"/>
        <v>10839.98</v>
      </c>
      <c r="J13" s="94">
        <f t="shared" ca="1" si="3"/>
        <v>10709.51</v>
      </c>
      <c r="K13" s="94">
        <f t="shared" ca="1" si="7"/>
        <v>-130.46999999999935</v>
      </c>
      <c r="L13" s="444">
        <f t="shared" ca="1" si="8"/>
        <v>-1.2036000066420727</v>
      </c>
      <c r="M13" s="184" t="s">
        <v>154</v>
      </c>
      <c r="N13" s="57" t="s">
        <v>337</v>
      </c>
      <c r="O13" s="55" t="s">
        <v>215</v>
      </c>
      <c r="P13" s="55" t="s">
        <v>2</v>
      </c>
      <c r="Q13" s="55" t="s">
        <v>132</v>
      </c>
      <c r="R13" s="55" t="s">
        <v>139</v>
      </c>
      <c r="S13" s="55">
        <f>SUMIFS('Normalized Units'!I:I,'Normalized Units'!B:B,"Normalized Billing Units",'Normalized Units'!C:C,O13,'Normalized Units'!D:D,P13,'Normalized Units'!G:G,Q13,'Normalized Units'!H:H,R13)</f>
        <v>5873</v>
      </c>
      <c r="U13" s="557"/>
      <c r="X13" s="96"/>
      <c r="Y13" s="96"/>
      <c r="Z13"/>
      <c r="AB13" s="555"/>
      <c r="AC13" s="556"/>
      <c r="AD13" s="394"/>
      <c r="AE13" s="394"/>
    </row>
    <row r="14" spans="1:31">
      <c r="A14" s="174" t="s">
        <v>220</v>
      </c>
      <c r="B14" s="94">
        <v>300</v>
      </c>
      <c r="C14" s="94">
        <v>300</v>
      </c>
      <c r="D14" s="94">
        <f t="shared" si="4"/>
        <v>90000</v>
      </c>
      <c r="E14" s="174">
        <f t="shared" si="0"/>
        <v>8352.4</v>
      </c>
      <c r="F14" s="94">
        <f t="shared" ca="1" si="1"/>
        <v>8488.48</v>
      </c>
      <c r="G14" s="94">
        <f t="shared" ca="1" si="5"/>
        <v>136.07999999999993</v>
      </c>
      <c r="H14" s="444">
        <f t="shared" ca="1" si="6"/>
        <v>1.6292323164599387</v>
      </c>
      <c r="I14" s="221">
        <f t="shared" ca="1" si="2"/>
        <v>8488.48</v>
      </c>
      <c r="J14" s="94">
        <f t="shared" ca="1" si="3"/>
        <v>8468.01</v>
      </c>
      <c r="K14" s="94">
        <f t="shared" ca="1" si="7"/>
        <v>-20.469999999999345</v>
      </c>
      <c r="L14" s="444">
        <f t="shared" ca="1" si="8"/>
        <v>-0.24115035907487969</v>
      </c>
      <c r="M14" s="184" t="s">
        <v>154</v>
      </c>
      <c r="N14" s="57" t="s">
        <v>337</v>
      </c>
      <c r="O14" s="55" t="s">
        <v>215</v>
      </c>
      <c r="P14" s="55" t="s">
        <v>2</v>
      </c>
      <c r="Q14" s="55" t="s">
        <v>132</v>
      </c>
      <c r="R14" s="55" t="s">
        <v>134</v>
      </c>
      <c r="S14" s="55">
        <f>SUMIFS('Normalized Units'!I:I,'Normalized Units'!B:B,"Normalized Billing Units",'Normalized Units'!C:C,O14,'Normalized Units'!D:D,P14,'Normalized Units'!G:G,Q14,'Normalized Units'!H:H,R14)</f>
        <v>1479518.9669764682</v>
      </c>
      <c r="U14" s="36"/>
      <c r="X14" s="96"/>
      <c r="Y14" s="96"/>
      <c r="Z14"/>
      <c r="AB14" s="555"/>
      <c r="AC14" s="556"/>
      <c r="AD14" s="394"/>
      <c r="AE14" s="394"/>
    </row>
    <row r="15" spans="1:31">
      <c r="A15" s="174" t="s">
        <v>220</v>
      </c>
      <c r="B15" s="94">
        <v>300</v>
      </c>
      <c r="C15" s="174">
        <v>500</v>
      </c>
      <c r="D15" s="94">
        <f t="shared" si="4"/>
        <v>150000</v>
      </c>
      <c r="E15" s="174">
        <f t="shared" si="0"/>
        <v>12104.8</v>
      </c>
      <c r="F15" s="94">
        <f t="shared" ca="1" si="1"/>
        <v>12351.880000000001</v>
      </c>
      <c r="G15" s="94">
        <f t="shared" ca="1" si="5"/>
        <v>247.08000000000175</v>
      </c>
      <c r="H15" s="444">
        <f t="shared" ca="1" si="6"/>
        <v>2.0411737492565076</v>
      </c>
      <c r="I15" s="221">
        <f t="shared" ca="1" si="2"/>
        <v>12351.880000000001</v>
      </c>
      <c r="J15" s="94">
        <f t="shared" ca="1" si="3"/>
        <v>12245.01</v>
      </c>
      <c r="K15" s="94">
        <f t="shared" ca="1" si="7"/>
        <v>-106.8700000000008</v>
      </c>
      <c r="L15" s="444">
        <f t="shared" ca="1" si="8"/>
        <v>-0.86521242110513363</v>
      </c>
      <c r="M15" s="184" t="s">
        <v>154</v>
      </c>
      <c r="N15" s="57" t="s">
        <v>337</v>
      </c>
      <c r="O15" s="55" t="s">
        <v>215</v>
      </c>
      <c r="P15" s="55" t="s">
        <v>2</v>
      </c>
      <c r="Q15" s="55" t="s">
        <v>132</v>
      </c>
      <c r="R15" s="55" t="s">
        <v>135</v>
      </c>
      <c r="S15" s="55">
        <f>SUMIFS('Normalized Units'!I:I,'Normalized Units'!B:B,"Normalized Billing Units",'Normalized Units'!C:C,O15,'Normalized Units'!D:D,P15,'Normalized Units'!G:G,Q15,'Normalized Units'!H:H,R15)</f>
        <v>811580.59804120462</v>
      </c>
      <c r="U15" s="557"/>
      <c r="X15" s="96"/>
      <c r="Y15" s="96"/>
      <c r="Z15"/>
      <c r="AB15" s="555"/>
      <c r="AC15" s="556"/>
      <c r="AD15" s="394"/>
      <c r="AE15" s="394"/>
    </row>
    <row r="16" spans="1:31">
      <c r="A16" s="174" t="s">
        <v>220</v>
      </c>
      <c r="B16" s="94">
        <v>300</v>
      </c>
      <c r="C16" s="174">
        <v>700</v>
      </c>
      <c r="D16" s="94">
        <f t="shared" si="4"/>
        <v>210000</v>
      </c>
      <c r="E16" s="174">
        <f t="shared" si="0"/>
        <v>15857.199999999999</v>
      </c>
      <c r="F16" s="94">
        <f t="shared" ca="1" si="1"/>
        <v>16215.280000000002</v>
      </c>
      <c r="G16" s="94">
        <f t="shared" ca="1" si="5"/>
        <v>358.08000000000357</v>
      </c>
      <c r="H16" s="444">
        <f t="shared" ca="1" si="6"/>
        <v>2.2581540246702043</v>
      </c>
      <c r="I16" s="221">
        <f t="shared" ca="1" si="2"/>
        <v>16215.280000000002</v>
      </c>
      <c r="J16" s="94">
        <f t="shared" ca="1" si="3"/>
        <v>16022.010000000002</v>
      </c>
      <c r="K16" s="94">
        <f t="shared" ca="1" si="7"/>
        <v>-193.27000000000044</v>
      </c>
      <c r="L16" s="444">
        <f t="shared" ca="1" si="8"/>
        <v>-1.1919004790543264</v>
      </c>
      <c r="M16" s="184" t="s">
        <v>154</v>
      </c>
      <c r="N16" s="57" t="s">
        <v>337</v>
      </c>
      <c r="O16" s="55" t="s">
        <v>215</v>
      </c>
      <c r="P16" s="55" t="s">
        <v>3</v>
      </c>
      <c r="Q16" s="55" t="s">
        <v>140</v>
      </c>
      <c r="R16" s="55" t="s">
        <v>271</v>
      </c>
      <c r="S16" s="55">
        <f>SUMIFS('Normalized Units'!I:I,'Normalized Units'!B:B,"Normalized Billing Units",'Normalized Units'!C:C,O16,'Normalized Units'!D:D,P16,'Normalized Units'!G:G,Q16,'Normalized Units'!H:H,R16)</f>
        <v>231.48648041034534</v>
      </c>
      <c r="U16" s="557"/>
      <c r="X16" s="96"/>
      <c r="Y16" s="96"/>
      <c r="Z16"/>
      <c r="AB16" s="555"/>
      <c r="AC16" s="556"/>
      <c r="AD16" s="394"/>
      <c r="AE16" s="394"/>
    </row>
    <row r="17" spans="1:31">
      <c r="A17" s="174" t="s">
        <v>141</v>
      </c>
      <c r="B17" s="174">
        <v>400</v>
      </c>
      <c r="C17" s="94">
        <v>300</v>
      </c>
      <c r="D17" s="94">
        <f t="shared" si="4"/>
        <v>120000</v>
      </c>
      <c r="E17" s="174">
        <f t="shared" si="0"/>
        <v>11002.599999999999</v>
      </c>
      <c r="F17" s="94">
        <f t="shared" ca="1" si="1"/>
        <v>11192.59</v>
      </c>
      <c r="G17" s="94">
        <f t="shared" ca="1" si="5"/>
        <v>189.9900000000016</v>
      </c>
      <c r="H17" s="444">
        <f t="shared" ca="1" si="6"/>
        <v>1.7267736716776183</v>
      </c>
      <c r="I17" s="221">
        <f t="shared" ca="1" si="2"/>
        <v>11192.59</v>
      </c>
      <c r="J17" s="94">
        <f t="shared" ca="1" si="3"/>
        <v>11114.1</v>
      </c>
      <c r="K17" s="94">
        <f t="shared" ca="1" si="7"/>
        <v>-78.489999999999782</v>
      </c>
      <c r="L17" s="444">
        <f t="shared" ca="1" si="8"/>
        <v>-0.70126753503880501</v>
      </c>
      <c r="M17" s="184" t="s">
        <v>154</v>
      </c>
      <c r="N17" s="57" t="s">
        <v>337</v>
      </c>
      <c r="O17" s="55" t="s">
        <v>215</v>
      </c>
      <c r="P17" s="55" t="s">
        <v>3</v>
      </c>
      <c r="Q17" s="55" t="s">
        <v>220</v>
      </c>
      <c r="R17" s="55" t="s">
        <v>271</v>
      </c>
      <c r="S17" s="55">
        <f>SUMIFS('Normalized Units'!I:I,'Normalized Units'!B:B,"Normalized Billing Units",'Normalized Units'!C:C,O17,'Normalized Units'!D:D,P17,'Normalized Units'!G:G,Q17,'Normalized Units'!H:H,R17)</f>
        <v>8003.4963466443714</v>
      </c>
      <c r="U17" s="557"/>
      <c r="X17" s="96"/>
      <c r="Y17" s="96"/>
      <c r="Z17"/>
      <c r="AB17" s="555"/>
      <c r="AC17" s="556"/>
      <c r="AD17" s="394"/>
      <c r="AE17" s="394"/>
    </row>
    <row r="18" spans="1:31">
      <c r="A18" s="174" t="s">
        <v>141</v>
      </c>
      <c r="B18" s="174">
        <v>400</v>
      </c>
      <c r="C18" s="174">
        <v>500</v>
      </c>
      <c r="D18" s="94">
        <f t="shared" si="4"/>
        <v>200000</v>
      </c>
      <c r="E18" s="174">
        <f t="shared" si="0"/>
        <v>16005.8</v>
      </c>
      <c r="F18" s="94">
        <f t="shared" ca="1" si="1"/>
        <v>16343.789999999999</v>
      </c>
      <c r="G18" s="94">
        <f t="shared" ca="1" si="5"/>
        <v>337.98999999999978</v>
      </c>
      <c r="H18" s="444">
        <f t="shared" ca="1" si="6"/>
        <v>2.1116720188931501</v>
      </c>
      <c r="I18" s="221">
        <f t="shared" ca="1" si="2"/>
        <v>16343.789999999999</v>
      </c>
      <c r="J18" s="94">
        <f t="shared" ca="1" si="3"/>
        <v>16150.100000000002</v>
      </c>
      <c r="K18" s="94">
        <f t="shared" ca="1" si="7"/>
        <v>-193.68999999999687</v>
      </c>
      <c r="L18" s="444">
        <f t="shared" ca="1" si="8"/>
        <v>-1.1850984379999798</v>
      </c>
      <c r="M18" s="184" t="s">
        <v>154</v>
      </c>
      <c r="N18" s="57" t="s">
        <v>337</v>
      </c>
      <c r="O18" s="55" t="s">
        <v>215</v>
      </c>
      <c r="P18" s="55" t="s">
        <v>3</v>
      </c>
      <c r="Q18" s="55" t="s">
        <v>141</v>
      </c>
      <c r="R18" s="55" t="s">
        <v>271</v>
      </c>
      <c r="S18" s="55">
        <f>SUMIFS('Normalized Units'!I:I,'Normalized Units'!B:B,"Normalized Billing Units",'Normalized Units'!C:C,O18,'Normalized Units'!D:D,P18,'Normalized Units'!G:G,Q18,'Normalized Units'!H:H,R18)</f>
        <v>3417.4838396119494</v>
      </c>
      <c r="U18" s="557"/>
      <c r="X18" s="96"/>
      <c r="Y18" s="96"/>
      <c r="Z18"/>
      <c r="AB18" s="555"/>
      <c r="AC18" s="556"/>
      <c r="AD18" s="394"/>
      <c r="AE18" s="394"/>
    </row>
    <row r="19" spans="1:31">
      <c r="A19" s="174" t="s">
        <v>141</v>
      </c>
      <c r="B19" s="174">
        <v>400</v>
      </c>
      <c r="C19" s="174">
        <v>700</v>
      </c>
      <c r="D19" s="94">
        <f t="shared" si="4"/>
        <v>280000</v>
      </c>
      <c r="E19" s="174">
        <f t="shared" si="0"/>
        <v>21009</v>
      </c>
      <c r="F19" s="94">
        <f t="shared" ca="1" si="1"/>
        <v>21494.99</v>
      </c>
      <c r="G19" s="94">
        <f t="shared" ca="1" si="5"/>
        <v>485.9900000000016</v>
      </c>
      <c r="H19" s="444">
        <f t="shared" ca="1" si="6"/>
        <v>2.3132467037936202</v>
      </c>
      <c r="I19" s="221">
        <f t="shared" ca="1" si="2"/>
        <v>21494.99</v>
      </c>
      <c r="J19" s="94">
        <f t="shared" ca="1" si="3"/>
        <v>21186.1</v>
      </c>
      <c r="K19" s="94">
        <f t="shared" ca="1" si="7"/>
        <v>-308.89000000000306</v>
      </c>
      <c r="L19" s="444">
        <f t="shared" ca="1" si="8"/>
        <v>-1.4370325364189658</v>
      </c>
      <c r="M19" s="184" t="s">
        <v>154</v>
      </c>
      <c r="N19" s="57" t="s">
        <v>337</v>
      </c>
      <c r="O19" s="55" t="s">
        <v>215</v>
      </c>
      <c r="P19" s="55" t="s">
        <v>3</v>
      </c>
      <c r="Q19" s="55" t="s">
        <v>220</v>
      </c>
      <c r="R19" s="55" t="s">
        <v>217</v>
      </c>
      <c r="S19" s="55">
        <f>SUMIFS('Normalized Units'!I:I,'Normalized Units'!B:B,"Normalized Billing Units",'Normalized Units'!C:C,O19,'Normalized Units'!D:D,P19,'Normalized Units'!G:G,Q19,'Normalized Units'!H:H,R19)</f>
        <v>1389404.3666666667</v>
      </c>
      <c r="U19" s="557"/>
      <c r="X19" s="1"/>
      <c r="Y19" s="1"/>
      <c r="Z19"/>
      <c r="AB19" s="555"/>
      <c r="AC19" s="556"/>
      <c r="AD19" s="394"/>
      <c r="AE19" s="394"/>
    </row>
    <row r="20" spans="1:31">
      <c r="A20" s="174" t="s">
        <v>141</v>
      </c>
      <c r="B20" s="94">
        <v>600</v>
      </c>
      <c r="C20" s="94">
        <v>300</v>
      </c>
      <c r="D20" s="94">
        <f t="shared" si="4"/>
        <v>180000</v>
      </c>
      <c r="E20" s="174">
        <f t="shared" si="0"/>
        <v>16311</v>
      </c>
      <c r="F20" s="94">
        <f t="shared" ca="1" si="1"/>
        <v>16699.989999999998</v>
      </c>
      <c r="G20" s="94">
        <f t="shared" ca="1" si="5"/>
        <v>388.98999999999796</v>
      </c>
      <c r="H20" s="444">
        <f t="shared" ca="1" si="6"/>
        <v>2.3848323217460483</v>
      </c>
      <c r="I20" s="221">
        <f t="shared" ca="1" si="2"/>
        <v>16699.989999999998</v>
      </c>
      <c r="J20" s="94">
        <f t="shared" ca="1" si="3"/>
        <v>16587.100000000002</v>
      </c>
      <c r="K20" s="94">
        <f t="shared" ca="1" si="7"/>
        <v>-112.88999999999578</v>
      </c>
      <c r="L20" s="444">
        <f t="shared" ca="1" si="8"/>
        <v>-0.67598842873556086</v>
      </c>
      <c r="M20" s="184" t="s">
        <v>154</v>
      </c>
      <c r="N20" s="57" t="s">
        <v>337</v>
      </c>
      <c r="O20" s="55" t="s">
        <v>215</v>
      </c>
      <c r="P20" s="55" t="s">
        <v>3</v>
      </c>
      <c r="Q20" s="55" t="s">
        <v>141</v>
      </c>
      <c r="R20" s="55" t="s">
        <v>217</v>
      </c>
      <c r="S20" s="55">
        <f>SUMIFS('Normalized Units'!I:I,'Normalized Units'!B:B,"Normalized Billing Units",'Normalized Units'!C:C,O20,'Normalized Units'!D:D,P20,'Normalized Units'!G:G,Q20,'Normalized Units'!H:H,R20)</f>
        <v>1689588.1328828828</v>
      </c>
      <c r="U20" s="557"/>
      <c r="X20" s="1"/>
      <c r="Y20" s="1"/>
      <c r="Z20"/>
      <c r="AB20" s="555"/>
      <c r="AC20" s="556"/>
      <c r="AD20" s="394"/>
      <c r="AE20" s="394"/>
    </row>
    <row r="21" spans="1:31">
      <c r="A21" s="174" t="s">
        <v>141</v>
      </c>
      <c r="B21" s="94">
        <v>600</v>
      </c>
      <c r="C21" s="174">
        <v>500</v>
      </c>
      <c r="D21" s="94">
        <f t="shared" si="4"/>
        <v>300000</v>
      </c>
      <c r="E21" s="174">
        <f t="shared" si="0"/>
        <v>23815.8</v>
      </c>
      <c r="F21" s="94">
        <f t="shared" ca="1" si="1"/>
        <v>24426.79</v>
      </c>
      <c r="G21" s="94">
        <f t="shared" ca="1" si="5"/>
        <v>610.9900000000016</v>
      </c>
      <c r="H21" s="444">
        <f t="shared" ca="1" si="6"/>
        <v>2.5654817390136029</v>
      </c>
      <c r="I21" s="221">
        <f t="shared" ca="1" si="2"/>
        <v>24426.79</v>
      </c>
      <c r="J21" s="94">
        <f t="shared" ca="1" si="3"/>
        <v>24141.1</v>
      </c>
      <c r="K21" s="94">
        <f t="shared" ca="1" si="7"/>
        <v>-285.69000000000233</v>
      </c>
      <c r="L21" s="444">
        <f t="shared" ca="1" si="8"/>
        <v>-1.1695765182408426</v>
      </c>
      <c r="M21" s="184" t="s">
        <v>154</v>
      </c>
      <c r="N21" s="57" t="s">
        <v>337</v>
      </c>
      <c r="O21" s="55" t="s">
        <v>215</v>
      </c>
      <c r="P21" s="55" t="s">
        <v>3</v>
      </c>
      <c r="Q21" s="55" t="s">
        <v>132</v>
      </c>
      <c r="R21" s="55" t="s">
        <v>139</v>
      </c>
      <c r="S21" s="55">
        <f>SUMIFS('Normalized Units'!I:I,'Normalized Units'!B:B,"Normalized Billing Units",'Normalized Units'!C:C,O21,'Normalized Units'!D:D,P21,'Normalized Units'!G:G,Q21,'Normalized Units'!H:H,R21)</f>
        <v>2267892.5</v>
      </c>
      <c r="U21" s="557"/>
      <c r="X21" s="1"/>
      <c r="Y21" s="1"/>
      <c r="Z21"/>
      <c r="AB21" s="555"/>
      <c r="AC21" s="556"/>
      <c r="AD21" s="394"/>
      <c r="AE21" s="394"/>
    </row>
    <row r="22" spans="1:31">
      <c r="A22" s="174" t="s">
        <v>141</v>
      </c>
      <c r="B22" s="94">
        <v>600</v>
      </c>
      <c r="C22" s="174">
        <v>700</v>
      </c>
      <c r="D22" s="94">
        <f t="shared" si="4"/>
        <v>420000</v>
      </c>
      <c r="E22" s="174">
        <f t="shared" si="0"/>
        <v>31320.6</v>
      </c>
      <c r="F22" s="94">
        <f t="shared" ca="1" si="1"/>
        <v>32153.590000000004</v>
      </c>
      <c r="G22" s="94">
        <f t="shared" ca="1" si="5"/>
        <v>832.99000000000524</v>
      </c>
      <c r="H22" s="444">
        <f t="shared" ca="1" si="6"/>
        <v>2.6595595231253721</v>
      </c>
      <c r="I22" s="221">
        <f t="shared" ca="1" si="2"/>
        <v>32153.590000000004</v>
      </c>
      <c r="J22" s="94">
        <f t="shared" ca="1" si="3"/>
        <v>31695.100000000006</v>
      </c>
      <c r="K22" s="94">
        <f t="shared" ca="1" si="7"/>
        <v>-458.48999999999796</v>
      </c>
      <c r="L22" s="444">
        <f t="shared" ca="1" si="8"/>
        <v>-1.4259371970594819</v>
      </c>
      <c r="M22" s="184" t="s">
        <v>154</v>
      </c>
      <c r="N22" s="57" t="s">
        <v>337</v>
      </c>
      <c r="O22" s="55" t="s">
        <v>215</v>
      </c>
      <c r="P22" s="55" t="s">
        <v>3</v>
      </c>
      <c r="Q22" s="55" t="s">
        <v>132</v>
      </c>
      <c r="R22" s="55" t="s">
        <v>134</v>
      </c>
      <c r="S22" s="55">
        <f>SUMIFS('Normalized Units'!I:I,'Normalized Units'!B:B,"Normalized Billing Units",'Normalized Units'!C:C,O22,'Normalized Units'!D:D,P22,'Normalized Units'!G:G,Q22,'Normalized Units'!H:H,R22)</f>
        <v>370617327.95669943</v>
      </c>
      <c r="U22" s="557"/>
      <c r="X22" s="1"/>
      <c r="Y22" s="1"/>
      <c r="AB22" s="555"/>
      <c r="AC22" s="556"/>
      <c r="AD22" s="394"/>
      <c r="AE22" s="394"/>
    </row>
    <row r="23" spans="1:31">
      <c r="A23" s="174" t="s">
        <v>141</v>
      </c>
      <c r="B23" s="94">
        <v>800</v>
      </c>
      <c r="C23" s="94">
        <v>300</v>
      </c>
      <c r="D23" s="94">
        <f t="shared" si="4"/>
        <v>240000</v>
      </c>
      <c r="E23" s="174">
        <f t="shared" si="0"/>
        <v>21619.399999999998</v>
      </c>
      <c r="F23" s="94">
        <f t="shared" ca="1" si="1"/>
        <v>22207.39</v>
      </c>
      <c r="G23" s="94">
        <f t="shared" ca="1" si="5"/>
        <v>587.9900000000016</v>
      </c>
      <c r="H23" s="444">
        <f t="shared" ca="1" si="6"/>
        <v>2.7197332025865735</v>
      </c>
      <c r="I23" s="221">
        <f t="shared" ca="1" si="2"/>
        <v>22207.39</v>
      </c>
      <c r="J23" s="94">
        <f t="shared" ca="1" si="3"/>
        <v>22060.100000000002</v>
      </c>
      <c r="K23" s="94">
        <f t="shared" ca="1" si="7"/>
        <v>-147.28999999999724</v>
      </c>
      <c r="L23" s="444">
        <f t="shared" ca="1" si="8"/>
        <v>-0.66324768466711859</v>
      </c>
      <c r="M23" s="184" t="s">
        <v>154</v>
      </c>
      <c r="N23" s="57" t="s">
        <v>337</v>
      </c>
      <c r="O23" s="55" t="s">
        <v>215</v>
      </c>
      <c r="P23" s="55" t="s">
        <v>3</v>
      </c>
      <c r="Q23" s="55" t="s">
        <v>132</v>
      </c>
      <c r="R23" s="55" t="s">
        <v>135</v>
      </c>
      <c r="S23" s="55">
        <f>SUMIFS('Normalized Units'!I:I,'Normalized Units'!B:B,"Normalized Billing Units",'Normalized Units'!C:C,O23,'Normalized Units'!D:D,P23,'Normalized Units'!G:G,Q23,'Normalized Units'!H:H,R23)</f>
        <v>466062388.12491369</v>
      </c>
      <c r="AB23" s="555"/>
      <c r="AC23" s="556"/>
      <c r="AD23" s="394"/>
      <c r="AE23" s="394"/>
    </row>
    <row r="24" spans="1:31">
      <c r="A24" s="174" t="s">
        <v>141</v>
      </c>
      <c r="B24" s="94">
        <v>800</v>
      </c>
      <c r="C24" s="174">
        <v>500</v>
      </c>
      <c r="D24" s="94">
        <f t="shared" si="4"/>
        <v>400000</v>
      </c>
      <c r="E24" s="174">
        <f t="shared" si="0"/>
        <v>31625.799999999996</v>
      </c>
      <c r="F24" s="94">
        <f t="shared" ca="1" si="1"/>
        <v>32509.79</v>
      </c>
      <c r="G24" s="94">
        <f t="shared" ca="1" si="5"/>
        <v>883.99000000000524</v>
      </c>
      <c r="H24" s="444">
        <f t="shared" ca="1" si="6"/>
        <v>2.795154588974841</v>
      </c>
      <c r="I24" s="221">
        <f t="shared" ca="1" si="2"/>
        <v>32509.79</v>
      </c>
      <c r="J24" s="94">
        <f t="shared" ca="1" si="3"/>
        <v>32132.100000000006</v>
      </c>
      <c r="K24" s="94">
        <f t="shared" ca="1" si="7"/>
        <v>-377.68999999999505</v>
      </c>
      <c r="L24" s="444">
        <f t="shared" ca="1" si="8"/>
        <v>-1.1617731151139243</v>
      </c>
      <c r="M24" s="184" t="s">
        <v>154</v>
      </c>
      <c r="N24" s="57" t="s">
        <v>337</v>
      </c>
      <c r="O24" s="55" t="s">
        <v>215</v>
      </c>
      <c r="P24" s="55" t="s">
        <v>3</v>
      </c>
      <c r="Q24" s="55" t="s">
        <v>132</v>
      </c>
      <c r="R24" s="55" t="s">
        <v>138</v>
      </c>
      <c r="S24" s="55">
        <f>SUMIFS('Normalized Units'!I:I,'Normalized Units'!B:B,"Normalized Billing Units",'Normalized Units'!C:C,O24,'Normalized Units'!D:D,P24,'Normalized Units'!G:G,Q24,'Normalized Units'!H:H,R24)</f>
        <v>322568.75862068968</v>
      </c>
      <c r="AB24" s="555"/>
      <c r="AC24" s="556"/>
      <c r="AD24" s="394"/>
      <c r="AE24" s="394"/>
    </row>
    <row r="25" spans="1:31">
      <c r="A25" s="174" t="s">
        <v>141</v>
      </c>
      <c r="B25" s="94">
        <v>800</v>
      </c>
      <c r="C25" s="174">
        <v>700</v>
      </c>
      <c r="D25" s="94">
        <f t="shared" si="4"/>
        <v>560000</v>
      </c>
      <c r="E25" s="174">
        <f t="shared" si="0"/>
        <v>41632.199999999997</v>
      </c>
      <c r="F25" s="94">
        <f t="shared" ca="1" si="1"/>
        <v>42812.19</v>
      </c>
      <c r="G25" s="94">
        <f t="shared" ca="1" si="5"/>
        <v>1179.9900000000052</v>
      </c>
      <c r="H25" s="444">
        <f t="shared" ca="1" si="6"/>
        <v>2.8343205499589388</v>
      </c>
      <c r="I25" s="221">
        <f t="shared" ca="1" si="2"/>
        <v>42812.19</v>
      </c>
      <c r="J25" s="94">
        <f t="shared" ca="1" si="3"/>
        <v>42204.1</v>
      </c>
      <c r="K25" s="94">
        <f t="shared" ca="1" si="7"/>
        <v>-608.09000000000378</v>
      </c>
      <c r="L25" s="444">
        <f t="shared" ca="1" si="8"/>
        <v>-1.4203664890770684</v>
      </c>
      <c r="M25" s="184" t="s">
        <v>154</v>
      </c>
      <c r="N25" s="57" t="s">
        <v>337</v>
      </c>
      <c r="O25" s="55" t="s">
        <v>215</v>
      </c>
      <c r="P25" s="55" t="s">
        <v>3</v>
      </c>
      <c r="Q25" s="55" t="s">
        <v>132</v>
      </c>
      <c r="R25" s="101" t="s">
        <v>303</v>
      </c>
      <c r="S25" s="55">
        <f>SUMIFS('Normalized Units'!I:I,'Normalized Units'!B:B,"Normalized Billing Units",'Normalized Units'!C:C,O25,'Normalized Units'!D:D,P25,'Normalized Units'!G:G,Q25,'Normalized Units'!H:H,R25)</f>
        <v>907042</v>
      </c>
      <c r="U25" s="558"/>
      <c r="V25" s="319"/>
      <c r="W25" s="319"/>
      <c r="X25" s="319"/>
      <c r="Y25" s="319"/>
      <c r="AB25" s="555"/>
      <c r="AC25" s="556"/>
      <c r="AD25" s="394"/>
      <c r="AE25" s="394"/>
    </row>
    <row r="26" spans="1:31">
      <c r="A26" s="174" t="s">
        <v>141</v>
      </c>
      <c r="B26" s="174">
        <v>1000</v>
      </c>
      <c r="C26" s="94">
        <v>300</v>
      </c>
      <c r="D26" s="94">
        <f t="shared" si="4"/>
        <v>300000</v>
      </c>
      <c r="E26" s="174">
        <f t="shared" si="0"/>
        <v>26927.8</v>
      </c>
      <c r="F26" s="94">
        <f t="shared" ca="1" si="1"/>
        <v>27714.79</v>
      </c>
      <c r="G26" s="94">
        <f t="shared" ca="1" si="5"/>
        <v>786.9900000000016</v>
      </c>
      <c r="H26" s="444">
        <f t="shared" ca="1" si="6"/>
        <v>2.9225930079694651</v>
      </c>
      <c r="I26" s="221">
        <f t="shared" ca="1" si="2"/>
        <v>27714.79</v>
      </c>
      <c r="J26" s="94">
        <f t="shared" ca="1" si="3"/>
        <v>27533.1</v>
      </c>
      <c r="K26" s="94">
        <f t="shared" ca="1" si="7"/>
        <v>-181.69000000000233</v>
      </c>
      <c r="L26" s="444">
        <f t="shared" ca="1" si="8"/>
        <v>-0.65557054554626726</v>
      </c>
      <c r="M26" s="184" t="s">
        <v>154</v>
      </c>
      <c r="N26" s="57" t="s">
        <v>337</v>
      </c>
      <c r="O26" s="55" t="s">
        <v>215</v>
      </c>
      <c r="P26" s="55" t="s">
        <v>3</v>
      </c>
      <c r="Q26" s="55" t="s">
        <v>132</v>
      </c>
      <c r="R26" s="101" t="s">
        <v>294</v>
      </c>
      <c r="S26" s="55">
        <f>SUMIFS('Normalized Units'!I:I,'Normalized Units'!B:B,"Normalized Billing Units",'Normalized Units'!C:C,O26,'Normalized Units'!D:D,P26,'Normalized Units'!G:G,Q26,'Normalized Units'!H:H,R26)</f>
        <v>44474</v>
      </c>
      <c r="W26" s="96"/>
      <c r="X26" s="553"/>
      <c r="Y26" s="553"/>
      <c r="AB26" s="555"/>
      <c r="AC26" s="556"/>
      <c r="AD26" s="394"/>
      <c r="AE26" s="394"/>
    </row>
    <row r="27" spans="1:31">
      <c r="A27" s="174" t="s">
        <v>141</v>
      </c>
      <c r="B27" s="174">
        <v>1000</v>
      </c>
      <c r="C27" s="174">
        <v>500</v>
      </c>
      <c r="D27" s="94">
        <f t="shared" si="4"/>
        <v>500000</v>
      </c>
      <c r="E27" s="174">
        <f t="shared" si="0"/>
        <v>39435.799999999996</v>
      </c>
      <c r="F27" s="94">
        <f t="shared" ca="1" si="1"/>
        <v>40592.79</v>
      </c>
      <c r="G27" s="94">
        <f t="shared" ca="1" si="5"/>
        <v>1156.9900000000052</v>
      </c>
      <c r="H27" s="444">
        <f t="shared" ca="1" si="6"/>
        <v>2.9338570537430595</v>
      </c>
      <c r="I27" s="221">
        <f t="shared" ca="1" si="2"/>
        <v>40592.79</v>
      </c>
      <c r="J27" s="94">
        <f t="shared" ca="1" si="3"/>
        <v>40123.100000000006</v>
      </c>
      <c r="K27" s="94">
        <f t="shared" ca="1" si="7"/>
        <v>-469.68999999999505</v>
      </c>
      <c r="L27" s="444">
        <f t="shared" ca="1" si="8"/>
        <v>-1.1570774021691907</v>
      </c>
      <c r="M27" s="184" t="s">
        <v>154</v>
      </c>
      <c r="N27" s="57" t="s">
        <v>337</v>
      </c>
      <c r="O27" s="55" t="s">
        <v>215</v>
      </c>
      <c r="P27" s="55" t="s">
        <v>3</v>
      </c>
      <c r="Q27" s="55" t="s">
        <v>132</v>
      </c>
      <c r="R27" s="101" t="s">
        <v>304</v>
      </c>
      <c r="S27" s="55">
        <f>SUMIFS('Normalized Units'!I:I,'Normalized Units'!B:B,"Normalized Billing Units",'Normalized Units'!C:C,O27,'Normalized Units'!D:D,P27,'Normalized Units'!G:G,Q27,'Normalized Units'!H:H,R27)</f>
        <v>108</v>
      </c>
      <c r="U27" s="557"/>
      <c r="X27" s="96"/>
      <c r="Y27" s="96"/>
      <c r="AB27" s="555"/>
      <c r="AC27" s="556"/>
      <c r="AD27" s="394"/>
      <c r="AE27" s="394"/>
    </row>
    <row r="28" spans="1:31">
      <c r="A28" s="283" t="s">
        <v>141</v>
      </c>
      <c r="B28" s="283">
        <v>1000</v>
      </c>
      <c r="C28" s="283">
        <v>700</v>
      </c>
      <c r="D28" s="95">
        <f t="shared" si="4"/>
        <v>700000</v>
      </c>
      <c r="E28" s="283">
        <f t="shared" si="0"/>
        <v>51943.8</v>
      </c>
      <c r="F28" s="95">
        <f t="shared" ca="1" si="1"/>
        <v>53470.79</v>
      </c>
      <c r="G28" s="95">
        <f t="shared" ca="1" si="5"/>
        <v>1526.989999999998</v>
      </c>
      <c r="H28" s="445">
        <f t="shared" ca="1" si="6"/>
        <v>2.9396963641474017</v>
      </c>
      <c r="I28" s="221">
        <f t="shared" ca="1" si="2"/>
        <v>53470.79</v>
      </c>
      <c r="J28" s="95">
        <f t="shared" ca="1" si="3"/>
        <v>52713.100000000006</v>
      </c>
      <c r="K28" s="95">
        <f t="shared" ca="1" si="7"/>
        <v>-757.68999999999505</v>
      </c>
      <c r="L28" s="445">
        <f t="shared" ca="1" si="8"/>
        <v>-1.4170166552616765</v>
      </c>
      <c r="M28" s="184" t="s">
        <v>154</v>
      </c>
      <c r="N28" s="57" t="s">
        <v>337</v>
      </c>
      <c r="O28" s="55" t="s">
        <v>215</v>
      </c>
      <c r="P28" s="55" t="s">
        <v>5</v>
      </c>
      <c r="Q28" s="55" t="s">
        <v>140</v>
      </c>
      <c r="R28" s="55" t="s">
        <v>271</v>
      </c>
      <c r="S28" s="55">
        <f>SUMIFS('Normalized Units'!I:I,'Normalized Units'!B:B,"Normalized Billing Units",'Normalized Units'!C:C,O28,'Normalized Units'!D:D,P28,'Normalized Units'!G:G,Q28,'Normalized Units'!H:H,R28)</f>
        <v>46.766666666666666</v>
      </c>
      <c r="U28" s="557"/>
      <c r="X28" s="96"/>
      <c r="Y28" s="96"/>
      <c r="AB28" s="555"/>
      <c r="AC28" s="556"/>
      <c r="AD28" s="394"/>
      <c r="AE28" s="394"/>
    </row>
    <row r="29" spans="1:31">
      <c r="A29" s="372" t="s">
        <v>444</v>
      </c>
      <c r="B29" s="386"/>
      <c r="C29" s="386"/>
      <c r="D29" s="386"/>
      <c r="E29" s="386"/>
      <c r="F29" s="386"/>
      <c r="G29" s="386"/>
      <c r="H29" s="544"/>
      <c r="I29" s="386"/>
      <c r="J29" s="386"/>
      <c r="K29" s="386"/>
      <c r="L29" s="544"/>
      <c r="M29" s="184" t="s">
        <v>154</v>
      </c>
      <c r="N29" s="57" t="s">
        <v>337</v>
      </c>
      <c r="O29" s="55" t="s">
        <v>215</v>
      </c>
      <c r="P29" s="55" t="s">
        <v>5</v>
      </c>
      <c r="Q29" s="55" t="s">
        <v>220</v>
      </c>
      <c r="R29" s="55" t="s">
        <v>271</v>
      </c>
      <c r="S29" s="55">
        <f>SUMIFS('Normalized Units'!I:I,'Normalized Units'!B:B,"Normalized Billing Units",'Normalized Units'!C:C,O29,'Normalized Units'!D:D,P29,'Normalized Units'!G:G,Q29,'Normalized Units'!H:H,R29)</f>
        <v>650.6</v>
      </c>
      <c r="U29" s="557"/>
      <c r="X29" s="96"/>
      <c r="Y29" s="96"/>
      <c r="AB29" s="555"/>
      <c r="AC29" s="556"/>
      <c r="AD29" s="394"/>
      <c r="AE29" s="394"/>
    </row>
    <row r="30" spans="1:31">
      <c r="A30"/>
      <c r="B30"/>
      <c r="C30"/>
      <c r="D30"/>
      <c r="E30"/>
      <c r="F30"/>
      <c r="G30"/>
      <c r="H30"/>
      <c r="I30"/>
      <c r="J30"/>
      <c r="K30"/>
      <c r="L30"/>
      <c r="M30" s="184" t="s">
        <v>154</v>
      </c>
      <c r="N30" s="57" t="s">
        <v>337</v>
      </c>
      <c r="O30" s="55" t="s">
        <v>215</v>
      </c>
      <c r="P30" s="55" t="s">
        <v>5</v>
      </c>
      <c r="Q30" s="55" t="s">
        <v>141</v>
      </c>
      <c r="R30" s="55" t="s">
        <v>271</v>
      </c>
      <c r="S30" s="55">
        <f>SUMIFS('Normalized Units'!I:I,'Normalized Units'!B:B,"Normalized Billing Units",'Normalized Units'!C:C,O30,'Normalized Units'!D:D,P30,'Normalized Units'!G:G,Q30,'Normalized Units'!H:H,R30)</f>
        <v>451</v>
      </c>
      <c r="AB30" s="555"/>
      <c r="AC30" s="556"/>
      <c r="AD30" s="394"/>
      <c r="AE30" s="394"/>
    </row>
    <row r="31" spans="1:31">
      <c r="A31"/>
      <c r="B31"/>
      <c r="C31"/>
      <c r="D31"/>
      <c r="E31"/>
      <c r="F31"/>
      <c r="G31"/>
      <c r="H31"/>
      <c r="I31"/>
      <c r="J31"/>
      <c r="K31"/>
      <c r="L31"/>
      <c r="M31" s="184" t="s">
        <v>154</v>
      </c>
      <c r="N31" s="57" t="s">
        <v>337</v>
      </c>
      <c r="O31" s="55" t="s">
        <v>215</v>
      </c>
      <c r="P31" s="55" t="s">
        <v>5</v>
      </c>
      <c r="Q31" s="55" t="s">
        <v>220</v>
      </c>
      <c r="R31" s="55" t="s">
        <v>217</v>
      </c>
      <c r="S31" s="55">
        <f>SUMIFS('Normalized Units'!I:I,'Normalized Units'!B:B,"Normalized Billing Units",'Normalized Units'!C:C,O31,'Normalized Units'!D:D,P31,'Normalized Units'!G:G,Q31,'Normalized Units'!H:H,R31)</f>
        <v>117720.66666666666</v>
      </c>
      <c r="AB31" s="555"/>
      <c r="AC31" s="556"/>
      <c r="AD31" s="394"/>
      <c r="AE31" s="394"/>
    </row>
    <row r="32" spans="1:3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84" t="s">
        <v>154</v>
      </c>
      <c r="N32" s="57" t="s">
        <v>337</v>
      </c>
      <c r="O32" s="55" t="s">
        <v>215</v>
      </c>
      <c r="P32" s="55" t="s">
        <v>5</v>
      </c>
      <c r="Q32" s="55" t="s">
        <v>141</v>
      </c>
      <c r="R32" s="55" t="s">
        <v>217</v>
      </c>
      <c r="S32" s="55">
        <f>SUMIFS('Normalized Units'!I:I,'Normalized Units'!B:B,"Normalized Billing Units",'Normalized Units'!C:C,O32,'Normalized Units'!D:D,P32,'Normalized Units'!G:G,Q32,'Normalized Units'!H:H,R32)</f>
        <v>250954</v>
      </c>
      <c r="U32" s="558"/>
      <c r="V32" s="319"/>
      <c r="W32" s="319"/>
      <c r="X32" s="319"/>
      <c r="Y32" s="319"/>
      <c r="AB32" s="555"/>
      <c r="AC32" s="556"/>
      <c r="AD32" s="394"/>
      <c r="AE32" s="394"/>
    </row>
    <row r="33" spans="1:3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84" t="s">
        <v>154</v>
      </c>
      <c r="N33" s="57" t="s">
        <v>337</v>
      </c>
      <c r="O33" s="55" t="s">
        <v>215</v>
      </c>
      <c r="P33" s="55" t="s">
        <v>5</v>
      </c>
      <c r="Q33" s="55" t="s">
        <v>132</v>
      </c>
      <c r="R33" s="55" t="s">
        <v>139</v>
      </c>
      <c r="S33" s="55">
        <f>SUMIFS('Normalized Units'!I:I,'Normalized Units'!B:B,"Normalized Billing Units",'Normalized Units'!C:C,O33,'Normalized Units'!D:D,P33,'Normalized Units'!G:G,Q33,'Normalized Units'!H:H,R33)</f>
        <v>286376.76666666666</v>
      </c>
      <c r="W33" s="96"/>
      <c r="X33" s="553"/>
      <c r="Y33" s="553"/>
      <c r="AB33" s="555"/>
      <c r="AC33" s="556"/>
      <c r="AD33" s="394"/>
      <c r="AE33" s="394"/>
    </row>
    <row r="34" spans="1:3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84" t="s">
        <v>154</v>
      </c>
      <c r="N34" s="57" t="s">
        <v>337</v>
      </c>
      <c r="O34" s="55" t="s">
        <v>215</v>
      </c>
      <c r="P34" s="55" t="s">
        <v>5</v>
      </c>
      <c r="Q34" s="55" t="s">
        <v>132</v>
      </c>
      <c r="R34" s="55" t="s">
        <v>134</v>
      </c>
      <c r="S34" s="55">
        <f>SUMIFS('Normalized Units'!I:I,'Normalized Units'!B:B,"Normalized Billing Units",'Normalized Units'!C:C,O34,'Normalized Units'!D:D,P34,'Normalized Units'!G:G,Q34,'Normalized Units'!H:H,R34)</f>
        <v>34727548.527718931</v>
      </c>
      <c r="U34" s="557"/>
      <c r="X34" s="224"/>
      <c r="Y34" s="224"/>
      <c r="AB34" s="555"/>
      <c r="AC34" s="556"/>
      <c r="AD34" s="394"/>
      <c r="AE34" s="394"/>
    </row>
    <row r="35" spans="1:3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84" t="s">
        <v>154</v>
      </c>
      <c r="N35" s="57" t="s">
        <v>337</v>
      </c>
      <c r="O35" s="55" t="s">
        <v>215</v>
      </c>
      <c r="P35" s="55" t="s">
        <v>5</v>
      </c>
      <c r="Q35" s="55" t="s">
        <v>132</v>
      </c>
      <c r="R35" s="55" t="s">
        <v>135</v>
      </c>
      <c r="S35" s="55">
        <f>SUMIFS('Normalized Units'!I:I,'Normalized Units'!B:B,"Normalized Billing Units",'Normalized Units'!C:C,O35,'Normalized Units'!D:D,P35,'Normalized Units'!G:G,Q35,'Normalized Units'!H:H,R35)</f>
        <v>52700866.28859859</v>
      </c>
      <c r="U35" s="557"/>
      <c r="X35" s="224"/>
      <c r="Y35" s="224"/>
      <c r="AB35" s="555"/>
      <c r="AC35" s="556"/>
      <c r="AD35" s="394"/>
      <c r="AE35" s="394"/>
    </row>
    <row r="36" spans="1:3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84" t="s">
        <v>154</v>
      </c>
      <c r="N36" s="57" t="s">
        <v>337</v>
      </c>
      <c r="O36" s="55" t="s">
        <v>215</v>
      </c>
      <c r="P36" s="55" t="s">
        <v>5</v>
      </c>
      <c r="Q36" s="55" t="s">
        <v>132</v>
      </c>
      <c r="R36" s="55" t="s">
        <v>138</v>
      </c>
      <c r="S36" s="55">
        <f>SUMIFS('Normalized Units'!I:I,'Normalized Units'!B:B,"Normalized Billing Units",'Normalized Units'!C:C,O36,'Normalized Units'!D:D,P36,'Normalized Units'!G:G,Q36,'Normalized Units'!H:H,R36)</f>
        <v>81408.741379310348</v>
      </c>
      <c r="U36" s="557"/>
      <c r="X36" s="224"/>
      <c r="Y36" s="224"/>
      <c r="AB36" s="555"/>
      <c r="AC36" s="556"/>
      <c r="AD36" s="394"/>
      <c r="AE36" s="394"/>
    </row>
    <row r="37" spans="1:3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84" t="s">
        <v>154</v>
      </c>
      <c r="N37" s="57" t="s">
        <v>337</v>
      </c>
      <c r="O37" s="55" t="s">
        <v>215</v>
      </c>
      <c r="P37" s="55" t="s">
        <v>5</v>
      </c>
      <c r="Q37" s="55" t="s">
        <v>132</v>
      </c>
      <c r="R37" s="101" t="s">
        <v>303</v>
      </c>
      <c r="S37" s="55">
        <f>SUMIFS('Normalized Units'!I:I,'Normalized Units'!B:B,"Normalized Billing Units",'Normalized Units'!C:C,O37,'Normalized Units'!D:D,P37,'Normalized Units'!G:G,Q37,'Normalized Units'!H:H,R37)</f>
        <v>18439</v>
      </c>
      <c r="AB37" s="555"/>
      <c r="AC37" s="556"/>
      <c r="AD37" s="394"/>
      <c r="AE37" s="394"/>
    </row>
    <row r="38" spans="1:3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84" t="s">
        <v>154</v>
      </c>
      <c r="N38" s="57" t="s">
        <v>337</v>
      </c>
      <c r="O38" s="55" t="s">
        <v>215</v>
      </c>
      <c r="P38" s="55" t="s">
        <v>5</v>
      </c>
      <c r="Q38" s="55" t="s">
        <v>132</v>
      </c>
      <c r="R38" s="101" t="s">
        <v>294</v>
      </c>
      <c r="S38" s="55">
        <f>SUMIFS('Normalized Units'!I:I,'Normalized Units'!B:B,"Normalized Billing Units",'Normalized Units'!C:C,O38,'Normalized Units'!D:D,P38,'Normalized Units'!G:G,Q38,'Normalized Units'!H:H,R38)</f>
        <v>855</v>
      </c>
      <c r="AB38" s="555"/>
      <c r="AC38" s="556"/>
      <c r="AD38" s="394"/>
      <c r="AE38" s="394"/>
    </row>
    <row r="39" spans="1:3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209" t="s">
        <v>154</v>
      </c>
      <c r="N39" s="103" t="s">
        <v>337</v>
      </c>
      <c r="O39" s="105" t="s">
        <v>215</v>
      </c>
      <c r="P39" s="105" t="s">
        <v>5</v>
      </c>
      <c r="Q39" s="105" t="s">
        <v>132</v>
      </c>
      <c r="R39" s="104" t="s">
        <v>304</v>
      </c>
      <c r="S39" s="105">
        <f>SUMIFS('Normalized Units'!I:I,'Normalized Units'!B:B,"Normalized Billing Units",'Normalized Units'!C:C,O39,'Normalized Units'!D:D,P39,'Normalized Units'!G:G,Q39,'Normalized Units'!H:H,R39)</f>
        <v>10</v>
      </c>
      <c r="AB39" s="555"/>
      <c r="AC39" s="556"/>
      <c r="AD39" s="394"/>
      <c r="AE39" s="394"/>
    </row>
    <row r="40" spans="1:31" s="93" customForma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98" t="s">
        <v>341</v>
      </c>
      <c r="N40" s="98" t="s">
        <v>338</v>
      </c>
      <c r="O40" s="98" t="s">
        <v>287</v>
      </c>
      <c r="P40" s="97" t="s">
        <v>132</v>
      </c>
      <c r="Q40" s="97" t="s">
        <v>140</v>
      </c>
      <c r="R40" s="98" t="s">
        <v>271</v>
      </c>
      <c r="S40" s="269">
        <v>248</v>
      </c>
      <c r="U40" s="96"/>
      <c r="V40" s="96"/>
      <c r="W40" s="96"/>
      <c r="X40" s="96"/>
      <c r="Y40" s="96"/>
      <c r="Z40" s="189"/>
      <c r="AB40" s="555"/>
      <c r="AC40" s="556"/>
      <c r="AD40" s="394"/>
      <c r="AE40" s="394"/>
    </row>
    <row r="41" spans="1:31" s="93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7" t="s">
        <v>341</v>
      </c>
      <c r="N41" s="57" t="s">
        <v>338</v>
      </c>
      <c r="O41" s="57" t="s">
        <v>287</v>
      </c>
      <c r="P41" s="55" t="s">
        <v>132</v>
      </c>
      <c r="Q41" s="55" t="s">
        <v>220</v>
      </c>
      <c r="R41" s="57" t="s">
        <v>271</v>
      </c>
      <c r="S41" s="270">
        <v>93</v>
      </c>
      <c r="Z41" s="189"/>
      <c r="AB41" s="555"/>
      <c r="AC41" s="556"/>
      <c r="AD41" s="394"/>
      <c r="AE41" s="394"/>
    </row>
    <row r="42" spans="1:31" s="93" customForma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7" t="s">
        <v>341</v>
      </c>
      <c r="N42" s="57" t="s">
        <v>338</v>
      </c>
      <c r="O42" s="57" t="s">
        <v>287</v>
      </c>
      <c r="P42" s="55" t="s">
        <v>132</v>
      </c>
      <c r="Q42" s="55" t="s">
        <v>141</v>
      </c>
      <c r="R42" s="57" t="s">
        <v>271</v>
      </c>
      <c r="S42" s="270">
        <v>185</v>
      </c>
      <c r="Z42" s="189"/>
      <c r="AB42" s="555"/>
      <c r="AC42" s="556"/>
      <c r="AD42" s="394"/>
      <c r="AE42" s="394"/>
    </row>
    <row r="43" spans="1:31" s="93" customForma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7" t="s">
        <v>341</v>
      </c>
      <c r="N43" s="57" t="s">
        <v>338</v>
      </c>
      <c r="O43" s="57" t="s">
        <v>287</v>
      </c>
      <c r="P43" s="55" t="s">
        <v>132</v>
      </c>
      <c r="Q43" s="55" t="s">
        <v>220</v>
      </c>
      <c r="R43" s="55" t="s">
        <v>217</v>
      </c>
      <c r="S43" s="270">
        <v>1.8</v>
      </c>
      <c r="Z43" s="189"/>
      <c r="AB43" s="555"/>
      <c r="AC43" s="556"/>
      <c r="AD43" s="394"/>
      <c r="AE43" s="394"/>
    </row>
    <row r="44" spans="1:31" s="93" customForma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7" t="s">
        <v>341</v>
      </c>
      <c r="N44" s="57" t="s">
        <v>338</v>
      </c>
      <c r="O44" s="57" t="s">
        <v>287</v>
      </c>
      <c r="P44" s="55" t="s">
        <v>132</v>
      </c>
      <c r="Q44" s="55" t="s">
        <v>141</v>
      </c>
      <c r="R44" s="55" t="s">
        <v>217</v>
      </c>
      <c r="S44" s="270">
        <v>1.48</v>
      </c>
      <c r="Z44" s="189"/>
      <c r="AB44" s="555"/>
      <c r="AC44" s="556"/>
      <c r="AD44" s="394"/>
      <c r="AE44" s="394"/>
    </row>
    <row r="45" spans="1:31" s="93" customForma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7" t="s">
        <v>341</v>
      </c>
      <c r="N45" s="57" t="s">
        <v>338</v>
      </c>
      <c r="O45" s="57" t="s">
        <v>287</v>
      </c>
      <c r="P45" s="55" t="s">
        <v>132</v>
      </c>
      <c r="Q45" s="55" t="s">
        <v>132</v>
      </c>
      <c r="R45" s="55" t="s">
        <v>139</v>
      </c>
      <c r="S45" s="270">
        <v>6.3</v>
      </c>
      <c r="Z45" s="291"/>
      <c r="AB45" s="555"/>
      <c r="AC45" s="556"/>
      <c r="AD45" s="394"/>
      <c r="AE45" s="394"/>
    </row>
    <row r="46" spans="1:31" s="9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7" t="s">
        <v>341</v>
      </c>
      <c r="N46" s="57" t="s">
        <v>338</v>
      </c>
      <c r="O46" s="57" t="s">
        <v>287</v>
      </c>
      <c r="P46" s="55" t="s">
        <v>132</v>
      </c>
      <c r="Q46" s="55" t="s">
        <v>132</v>
      </c>
      <c r="R46" s="55" t="s">
        <v>134</v>
      </c>
      <c r="S46" s="270">
        <v>6.7559999999999995E-2</v>
      </c>
      <c r="AB46" s="555"/>
      <c r="AC46" s="556"/>
      <c r="AD46" s="394"/>
      <c r="AE46" s="394"/>
    </row>
    <row r="47" spans="1:31" s="93" customForma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7" t="s">
        <v>341</v>
      </c>
      <c r="N47" s="57" t="s">
        <v>338</v>
      </c>
      <c r="O47" s="57" t="s">
        <v>287</v>
      </c>
      <c r="P47" s="55" t="s">
        <v>132</v>
      </c>
      <c r="Q47" s="55" t="s">
        <v>132</v>
      </c>
      <c r="R47" s="55" t="s">
        <v>135</v>
      </c>
      <c r="S47" s="270">
        <v>6.2539999999999998E-2</v>
      </c>
      <c r="AB47" s="555"/>
      <c r="AC47" s="556"/>
      <c r="AD47" s="394"/>
      <c r="AE47" s="394"/>
    </row>
    <row r="48" spans="1:31" s="93" customForma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7" t="s">
        <v>341</v>
      </c>
      <c r="N48" s="57" t="s">
        <v>338</v>
      </c>
      <c r="O48" s="57" t="s">
        <v>287</v>
      </c>
      <c r="P48" s="55" t="s">
        <v>132</v>
      </c>
      <c r="Q48" s="55" t="s">
        <v>132</v>
      </c>
      <c r="R48" s="55" t="s">
        <v>138</v>
      </c>
      <c r="S48" s="270">
        <v>0.57999999999999996</v>
      </c>
      <c r="AB48" s="555"/>
      <c r="AC48" s="556"/>
      <c r="AD48" s="394"/>
      <c r="AE48" s="394"/>
    </row>
    <row r="49" spans="1:31" s="93" customForma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7" t="s">
        <v>341</v>
      </c>
      <c r="N49" s="57" t="s">
        <v>338</v>
      </c>
      <c r="O49" s="57" t="s">
        <v>287</v>
      </c>
      <c r="P49" s="55" t="s">
        <v>132</v>
      </c>
      <c r="Q49" s="55" t="s">
        <v>132</v>
      </c>
      <c r="R49" s="101" t="s">
        <v>303</v>
      </c>
      <c r="S49" s="270">
        <v>-0.01</v>
      </c>
      <c r="AB49" s="555"/>
      <c r="AC49" s="556"/>
      <c r="AD49" s="394"/>
      <c r="AE49" s="394"/>
    </row>
    <row r="50" spans="1:31" s="93" customForma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7" t="s">
        <v>341</v>
      </c>
      <c r="N50" s="57" t="s">
        <v>338</v>
      </c>
      <c r="O50" s="57" t="s">
        <v>287</v>
      </c>
      <c r="P50" s="55" t="s">
        <v>132</v>
      </c>
      <c r="Q50" s="55" t="s">
        <v>132</v>
      </c>
      <c r="R50" s="101" t="s">
        <v>294</v>
      </c>
      <c r="S50" s="270">
        <v>-0.3</v>
      </c>
      <c r="AB50" s="555"/>
      <c r="AC50" s="556"/>
      <c r="AD50" s="394"/>
      <c r="AE50" s="394"/>
    </row>
    <row r="51" spans="1:31" s="93" customForma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7" t="s">
        <v>341</v>
      </c>
      <c r="N51" s="57" t="s">
        <v>338</v>
      </c>
      <c r="O51" s="57" t="s">
        <v>287</v>
      </c>
      <c r="P51" s="55" t="s">
        <v>132</v>
      </c>
      <c r="Q51" s="55" t="s">
        <v>132</v>
      </c>
      <c r="R51" s="101" t="s">
        <v>304</v>
      </c>
      <c r="S51" s="270">
        <v>60</v>
      </c>
      <c r="Z51" s="189"/>
      <c r="AB51" s="555"/>
      <c r="AC51" s="556"/>
      <c r="AD51" s="394"/>
      <c r="AE51" s="394"/>
    </row>
    <row r="52" spans="1:31" s="93" customForma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7" t="s">
        <v>341</v>
      </c>
      <c r="N52" s="162" t="s">
        <v>338</v>
      </c>
      <c r="O52" s="387" t="s">
        <v>423</v>
      </c>
      <c r="P52" s="162" t="s">
        <v>132</v>
      </c>
      <c r="Q52" s="162" t="s">
        <v>132</v>
      </c>
      <c r="R52" s="162" t="s">
        <v>271</v>
      </c>
      <c r="S52" s="270">
        <v>17</v>
      </c>
      <c r="Z52" s="189"/>
      <c r="AB52" s="555"/>
      <c r="AC52" s="556"/>
      <c r="AD52" s="394"/>
      <c r="AE52" s="394"/>
    </row>
    <row r="53" spans="1:31" s="93" customForma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7" t="s">
        <v>341</v>
      </c>
      <c r="N53" s="162" t="s">
        <v>338</v>
      </c>
      <c r="O53" s="387" t="s">
        <v>423</v>
      </c>
      <c r="P53" s="162" t="s">
        <v>132</v>
      </c>
      <c r="Q53" s="162" t="s">
        <v>132</v>
      </c>
      <c r="R53" s="56" t="s">
        <v>134</v>
      </c>
      <c r="S53" s="270">
        <v>0.20258000000000001</v>
      </c>
      <c r="Z53" s="189"/>
      <c r="AB53" s="555"/>
      <c r="AC53" s="556"/>
      <c r="AD53" s="394"/>
      <c r="AE53" s="394"/>
    </row>
    <row r="54" spans="1:31" s="93" customForma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03" t="s">
        <v>341</v>
      </c>
      <c r="N54" s="163" t="s">
        <v>338</v>
      </c>
      <c r="O54" s="388" t="s">
        <v>423</v>
      </c>
      <c r="P54" s="163" t="s">
        <v>132</v>
      </c>
      <c r="Q54" s="163" t="s">
        <v>132</v>
      </c>
      <c r="R54" s="362" t="s">
        <v>135</v>
      </c>
      <c r="S54" s="271">
        <v>8.7859999999999994E-2</v>
      </c>
      <c r="Z54" s="189"/>
      <c r="AB54" s="555"/>
      <c r="AC54" s="556"/>
      <c r="AD54" s="394"/>
      <c r="AE54" s="394"/>
    </row>
    <row r="55" spans="1:31" s="93" customForma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8" t="s">
        <v>341</v>
      </c>
      <c r="N55" s="210" t="s">
        <v>19</v>
      </c>
      <c r="O55" s="99" t="s">
        <v>215</v>
      </c>
      <c r="P55" s="99" t="s">
        <v>2</v>
      </c>
      <c r="Q55" s="99" t="s">
        <v>140</v>
      </c>
      <c r="R55" s="99" t="s">
        <v>271</v>
      </c>
      <c r="S55" s="167">
        <f t="shared" ref="S55:S62" si="9">S8*S40</f>
        <v>496</v>
      </c>
      <c r="Z55" s="189"/>
      <c r="AB55" s="555"/>
      <c r="AC55" s="556"/>
      <c r="AD55" s="394"/>
      <c r="AE55" s="394"/>
    </row>
    <row r="56" spans="1:31" s="93" customForma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7" t="s">
        <v>341</v>
      </c>
      <c r="N56" s="47" t="s">
        <v>19</v>
      </c>
      <c r="O56" s="101" t="s">
        <v>215</v>
      </c>
      <c r="P56" s="101" t="s">
        <v>2</v>
      </c>
      <c r="Q56" s="101" t="s">
        <v>220</v>
      </c>
      <c r="R56" s="101" t="s">
        <v>271</v>
      </c>
      <c r="S56" s="164">
        <f t="shared" si="9"/>
        <v>3441</v>
      </c>
      <c r="Z56" s="293"/>
      <c r="AB56" s="555"/>
      <c r="AC56" s="556"/>
      <c r="AD56" s="394"/>
      <c r="AE56" s="394"/>
    </row>
    <row r="57" spans="1:31" s="93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7" t="s">
        <v>341</v>
      </c>
      <c r="N57" s="47" t="s">
        <v>19</v>
      </c>
      <c r="O57" s="101" t="s">
        <v>215</v>
      </c>
      <c r="P57" s="101" t="s">
        <v>2</v>
      </c>
      <c r="Q57" s="101" t="s">
        <v>141</v>
      </c>
      <c r="R57" s="101" t="s">
        <v>271</v>
      </c>
      <c r="S57" s="164">
        <f t="shared" si="9"/>
        <v>1295</v>
      </c>
      <c r="Z57" s="189"/>
      <c r="AB57" s="555"/>
      <c r="AC57" s="556"/>
      <c r="AD57" s="394"/>
      <c r="AE57" s="394"/>
    </row>
    <row r="58" spans="1:31" s="93" customForma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7" t="s">
        <v>341</v>
      </c>
      <c r="N58" s="47" t="s">
        <v>19</v>
      </c>
      <c r="O58" s="101" t="s">
        <v>215</v>
      </c>
      <c r="P58" s="101" t="s">
        <v>2</v>
      </c>
      <c r="Q58" s="101" t="s">
        <v>220</v>
      </c>
      <c r="R58" s="101" t="s">
        <v>217</v>
      </c>
      <c r="S58" s="164">
        <f t="shared" si="9"/>
        <v>9491.4</v>
      </c>
      <c r="X58" s="296"/>
      <c r="Z58" s="189"/>
      <c r="AB58" s="555"/>
      <c r="AC58" s="556"/>
      <c r="AD58" s="394"/>
      <c r="AE58" s="394"/>
    </row>
    <row r="59" spans="1:31" s="93" customForma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7" t="s">
        <v>341</v>
      </c>
      <c r="N59" s="47" t="s">
        <v>19</v>
      </c>
      <c r="O59" s="101" t="s">
        <v>215</v>
      </c>
      <c r="P59" s="101" t="s">
        <v>2</v>
      </c>
      <c r="Q59" s="101" t="s">
        <v>141</v>
      </c>
      <c r="R59" s="101" t="s">
        <v>217</v>
      </c>
      <c r="S59" s="164">
        <f t="shared" si="9"/>
        <v>3207.16</v>
      </c>
      <c r="Z59" s="189"/>
      <c r="AB59" s="555"/>
      <c r="AC59" s="556"/>
      <c r="AD59" s="394"/>
      <c r="AE59" s="394"/>
    </row>
    <row r="60" spans="1:31" s="93" customForma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7" t="s">
        <v>341</v>
      </c>
      <c r="N60" s="47" t="s">
        <v>19</v>
      </c>
      <c r="O60" s="101" t="s">
        <v>215</v>
      </c>
      <c r="P60" s="101" t="s">
        <v>2</v>
      </c>
      <c r="Q60" s="101" t="s">
        <v>132</v>
      </c>
      <c r="R60" s="101" t="s">
        <v>139</v>
      </c>
      <c r="S60" s="164">
        <f t="shared" si="9"/>
        <v>36999.9</v>
      </c>
      <c r="Z60" s="189"/>
      <c r="AB60" s="555"/>
      <c r="AC60" s="556"/>
      <c r="AD60" s="394"/>
      <c r="AE60" s="394"/>
    </row>
    <row r="61" spans="1:31" s="93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7" t="s">
        <v>341</v>
      </c>
      <c r="N61" s="47" t="s">
        <v>19</v>
      </c>
      <c r="O61" s="101" t="s">
        <v>215</v>
      </c>
      <c r="P61" s="101" t="s">
        <v>2</v>
      </c>
      <c r="Q61" s="101" t="s">
        <v>132</v>
      </c>
      <c r="R61" s="101" t="s">
        <v>134</v>
      </c>
      <c r="S61" s="164">
        <f t="shared" si="9"/>
        <v>99956.301408930187</v>
      </c>
      <c r="Z61" s="189"/>
      <c r="AB61" s="555"/>
      <c r="AC61" s="556"/>
      <c r="AD61" s="394"/>
      <c r="AE61" s="394"/>
    </row>
    <row r="62" spans="1:31" s="93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7" t="s">
        <v>341</v>
      </c>
      <c r="N62" s="47" t="s">
        <v>19</v>
      </c>
      <c r="O62" s="101" t="s">
        <v>215</v>
      </c>
      <c r="P62" s="101" t="s">
        <v>2</v>
      </c>
      <c r="Q62" s="101" t="s">
        <v>132</v>
      </c>
      <c r="R62" s="101" t="s">
        <v>135</v>
      </c>
      <c r="S62" s="164">
        <f t="shared" si="9"/>
        <v>50756.250601496933</v>
      </c>
      <c r="Z62" s="189"/>
      <c r="AB62" s="555"/>
      <c r="AC62" s="556"/>
      <c r="AD62" s="394"/>
      <c r="AE62" s="394"/>
    </row>
    <row r="63" spans="1:31" s="93" customForma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7" t="s">
        <v>341</v>
      </c>
      <c r="N63" s="47" t="s">
        <v>19</v>
      </c>
      <c r="O63" s="55" t="s">
        <v>215</v>
      </c>
      <c r="P63" s="55" t="s">
        <v>2</v>
      </c>
      <c r="Q63" s="55" t="s">
        <v>132</v>
      </c>
      <c r="R63" s="162" t="s">
        <v>105</v>
      </c>
      <c r="S63" s="164">
        <f>Unbilled!E8</f>
        <v>6831.3392740641229</v>
      </c>
      <c r="Z63" s="189"/>
      <c r="AB63" s="555"/>
      <c r="AC63" s="556"/>
      <c r="AD63" s="394"/>
      <c r="AE63" s="394"/>
    </row>
    <row r="64" spans="1:31" s="93" customForma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7" t="s">
        <v>341</v>
      </c>
      <c r="N64" s="47" t="s">
        <v>19</v>
      </c>
      <c r="O64" s="101" t="s">
        <v>215</v>
      </c>
      <c r="P64" s="101" t="s">
        <v>3</v>
      </c>
      <c r="Q64" s="101" t="s">
        <v>140</v>
      </c>
      <c r="R64" s="101" t="s">
        <v>271</v>
      </c>
      <c r="S64" s="164">
        <f t="shared" ref="S64:S75" si="10">S16*S40</f>
        <v>57408.647141765643</v>
      </c>
      <c r="Z64" s="189"/>
      <c r="AB64" s="555"/>
      <c r="AC64" s="556"/>
      <c r="AD64" s="394"/>
      <c r="AE64" s="394"/>
    </row>
    <row r="65" spans="1:31" s="93" customForma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7" t="s">
        <v>341</v>
      </c>
      <c r="N65" s="47" t="s">
        <v>19</v>
      </c>
      <c r="O65" s="101" t="s">
        <v>215</v>
      </c>
      <c r="P65" s="101" t="s">
        <v>3</v>
      </c>
      <c r="Q65" s="101" t="s">
        <v>220</v>
      </c>
      <c r="R65" s="101" t="s">
        <v>271</v>
      </c>
      <c r="S65" s="164">
        <f t="shared" si="10"/>
        <v>744325.16023792652</v>
      </c>
      <c r="Z65" s="189"/>
      <c r="AB65" s="555"/>
      <c r="AC65" s="556"/>
      <c r="AD65" s="394"/>
      <c r="AE65" s="394"/>
    </row>
    <row r="66" spans="1:31" s="93" customForma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7" t="s">
        <v>341</v>
      </c>
      <c r="N66" s="47" t="s">
        <v>19</v>
      </c>
      <c r="O66" s="101" t="s">
        <v>215</v>
      </c>
      <c r="P66" s="101" t="s">
        <v>3</v>
      </c>
      <c r="Q66" s="101" t="s">
        <v>141</v>
      </c>
      <c r="R66" s="101" t="s">
        <v>271</v>
      </c>
      <c r="S66" s="164">
        <f t="shared" si="10"/>
        <v>632234.51032821066</v>
      </c>
      <c r="Z66" s="189"/>
      <c r="AB66" s="555"/>
      <c r="AC66" s="556"/>
      <c r="AD66" s="394"/>
      <c r="AE66" s="394"/>
    </row>
    <row r="67" spans="1:31" s="93" customForma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7" t="s">
        <v>341</v>
      </c>
      <c r="N67" s="47" t="s">
        <v>19</v>
      </c>
      <c r="O67" s="101" t="s">
        <v>215</v>
      </c>
      <c r="P67" s="101" t="s">
        <v>3</v>
      </c>
      <c r="Q67" s="101" t="s">
        <v>220</v>
      </c>
      <c r="R67" s="101" t="s">
        <v>217</v>
      </c>
      <c r="S67" s="164">
        <f t="shared" si="10"/>
        <v>2500927.8600000003</v>
      </c>
      <c r="Z67" s="189"/>
      <c r="AB67" s="555"/>
      <c r="AC67" s="556"/>
      <c r="AD67" s="394"/>
      <c r="AE67" s="394"/>
    </row>
    <row r="68" spans="1:31" s="93" customForma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7" t="s">
        <v>341</v>
      </c>
      <c r="N68" s="47" t="s">
        <v>19</v>
      </c>
      <c r="O68" s="101" t="s">
        <v>215</v>
      </c>
      <c r="P68" s="101" t="s">
        <v>3</v>
      </c>
      <c r="Q68" s="101" t="s">
        <v>141</v>
      </c>
      <c r="R68" s="101" t="s">
        <v>217</v>
      </c>
      <c r="S68" s="164">
        <f t="shared" si="10"/>
        <v>2500590.4366666665</v>
      </c>
      <c r="Z68" s="189"/>
      <c r="AB68" s="555"/>
      <c r="AC68" s="556"/>
      <c r="AD68" s="394"/>
      <c r="AE68" s="394"/>
    </row>
    <row r="69" spans="1:31" s="93" customForma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7" t="s">
        <v>341</v>
      </c>
      <c r="N69" s="47" t="s">
        <v>19</v>
      </c>
      <c r="O69" s="101" t="s">
        <v>215</v>
      </c>
      <c r="P69" s="101" t="s">
        <v>3</v>
      </c>
      <c r="Q69" s="101" t="s">
        <v>132</v>
      </c>
      <c r="R69" s="101" t="s">
        <v>139</v>
      </c>
      <c r="S69" s="164">
        <f t="shared" si="10"/>
        <v>14287722.75</v>
      </c>
      <c r="Z69" s="189"/>
      <c r="AB69" s="555"/>
      <c r="AC69" s="556"/>
      <c r="AD69" s="394"/>
      <c r="AE69" s="394"/>
    </row>
    <row r="70" spans="1:31" s="93" customForma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7" t="s">
        <v>341</v>
      </c>
      <c r="N70" s="47" t="s">
        <v>19</v>
      </c>
      <c r="O70" s="101" t="s">
        <v>215</v>
      </c>
      <c r="P70" s="101" t="s">
        <v>3</v>
      </c>
      <c r="Q70" s="101" t="s">
        <v>132</v>
      </c>
      <c r="R70" s="101" t="s">
        <v>134</v>
      </c>
      <c r="S70" s="164">
        <f t="shared" si="10"/>
        <v>25038906.676754612</v>
      </c>
      <c r="Z70" s="189"/>
      <c r="AB70" s="555"/>
      <c r="AC70" s="556"/>
      <c r="AD70" s="394"/>
      <c r="AE70" s="394"/>
    </row>
    <row r="71" spans="1:31" s="93" customForma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7" t="s">
        <v>341</v>
      </c>
      <c r="N71" s="47" t="s">
        <v>19</v>
      </c>
      <c r="O71" s="101" t="s">
        <v>215</v>
      </c>
      <c r="P71" s="101" t="s">
        <v>3</v>
      </c>
      <c r="Q71" s="101" t="s">
        <v>132</v>
      </c>
      <c r="R71" s="101" t="s">
        <v>135</v>
      </c>
      <c r="S71" s="164">
        <f t="shared" si="10"/>
        <v>29147541.753332101</v>
      </c>
      <c r="Z71" s="189"/>
      <c r="AB71" s="555"/>
      <c r="AC71" s="556"/>
      <c r="AD71" s="394"/>
      <c r="AE71" s="394"/>
    </row>
    <row r="72" spans="1:31" s="93" customForma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7" t="s">
        <v>341</v>
      </c>
      <c r="N72" s="47" t="s">
        <v>19</v>
      </c>
      <c r="O72" s="101" t="s">
        <v>215</v>
      </c>
      <c r="P72" s="101" t="s">
        <v>3</v>
      </c>
      <c r="Q72" s="101" t="s">
        <v>132</v>
      </c>
      <c r="R72" s="101" t="s">
        <v>138</v>
      </c>
      <c r="S72" s="164">
        <f t="shared" si="10"/>
        <v>187089.88</v>
      </c>
      <c r="Z72" s="189"/>
      <c r="AB72" s="555"/>
      <c r="AC72" s="556"/>
      <c r="AD72" s="394"/>
      <c r="AE72" s="394"/>
    </row>
    <row r="73" spans="1:31" s="93" customForma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7" t="s">
        <v>341</v>
      </c>
      <c r="N73" s="47" t="s">
        <v>19</v>
      </c>
      <c r="O73" s="101" t="s">
        <v>215</v>
      </c>
      <c r="P73" s="101" t="s">
        <v>3</v>
      </c>
      <c r="Q73" s="101" t="s">
        <v>132</v>
      </c>
      <c r="R73" s="101" t="s">
        <v>303</v>
      </c>
      <c r="S73" s="164">
        <f t="shared" si="10"/>
        <v>-9070.42</v>
      </c>
      <c r="Z73" s="189"/>
      <c r="AB73" s="555"/>
      <c r="AC73" s="556"/>
      <c r="AD73" s="394"/>
      <c r="AE73" s="394"/>
    </row>
    <row r="74" spans="1:31" s="93" customForma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7" t="s">
        <v>341</v>
      </c>
      <c r="N74" s="47" t="s">
        <v>19</v>
      </c>
      <c r="O74" s="101" t="s">
        <v>215</v>
      </c>
      <c r="P74" s="101" t="s">
        <v>3</v>
      </c>
      <c r="Q74" s="101" t="s">
        <v>132</v>
      </c>
      <c r="R74" s="101" t="s">
        <v>294</v>
      </c>
      <c r="S74" s="164">
        <f t="shared" si="10"/>
        <v>-13342.199999999999</v>
      </c>
      <c r="Z74" s="189"/>
      <c r="AB74" s="555"/>
      <c r="AC74" s="556"/>
      <c r="AD74" s="394"/>
      <c r="AE74" s="394"/>
    </row>
    <row r="75" spans="1:31" s="93" customForma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7" t="s">
        <v>341</v>
      </c>
      <c r="N75" s="47" t="s">
        <v>19</v>
      </c>
      <c r="O75" s="101" t="s">
        <v>215</v>
      </c>
      <c r="P75" s="101" t="s">
        <v>3</v>
      </c>
      <c r="Q75" s="101" t="s">
        <v>132</v>
      </c>
      <c r="R75" s="101" t="s">
        <v>304</v>
      </c>
      <c r="S75" s="164">
        <f t="shared" si="10"/>
        <v>6480</v>
      </c>
      <c r="Z75" s="189"/>
      <c r="AB75" s="555"/>
      <c r="AC75" s="556"/>
      <c r="AD75" s="394"/>
      <c r="AE75" s="394"/>
    </row>
    <row r="76" spans="1:31" s="93" customForma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7" t="s">
        <v>341</v>
      </c>
      <c r="N76" s="47" t="s">
        <v>19</v>
      </c>
      <c r="O76" s="55" t="s">
        <v>215</v>
      </c>
      <c r="P76" s="55" t="s">
        <v>3</v>
      </c>
      <c r="Q76" s="55" t="s">
        <v>132</v>
      </c>
      <c r="R76" s="162" t="s">
        <v>105</v>
      </c>
      <c r="S76" s="164">
        <f>Unbilled!E9</f>
        <v>1072849.6731901476</v>
      </c>
      <c r="Z76" s="189"/>
      <c r="AB76" s="555"/>
      <c r="AC76" s="556"/>
      <c r="AD76" s="394"/>
      <c r="AE76" s="394"/>
    </row>
    <row r="77" spans="1:31" s="93" customForma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7" t="s">
        <v>341</v>
      </c>
      <c r="N77" s="47" t="s">
        <v>19</v>
      </c>
      <c r="O77" s="101" t="s">
        <v>215</v>
      </c>
      <c r="P77" s="101" t="s">
        <v>5</v>
      </c>
      <c r="Q77" s="101" t="s">
        <v>140</v>
      </c>
      <c r="R77" s="101" t="s">
        <v>271</v>
      </c>
      <c r="S77" s="164">
        <f t="shared" ref="S77:S88" si="11">S28*S40</f>
        <v>11598.133333333333</v>
      </c>
      <c r="Z77" s="189"/>
      <c r="AB77" s="555"/>
      <c r="AC77" s="556"/>
      <c r="AD77" s="394"/>
      <c r="AE77" s="394"/>
    </row>
    <row r="78" spans="1:31" s="93" customForma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7" t="s">
        <v>341</v>
      </c>
      <c r="N78" s="47" t="s">
        <v>19</v>
      </c>
      <c r="O78" s="101" t="s">
        <v>215</v>
      </c>
      <c r="P78" s="101" t="s">
        <v>5</v>
      </c>
      <c r="Q78" s="101" t="s">
        <v>220</v>
      </c>
      <c r="R78" s="101" t="s">
        <v>271</v>
      </c>
      <c r="S78" s="164">
        <f t="shared" si="11"/>
        <v>60505.8</v>
      </c>
      <c r="Z78" s="189"/>
      <c r="AB78" s="555"/>
      <c r="AC78" s="556"/>
      <c r="AD78" s="394"/>
      <c r="AE78" s="394"/>
    </row>
    <row r="79" spans="1:31" s="93" customForma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7" t="s">
        <v>341</v>
      </c>
      <c r="N79" s="47" t="s">
        <v>19</v>
      </c>
      <c r="O79" s="101" t="s">
        <v>215</v>
      </c>
      <c r="P79" s="101" t="s">
        <v>5</v>
      </c>
      <c r="Q79" s="101" t="s">
        <v>141</v>
      </c>
      <c r="R79" s="101" t="s">
        <v>271</v>
      </c>
      <c r="S79" s="164">
        <f t="shared" si="11"/>
        <v>83435</v>
      </c>
      <c r="U79" s="96"/>
      <c r="V79" s="96"/>
      <c r="W79" s="96"/>
      <c r="X79" s="96"/>
      <c r="Y79" s="96"/>
      <c r="Z79" s="189"/>
      <c r="AB79" s="555"/>
      <c r="AC79" s="556"/>
      <c r="AD79" s="394"/>
      <c r="AE79" s="394"/>
    </row>
    <row r="80" spans="1:31" s="93" customForma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7" t="s">
        <v>341</v>
      </c>
      <c r="N80" s="47" t="s">
        <v>19</v>
      </c>
      <c r="O80" s="101" t="s">
        <v>215</v>
      </c>
      <c r="P80" s="101" t="s">
        <v>5</v>
      </c>
      <c r="Q80" s="101" t="s">
        <v>220</v>
      </c>
      <c r="R80" s="101" t="s">
        <v>217</v>
      </c>
      <c r="S80" s="164">
        <f t="shared" si="11"/>
        <v>211897.19999999998</v>
      </c>
      <c r="U80" s="278"/>
      <c r="V80" s="288"/>
      <c r="W80" s="261"/>
      <c r="X80" s="288"/>
      <c r="Y80" s="288"/>
      <c r="Z80" s="189"/>
      <c r="AB80" s="555"/>
      <c r="AC80" s="556"/>
      <c r="AD80" s="394"/>
      <c r="AE80" s="394"/>
    </row>
    <row r="81" spans="1:31" s="93" customForma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7" t="s">
        <v>341</v>
      </c>
      <c r="N81" s="47" t="s">
        <v>19</v>
      </c>
      <c r="O81" s="101" t="s">
        <v>215</v>
      </c>
      <c r="P81" s="101" t="s">
        <v>5</v>
      </c>
      <c r="Q81" s="101" t="s">
        <v>141</v>
      </c>
      <c r="R81" s="101" t="s">
        <v>217</v>
      </c>
      <c r="S81" s="164">
        <f t="shared" si="11"/>
        <v>371411.92</v>
      </c>
      <c r="U81" s="291"/>
      <c r="V81" s="38"/>
      <c r="W81" s="38"/>
      <c r="X81" s="38"/>
      <c r="Y81" s="38"/>
      <c r="Z81" s="189"/>
      <c r="AB81" s="555"/>
      <c r="AC81" s="556"/>
      <c r="AD81" s="394"/>
      <c r="AE81" s="394"/>
    </row>
    <row r="82" spans="1:31" s="93" customForma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7" t="s">
        <v>341</v>
      </c>
      <c r="N82" s="47" t="s">
        <v>19</v>
      </c>
      <c r="O82" s="101" t="s">
        <v>215</v>
      </c>
      <c r="P82" s="101" t="s">
        <v>5</v>
      </c>
      <c r="Q82" s="101" t="s">
        <v>132</v>
      </c>
      <c r="R82" s="101" t="s">
        <v>139</v>
      </c>
      <c r="S82" s="164">
        <f t="shared" si="11"/>
        <v>1804173.63</v>
      </c>
      <c r="U82" s="279"/>
      <c r="V82" s="96"/>
      <c r="W82" s="96"/>
      <c r="X82" s="96"/>
      <c r="Y82" s="115"/>
      <c r="Z82" s="189"/>
      <c r="AB82" s="555"/>
      <c r="AC82" s="556"/>
      <c r="AD82" s="394"/>
      <c r="AE82" s="394"/>
    </row>
    <row r="83" spans="1:31" s="93" customForma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7" t="s">
        <v>341</v>
      </c>
      <c r="N83" s="47" t="s">
        <v>19</v>
      </c>
      <c r="O83" s="101" t="s">
        <v>215</v>
      </c>
      <c r="P83" s="101" t="s">
        <v>5</v>
      </c>
      <c r="Q83" s="101" t="s">
        <v>132</v>
      </c>
      <c r="R83" s="101" t="s">
        <v>134</v>
      </c>
      <c r="S83" s="164">
        <f t="shared" si="11"/>
        <v>2346193.1785326907</v>
      </c>
      <c r="U83" s="115"/>
      <c r="V83" s="96"/>
      <c r="W83" s="96"/>
      <c r="X83" s="260"/>
      <c r="Y83" s="96"/>
      <c r="Z83" s="189"/>
      <c r="AB83" s="555"/>
      <c r="AC83" s="556"/>
      <c r="AD83" s="394"/>
      <c r="AE83" s="394"/>
    </row>
    <row r="84" spans="1:31" s="93" customForma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7" t="s">
        <v>341</v>
      </c>
      <c r="N84" s="47" t="s">
        <v>19</v>
      </c>
      <c r="O84" s="101" t="s">
        <v>215</v>
      </c>
      <c r="P84" s="101" t="s">
        <v>5</v>
      </c>
      <c r="Q84" s="101" t="s">
        <v>132</v>
      </c>
      <c r="R84" s="101" t="s">
        <v>135</v>
      </c>
      <c r="S84" s="164">
        <f t="shared" si="11"/>
        <v>3295912.1776889558</v>
      </c>
      <c r="U84" s="115"/>
      <c r="V84" s="224"/>
      <c r="W84" s="224"/>
      <c r="X84" s="381"/>
      <c r="Y84" s="224"/>
      <c r="Z84" s="189"/>
      <c r="AB84" s="555"/>
      <c r="AC84" s="556"/>
      <c r="AD84" s="394"/>
      <c r="AE84" s="394"/>
    </row>
    <row r="85" spans="1:31" s="93" customForma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7" t="s">
        <v>341</v>
      </c>
      <c r="N85" s="47" t="s">
        <v>19</v>
      </c>
      <c r="O85" s="101" t="s">
        <v>215</v>
      </c>
      <c r="P85" s="101" t="s">
        <v>5</v>
      </c>
      <c r="Q85" s="101" t="s">
        <v>132</v>
      </c>
      <c r="R85" s="101" t="s">
        <v>138</v>
      </c>
      <c r="S85" s="164">
        <f t="shared" si="11"/>
        <v>47217.07</v>
      </c>
      <c r="U85" s="115"/>
      <c r="V85" s="96"/>
      <c r="W85" s="96"/>
      <c r="X85" s="96"/>
      <c r="Y85" s="96"/>
      <c r="Z85" s="189"/>
      <c r="AB85" s="555"/>
      <c r="AC85" s="556"/>
      <c r="AD85" s="394"/>
      <c r="AE85" s="394"/>
    </row>
    <row r="86" spans="1:31" s="93" customForma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7" t="s">
        <v>341</v>
      </c>
      <c r="N86" s="47" t="s">
        <v>19</v>
      </c>
      <c r="O86" s="101" t="s">
        <v>215</v>
      </c>
      <c r="P86" s="101" t="s">
        <v>5</v>
      </c>
      <c r="Q86" s="101" t="s">
        <v>132</v>
      </c>
      <c r="R86" s="101" t="s">
        <v>303</v>
      </c>
      <c r="S86" s="164">
        <f t="shared" si="11"/>
        <v>-184.39000000000001</v>
      </c>
      <c r="U86" s="96"/>
      <c r="V86" s="96"/>
      <c r="W86" s="96"/>
      <c r="X86" s="96"/>
      <c r="Y86" s="96"/>
      <c r="Z86" s="189"/>
      <c r="AB86" s="555"/>
      <c r="AC86" s="556"/>
      <c r="AD86" s="394"/>
      <c r="AE86" s="394"/>
    </row>
    <row r="87" spans="1:31" s="93" customForma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7" t="s">
        <v>341</v>
      </c>
      <c r="N87" s="47" t="s">
        <v>19</v>
      </c>
      <c r="O87" s="101" t="s">
        <v>215</v>
      </c>
      <c r="P87" s="101" t="s">
        <v>5</v>
      </c>
      <c r="Q87" s="101" t="s">
        <v>132</v>
      </c>
      <c r="R87" s="101" t="s">
        <v>294</v>
      </c>
      <c r="S87" s="164">
        <f t="shared" si="11"/>
        <v>-256.5</v>
      </c>
      <c r="U87" s="278"/>
      <c r="V87" s="288"/>
      <c r="W87" s="288"/>
      <c r="X87" s="96"/>
      <c r="Y87" s="96"/>
      <c r="Z87" s="189"/>
      <c r="AB87" s="555"/>
      <c r="AC87" s="556"/>
      <c r="AD87" s="394"/>
      <c r="AE87" s="394"/>
    </row>
    <row r="88" spans="1:31" s="93" customForma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7" t="s">
        <v>341</v>
      </c>
      <c r="N88" s="47" t="s">
        <v>19</v>
      </c>
      <c r="O88" s="101" t="s">
        <v>215</v>
      </c>
      <c r="P88" s="101" t="s">
        <v>5</v>
      </c>
      <c r="Q88" s="101" t="s">
        <v>132</v>
      </c>
      <c r="R88" s="101" t="s">
        <v>304</v>
      </c>
      <c r="S88" s="164">
        <f t="shared" si="11"/>
        <v>600</v>
      </c>
      <c r="U88" s="96"/>
      <c r="V88" s="38"/>
      <c r="W88" s="224"/>
      <c r="X88" s="96"/>
      <c r="Y88" s="96"/>
      <c r="Z88" s="189"/>
      <c r="AB88" s="555"/>
      <c r="AC88" s="556"/>
      <c r="AD88" s="394"/>
      <c r="AE88" s="394"/>
    </row>
    <row r="89" spans="1:31" s="93" customForma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03" t="s">
        <v>341</v>
      </c>
      <c r="N89" s="211" t="s">
        <v>19</v>
      </c>
      <c r="O89" s="105" t="s">
        <v>215</v>
      </c>
      <c r="P89" s="105" t="s">
        <v>5</v>
      </c>
      <c r="Q89" s="105" t="s">
        <v>132</v>
      </c>
      <c r="R89" s="163" t="s">
        <v>105</v>
      </c>
      <c r="S89" s="165">
        <f>Unbilled!E10</f>
        <v>158606.6540112104</v>
      </c>
      <c r="U89" s="115"/>
      <c r="V89" s="38"/>
      <c r="W89" s="224"/>
      <c r="X89" s="96"/>
      <c r="Y89" s="96"/>
      <c r="Z89" s="189"/>
      <c r="AB89" s="555"/>
      <c r="AC89" s="556"/>
      <c r="AD89" s="394"/>
      <c r="AE89" s="394"/>
    </row>
    <row r="90" spans="1:31">
      <c r="M90" s="294" t="s">
        <v>470</v>
      </c>
      <c r="N90" s="210" t="s">
        <v>19</v>
      </c>
      <c r="O90" s="97" t="s">
        <v>215</v>
      </c>
      <c r="P90" s="166" t="s">
        <v>132</v>
      </c>
      <c r="Q90" s="166" t="s">
        <v>132</v>
      </c>
      <c r="R90" s="166" t="s">
        <v>132</v>
      </c>
      <c r="S90" s="167">
        <f ca="1">'Cost of Service and Proposed $'!N123</f>
        <v>690422.86643097666</v>
      </c>
      <c r="U90" s="96"/>
      <c r="V90" s="38"/>
      <c r="W90" s="224"/>
      <c r="X90" s="93"/>
      <c r="Y90" s="93"/>
      <c r="AB90" s="555"/>
      <c r="AC90" s="556"/>
      <c r="AD90" s="394"/>
      <c r="AE90" s="394"/>
    </row>
    <row r="91" spans="1:31">
      <c r="M91" s="174" t="s">
        <v>471</v>
      </c>
      <c r="N91" s="47" t="s">
        <v>19</v>
      </c>
      <c r="O91" s="55" t="s">
        <v>215</v>
      </c>
      <c r="P91" s="162" t="s">
        <v>132</v>
      </c>
      <c r="Q91" s="162" t="s">
        <v>132</v>
      </c>
      <c r="R91" s="162" t="s">
        <v>132</v>
      </c>
      <c r="S91" s="164">
        <f ca="1">'Cost of Service and Proposed $'!N124</f>
        <v>27841234.701671798</v>
      </c>
      <c r="U91" s="38"/>
      <c r="V91" s="96"/>
      <c r="W91" s="224"/>
      <c r="X91" s="93"/>
      <c r="Y91" s="93"/>
      <c r="AB91" s="555"/>
      <c r="AC91" s="556"/>
      <c r="AD91" s="394"/>
      <c r="AE91" s="394"/>
    </row>
    <row r="92" spans="1:31">
      <c r="M92" s="174" t="s">
        <v>472</v>
      </c>
      <c r="N92" s="47" t="s">
        <v>19</v>
      </c>
      <c r="O92" s="55" t="s">
        <v>215</v>
      </c>
      <c r="P92" s="162" t="s">
        <v>132</v>
      </c>
      <c r="Q92" s="162" t="s">
        <v>132</v>
      </c>
      <c r="R92" s="162" t="s">
        <v>132</v>
      </c>
      <c r="S92" s="164">
        <f ca="1">'Cost of Service and Proposed $'!N125</f>
        <v>7981750.6812680187</v>
      </c>
      <c r="U92" s="38"/>
      <c r="V92" s="96"/>
      <c r="W92" s="224"/>
      <c r="X92" s="93"/>
      <c r="Y92" s="93"/>
      <c r="AB92" s="555"/>
      <c r="AC92" s="556"/>
      <c r="AD92" s="394"/>
      <c r="AE92" s="394"/>
    </row>
    <row r="93" spans="1:31">
      <c r="M93" s="283" t="s">
        <v>473</v>
      </c>
      <c r="N93" s="211" t="s">
        <v>19</v>
      </c>
      <c r="O93" s="105" t="s">
        <v>215</v>
      </c>
      <c r="P93" s="163" t="s">
        <v>132</v>
      </c>
      <c r="Q93" s="163" t="s">
        <v>132</v>
      </c>
      <c r="R93" s="163" t="s">
        <v>132</v>
      </c>
      <c r="S93" s="165">
        <f ca="1">'Cost of Service and Proposed $'!N126</f>
        <v>45401217.173424676</v>
      </c>
      <c r="U93" s="96"/>
      <c r="AB93" s="555"/>
      <c r="AC93" s="556"/>
      <c r="AD93" s="394"/>
      <c r="AE93" s="394"/>
    </row>
    <row r="94" spans="1:31">
      <c r="M94" s="389" t="s">
        <v>468</v>
      </c>
      <c r="N94" s="389" t="s">
        <v>19</v>
      </c>
      <c r="O94" s="389" t="s">
        <v>287</v>
      </c>
      <c r="P94" s="166" t="s">
        <v>132</v>
      </c>
      <c r="Q94" s="99" t="s">
        <v>132</v>
      </c>
      <c r="R94" s="99" t="s">
        <v>271</v>
      </c>
      <c r="S94" s="166">
        <f ca="1">(T94*(U94-V94)+V94*100)/100</f>
        <v>1454101.3534977499</v>
      </c>
      <c r="T94" s="449">
        <v>10</v>
      </c>
      <c r="U94" s="93">
        <f ca="1">S90*(1-SUM(U98:U102)/SUM(S90:S93))</f>
        <v>678143.95287898951</v>
      </c>
      <c r="V94" s="93">
        <f ca="1">SUMIFS(S$55:S$89,R$55:R$89,R94)/SUM(S$55:S$62,S$64:S$71,S$77:S$84)*(SUM(S$90:S$93)-SUM(V$98:V$102))</f>
        <v>1540318.8424553899</v>
      </c>
      <c r="AB94" s="555"/>
      <c r="AC94" s="556"/>
      <c r="AD94" s="394"/>
      <c r="AE94" s="394"/>
    </row>
    <row r="95" spans="1:31">
      <c r="M95" s="387" t="s">
        <v>468</v>
      </c>
      <c r="N95" s="387" t="s">
        <v>19</v>
      </c>
      <c r="O95" s="387" t="s">
        <v>287</v>
      </c>
      <c r="P95" s="162" t="s">
        <v>132</v>
      </c>
      <c r="Q95" s="101" t="s">
        <v>132</v>
      </c>
      <c r="R95" s="101" t="s">
        <v>217</v>
      </c>
      <c r="S95" s="162">
        <f t="shared" ref="S95:S102" ca="1" si="12">(T95*(U95-V95)+V95*100)/100</f>
        <v>7600468.4494920298</v>
      </c>
      <c r="T95" s="183">
        <f>$T$94</f>
        <v>10</v>
      </c>
      <c r="U95" s="93">
        <f ca="1">S91*(1-SUM(U98:U102)/SUM(S90:S93))</f>
        <v>27346088.711143415</v>
      </c>
      <c r="V95" s="93">
        <f t="shared" ref="V95:V96" ca="1" si="13">SUMIFS(S$55:S$89,R$55:R$89,R95)/SUM(S$55:S$62,S$64:S$71,S$77:S$84)*(SUM(S$90:S$93)-SUM(V$98:V$102))</f>
        <v>5406510.6426418768</v>
      </c>
      <c r="AB95" s="555"/>
      <c r="AC95" s="556"/>
      <c r="AD95" s="394"/>
      <c r="AE95" s="394"/>
    </row>
    <row r="96" spans="1:31">
      <c r="M96" s="387" t="s">
        <v>468</v>
      </c>
      <c r="N96" s="387" t="s">
        <v>19</v>
      </c>
      <c r="O96" s="387" t="s">
        <v>287</v>
      </c>
      <c r="P96" s="162" t="s">
        <v>132</v>
      </c>
      <c r="Q96" s="101" t="s">
        <v>132</v>
      </c>
      <c r="R96" s="101" t="s">
        <v>139</v>
      </c>
      <c r="S96" s="162">
        <f t="shared" ca="1" si="12"/>
        <v>14804628.369002569</v>
      </c>
      <c r="T96" s="183">
        <f t="shared" ref="T96:T102" si="14">$T$94</f>
        <v>10</v>
      </c>
      <c r="U96" s="93">
        <f ca="1">S92*(1-SUM(U98:U102)/SUM(S90:S93))</f>
        <v>7839798.2179676127</v>
      </c>
      <c r="V96" s="93">
        <f t="shared" ca="1" si="13"/>
        <v>15578498.385784229</v>
      </c>
      <c r="Z96" s="291"/>
      <c r="AB96" s="555"/>
      <c r="AC96" s="556"/>
      <c r="AD96" s="394"/>
      <c r="AE96" s="394"/>
    </row>
    <row r="97" spans="13:31">
      <c r="M97" s="387" t="s">
        <v>468</v>
      </c>
      <c r="N97" s="387" t="s">
        <v>19</v>
      </c>
      <c r="O97" s="387" t="s">
        <v>287</v>
      </c>
      <c r="P97" s="162" t="s">
        <v>132</v>
      </c>
      <c r="Q97" s="101" t="s">
        <v>132</v>
      </c>
      <c r="R97" s="101" t="s">
        <v>4</v>
      </c>
      <c r="S97" s="162">
        <f t="shared" ca="1" si="12"/>
        <v>56598606.144327708</v>
      </c>
      <c r="T97" s="183">
        <f t="shared" si="14"/>
        <v>10</v>
      </c>
      <c r="U97" s="93">
        <f ca="1">S93*(1-SUM(U98:U102)/SUM(S90:S93))</f>
        <v>44593773.434330024</v>
      </c>
      <c r="V97" s="93">
        <f ca="1">SUMIFS(S$55:S$89,R$55:R$89,"kWh*")/SUM(S$55:S$62,S$64:S$71,S$77:S$84)*(SUM(S$90:S$93)-SUM(V$98:V$102))</f>
        <v>57932476.445438556</v>
      </c>
      <c r="Z97" s="291"/>
      <c r="AB97" s="555"/>
      <c r="AC97" s="556"/>
      <c r="AD97" s="394"/>
      <c r="AE97" s="394"/>
    </row>
    <row r="98" spans="13:31">
      <c r="M98" s="387" t="s">
        <v>468</v>
      </c>
      <c r="N98" s="387" t="s">
        <v>19</v>
      </c>
      <c r="O98" s="387" t="s">
        <v>287</v>
      </c>
      <c r="P98" s="162" t="s">
        <v>132</v>
      </c>
      <c r="Q98" s="101" t="s">
        <v>132</v>
      </c>
      <c r="R98" s="101" t="s">
        <v>138</v>
      </c>
      <c r="S98" s="162">
        <f t="shared" si="12"/>
        <v>234306.95</v>
      </c>
      <c r="T98" s="183">
        <f t="shared" si="14"/>
        <v>10</v>
      </c>
      <c r="U98" s="93">
        <f>SUMIFS($S$55:$S$89,$R$55:$R$89,R98)</f>
        <v>234306.95</v>
      </c>
      <c r="V98" s="93">
        <f>SUMIFS($S$55:$S$89,$R$55:$R$89,R98)</f>
        <v>234306.95</v>
      </c>
      <c r="Z98" s="38"/>
      <c r="AB98" s="555"/>
      <c r="AC98" s="556"/>
      <c r="AD98" s="394"/>
      <c r="AE98" s="394"/>
    </row>
    <row r="99" spans="13:31">
      <c r="M99" s="387" t="s">
        <v>468</v>
      </c>
      <c r="N99" s="387" t="s">
        <v>19</v>
      </c>
      <c r="O99" s="387" t="s">
        <v>287</v>
      </c>
      <c r="P99" s="162" t="s">
        <v>132</v>
      </c>
      <c r="Q99" s="101" t="s">
        <v>132</v>
      </c>
      <c r="R99" s="101" t="s">
        <v>303</v>
      </c>
      <c r="S99" s="162">
        <f t="shared" si="12"/>
        <v>-9254.81</v>
      </c>
      <c r="T99" s="183">
        <f t="shared" si="14"/>
        <v>10</v>
      </c>
      <c r="U99" s="93">
        <f t="shared" ref="U99:U102" si="15">SUMIFS($S$55:$S$89,$R$55:$R$89,R99)</f>
        <v>-9254.81</v>
      </c>
      <c r="V99" s="93">
        <f t="shared" ref="V99:V102" si="16">SUMIFS($S$55:$S$89,$R$55:$R$89,R99)</f>
        <v>-9254.81</v>
      </c>
      <c r="Z99" s="291"/>
      <c r="AB99" s="555"/>
      <c r="AC99" s="556"/>
      <c r="AD99" s="394"/>
      <c r="AE99" s="394"/>
    </row>
    <row r="100" spans="13:31">
      <c r="M100" s="387" t="s">
        <v>468</v>
      </c>
      <c r="N100" s="387" t="s">
        <v>19</v>
      </c>
      <c r="O100" s="387" t="s">
        <v>287</v>
      </c>
      <c r="P100" s="162" t="s">
        <v>132</v>
      </c>
      <c r="Q100" s="101" t="s">
        <v>132</v>
      </c>
      <c r="R100" s="101" t="s">
        <v>294</v>
      </c>
      <c r="S100" s="162">
        <f t="shared" si="12"/>
        <v>-13598.7</v>
      </c>
      <c r="T100" s="183">
        <f t="shared" si="14"/>
        <v>10</v>
      </c>
      <c r="U100" s="93">
        <f t="shared" si="15"/>
        <v>-13598.699999999999</v>
      </c>
      <c r="V100" s="93">
        <f t="shared" si="16"/>
        <v>-13598.699999999999</v>
      </c>
      <c r="Z100" s="291"/>
      <c r="AB100" s="555"/>
      <c r="AC100" s="556"/>
      <c r="AD100" s="394"/>
      <c r="AE100" s="394"/>
    </row>
    <row r="101" spans="13:31">
      <c r="M101" s="387" t="s">
        <v>468</v>
      </c>
      <c r="N101" s="387" t="s">
        <v>19</v>
      </c>
      <c r="O101" s="387" t="s">
        <v>287</v>
      </c>
      <c r="P101" s="162" t="s">
        <v>132</v>
      </c>
      <c r="Q101" s="101" t="s">
        <v>132</v>
      </c>
      <c r="R101" s="101" t="s">
        <v>304</v>
      </c>
      <c r="S101" s="162">
        <f t="shared" si="12"/>
        <v>7080</v>
      </c>
      <c r="T101" s="183">
        <f t="shared" si="14"/>
        <v>10</v>
      </c>
      <c r="U101" s="93">
        <f t="shared" si="15"/>
        <v>7080</v>
      </c>
      <c r="V101" s="93">
        <f t="shared" si="16"/>
        <v>7080</v>
      </c>
      <c r="AB101" s="555"/>
      <c r="AC101" s="556"/>
      <c r="AD101" s="394"/>
      <c r="AE101" s="394"/>
    </row>
    <row r="102" spans="13:31">
      <c r="M102" s="388" t="s">
        <v>468</v>
      </c>
      <c r="N102" s="388" t="s">
        <v>19</v>
      </c>
      <c r="O102" s="388" t="s">
        <v>287</v>
      </c>
      <c r="P102" s="163" t="s">
        <v>132</v>
      </c>
      <c r="Q102" s="105" t="s">
        <v>132</v>
      </c>
      <c r="R102" s="163" t="s">
        <v>105</v>
      </c>
      <c r="S102" s="163">
        <f t="shared" si="12"/>
        <v>1238287.6664754222</v>
      </c>
      <c r="T102" s="183">
        <f t="shared" si="14"/>
        <v>10</v>
      </c>
      <c r="U102" s="93">
        <f t="shared" si="15"/>
        <v>1238287.6664754222</v>
      </c>
      <c r="V102" s="93">
        <f t="shared" si="16"/>
        <v>1238287.6664754222</v>
      </c>
      <c r="AB102" s="555"/>
      <c r="AC102" s="556"/>
      <c r="AD102" s="394"/>
      <c r="AE102" s="394"/>
    </row>
    <row r="103" spans="13:31">
      <c r="M103" s="166" t="s">
        <v>439</v>
      </c>
      <c r="N103" s="166" t="s">
        <v>338</v>
      </c>
      <c r="O103" s="389" t="s">
        <v>287</v>
      </c>
      <c r="P103" s="166" t="s">
        <v>132</v>
      </c>
      <c r="Q103" s="99" t="s">
        <v>140</v>
      </c>
      <c r="R103" s="99" t="s">
        <v>271</v>
      </c>
      <c r="S103" s="269">
        <f ca="1">ROUND(T103/100*W103*X103/Y103/Z103,U103)</f>
        <v>238.34</v>
      </c>
      <c r="T103" s="183">
        <f>100+Summary!$P$10</f>
        <v>105.4</v>
      </c>
      <c r="U103" s="93">
        <v>2</v>
      </c>
      <c r="V103" s="257">
        <f ca="1">W103*X103/Y103/Z103</f>
        <v>226.12921543881743</v>
      </c>
      <c r="W103" s="1">
        <f ca="1">SUMIFS(S$94:S$102,R$94:R$102,R103)</f>
        <v>1454101.3534977499</v>
      </c>
      <c r="X103" s="93">
        <f t="shared" ref="X103:X108" si="17">SUMIFS(S$55:S$89,Q$55:Q$89,Q103,R$55:R$89,R103)</f>
        <v>69502.780475098974</v>
      </c>
      <c r="Y103" s="93">
        <f t="shared" ref="Y103:Y108" si="18">SUMIFS(S$55:S$89,R$55:R$89,R103)</f>
        <v>1594739.2510412361</v>
      </c>
      <c r="Z103" s="93">
        <f t="shared" ref="Z103:Z108" si="19">SUMIFS(S$8:S$39,Q$8:Q$39,Q103,R$8:R$39,R103)</f>
        <v>280.25314707701199</v>
      </c>
      <c r="AB103" s="555"/>
      <c r="AC103" s="556"/>
      <c r="AD103" s="394"/>
      <c r="AE103" s="394"/>
    </row>
    <row r="104" spans="13:31">
      <c r="M104" s="162" t="s">
        <v>439</v>
      </c>
      <c r="N104" s="162" t="s">
        <v>338</v>
      </c>
      <c r="O104" s="387" t="s">
        <v>287</v>
      </c>
      <c r="P104" s="162" t="s">
        <v>132</v>
      </c>
      <c r="Q104" s="101" t="s">
        <v>220</v>
      </c>
      <c r="R104" s="101" t="s">
        <v>271</v>
      </c>
      <c r="S104" s="270">
        <f t="shared" ref="S104:S113" ca="1" si="20">ROUND(T104/100*W104*X104/Y104/Z104,U104)</f>
        <v>89.38</v>
      </c>
      <c r="T104" s="183">
        <f>100+Summary!$P$10</f>
        <v>105.4</v>
      </c>
      <c r="U104" s="93">
        <v>2</v>
      </c>
      <c r="V104" s="257">
        <f t="shared" ref="V104:V113" ca="1" si="21">W104*X104/Y104/Z104</f>
        <v>84.798455789556527</v>
      </c>
      <c r="W104" s="1">
        <f t="shared" ref="W104:W109" ca="1" si="22">SUMIFS(S$94:S$102,R$94:R$102,R104)</f>
        <v>1454101.3534977499</v>
      </c>
      <c r="X104" s="93">
        <f t="shared" si="17"/>
        <v>808271.96023792657</v>
      </c>
      <c r="Y104" s="93">
        <f t="shared" si="18"/>
        <v>1594739.2510412361</v>
      </c>
      <c r="Z104" s="93">
        <f t="shared" si="19"/>
        <v>8691.0963466443718</v>
      </c>
      <c r="AB104" s="555"/>
      <c r="AC104" s="556"/>
      <c r="AD104" s="394"/>
      <c r="AE104" s="394"/>
    </row>
    <row r="105" spans="13:31">
      <c r="M105" s="162" t="s">
        <v>439</v>
      </c>
      <c r="N105" s="162" t="s">
        <v>338</v>
      </c>
      <c r="O105" s="387" t="s">
        <v>287</v>
      </c>
      <c r="P105" s="162" t="s">
        <v>132</v>
      </c>
      <c r="Q105" s="101" t="s">
        <v>141</v>
      </c>
      <c r="R105" s="101" t="s">
        <v>271</v>
      </c>
      <c r="S105" s="270">
        <f t="shared" ca="1" si="20"/>
        <v>177.79</v>
      </c>
      <c r="T105" s="183">
        <f>100+Summary!$P$10</f>
        <v>105.4</v>
      </c>
      <c r="U105" s="93">
        <v>2</v>
      </c>
      <c r="V105" s="257">
        <f t="shared" ca="1" si="21"/>
        <v>168.68510022653714</v>
      </c>
      <c r="W105" s="1">
        <f t="shared" ca="1" si="22"/>
        <v>1454101.3534977499</v>
      </c>
      <c r="X105" s="93">
        <f t="shared" si="17"/>
        <v>716964.51032821066</v>
      </c>
      <c r="Y105" s="93">
        <f t="shared" si="18"/>
        <v>1594739.2510412361</v>
      </c>
      <c r="Z105" s="93">
        <f t="shared" si="19"/>
        <v>3875.4838396119494</v>
      </c>
      <c r="AB105" s="555"/>
      <c r="AC105" s="556"/>
      <c r="AD105" s="394"/>
      <c r="AE105" s="394"/>
    </row>
    <row r="106" spans="13:31">
      <c r="M106" s="162" t="s">
        <v>439</v>
      </c>
      <c r="N106" s="162" t="s">
        <v>338</v>
      </c>
      <c r="O106" s="387" t="s">
        <v>287</v>
      </c>
      <c r="P106" s="162" t="s">
        <v>132</v>
      </c>
      <c r="Q106" s="101" t="s">
        <v>220</v>
      </c>
      <c r="R106" s="101" t="s">
        <v>217</v>
      </c>
      <c r="S106" s="270">
        <f t="shared" ca="1" si="20"/>
        <v>2.58</v>
      </c>
      <c r="T106" s="183">
        <f>100+Summary!$P$10</f>
        <v>105.4</v>
      </c>
      <c r="U106" s="93">
        <v>2</v>
      </c>
      <c r="V106" s="257">
        <f t="shared" ca="1" si="21"/>
        <v>2.4440874890289677</v>
      </c>
      <c r="W106" s="1">
        <f t="shared" ca="1" si="22"/>
        <v>7600468.4494920298</v>
      </c>
      <c r="X106" s="93">
        <f t="shared" si="17"/>
        <v>2722316.4600000004</v>
      </c>
      <c r="Y106" s="93">
        <f t="shared" si="18"/>
        <v>5597525.9766666675</v>
      </c>
      <c r="Z106" s="93">
        <f t="shared" si="19"/>
        <v>1512398.0333333334</v>
      </c>
      <c r="AB106" s="555"/>
      <c r="AC106" s="556"/>
      <c r="AD106" s="394"/>
      <c r="AE106" s="394"/>
    </row>
    <row r="107" spans="13:31">
      <c r="M107" s="162" t="s">
        <v>439</v>
      </c>
      <c r="N107" s="162" t="s">
        <v>338</v>
      </c>
      <c r="O107" s="387" t="s">
        <v>287</v>
      </c>
      <c r="P107" s="162" t="s">
        <v>132</v>
      </c>
      <c r="Q107" s="101" t="s">
        <v>141</v>
      </c>
      <c r="R107" s="101" t="s">
        <v>217</v>
      </c>
      <c r="S107" s="270">
        <f t="shared" ca="1" si="20"/>
        <v>2.12</v>
      </c>
      <c r="T107" s="183">
        <f>100+Summary!$P$10</f>
        <v>105.4</v>
      </c>
      <c r="U107" s="93">
        <v>2</v>
      </c>
      <c r="V107" s="257">
        <f t="shared" ca="1" si="21"/>
        <v>2.0095830465349285</v>
      </c>
      <c r="W107" s="1">
        <f t="shared" ca="1" si="22"/>
        <v>7600468.4494920298</v>
      </c>
      <c r="X107" s="93">
        <f t="shared" si="17"/>
        <v>2875209.5166666666</v>
      </c>
      <c r="Y107" s="93">
        <f t="shared" si="18"/>
        <v>5597525.9766666675</v>
      </c>
      <c r="Z107" s="93">
        <f t="shared" si="19"/>
        <v>1942709.1328828828</v>
      </c>
      <c r="AB107" s="555"/>
      <c r="AC107" s="556"/>
      <c r="AD107" s="394"/>
      <c r="AE107" s="394"/>
    </row>
    <row r="108" spans="13:31">
      <c r="M108" s="162" t="s">
        <v>439</v>
      </c>
      <c r="N108" s="162" t="s">
        <v>338</v>
      </c>
      <c r="O108" s="387" t="s">
        <v>287</v>
      </c>
      <c r="P108" s="162" t="s">
        <v>132</v>
      </c>
      <c r="Q108" s="101" t="s">
        <v>132</v>
      </c>
      <c r="R108" s="101" t="s">
        <v>139</v>
      </c>
      <c r="S108" s="270">
        <f t="shared" ca="1" si="20"/>
        <v>6.1</v>
      </c>
      <c r="T108" s="183">
        <f>100+Summary!$P$10</f>
        <v>105.4</v>
      </c>
      <c r="U108" s="93">
        <v>2</v>
      </c>
      <c r="V108" s="257">
        <f t="shared" ca="1" si="21"/>
        <v>5.7827365931028352</v>
      </c>
      <c r="W108" s="1">
        <f t="shared" ca="1" si="22"/>
        <v>14804628.369002569</v>
      </c>
      <c r="X108" s="93">
        <f t="shared" si="17"/>
        <v>16128896.280000001</v>
      </c>
      <c r="Y108" s="93">
        <f t="shared" si="18"/>
        <v>16128896.280000001</v>
      </c>
      <c r="Z108" s="93">
        <f t="shared" si="19"/>
        <v>2560142.2666666666</v>
      </c>
    </row>
    <row r="109" spans="13:31">
      <c r="M109" s="162" t="s">
        <v>439</v>
      </c>
      <c r="N109" s="162" t="s">
        <v>338</v>
      </c>
      <c r="O109" s="387" t="s">
        <v>287</v>
      </c>
      <c r="P109" s="162" t="s">
        <v>132</v>
      </c>
      <c r="Q109" s="101" t="s">
        <v>132</v>
      </c>
      <c r="R109" s="23" t="s">
        <v>4</v>
      </c>
      <c r="S109" s="270">
        <f t="shared" ca="1" si="20"/>
        <v>6.4390000000000003E-2</v>
      </c>
      <c r="T109" s="183">
        <f>100+Summary!$P$10</f>
        <v>105.4</v>
      </c>
      <c r="U109" s="93">
        <v>5</v>
      </c>
      <c r="V109" s="257">
        <f t="shared" ca="1" si="21"/>
        <v>6.1095264636655378E-2</v>
      </c>
      <c r="W109" s="1">
        <f t="shared" ca="1" si="22"/>
        <v>56598606.144327708</v>
      </c>
      <c r="X109" s="93">
        <f>SUMIFS(S$55:S$89,Q$55:Q$89,Q109,R$55:R$89,"kWh*")</f>
        <v>59979266.338318788</v>
      </c>
      <c r="Y109" s="93">
        <f>SUMIFS(S$55:S$89,R$55:R$89,"kWh*")</f>
        <v>59979266.338318788</v>
      </c>
      <c r="Z109" s="93">
        <f>SUMIFS(S$8:S$39,Q$8:Q$39,Q109,R$8:R$39,"kWh*")</f>
        <v>926399230.4629482</v>
      </c>
    </row>
    <row r="110" spans="13:31">
      <c r="M110" s="162" t="s">
        <v>439</v>
      </c>
      <c r="N110" s="162" t="s">
        <v>338</v>
      </c>
      <c r="O110" s="387" t="s">
        <v>287</v>
      </c>
      <c r="P110" s="162" t="s">
        <v>132</v>
      </c>
      <c r="Q110" s="101" t="s">
        <v>132</v>
      </c>
      <c r="R110" s="101" t="s">
        <v>138</v>
      </c>
      <c r="S110" s="270">
        <f t="shared" si="20"/>
        <v>0.61</v>
      </c>
      <c r="T110" s="183">
        <f>100+Summary!$P$10</f>
        <v>105.4</v>
      </c>
      <c r="U110" s="93">
        <v>2</v>
      </c>
      <c r="V110" s="257">
        <f t="shared" si="21"/>
        <v>0.58000000000000007</v>
      </c>
      <c r="W110" s="1">
        <f>S98</f>
        <v>234306.95</v>
      </c>
      <c r="X110" s="93">
        <f>SUMIFS(S$55:S$89,Q$55:Q$89,Q110,R$55:R$89,R110)</f>
        <v>234306.95</v>
      </c>
      <c r="Y110" s="93">
        <f>SUMIFS(S$55:S$89,R$55:R$89,R110)</f>
        <v>234306.95</v>
      </c>
      <c r="Z110" s="93">
        <f>SUMIFS(S$8:S$39,Q$8:Q$39,Q110,R$8:R$39,R110)</f>
        <v>403977.5</v>
      </c>
      <c r="AD110" s="261"/>
      <c r="AE110" s="319"/>
    </row>
    <row r="111" spans="13:31">
      <c r="M111" s="162" t="s">
        <v>439</v>
      </c>
      <c r="N111" s="162" t="s">
        <v>338</v>
      </c>
      <c r="O111" s="387" t="s">
        <v>287</v>
      </c>
      <c r="P111" s="162" t="s">
        <v>132</v>
      </c>
      <c r="Q111" s="101" t="s">
        <v>132</v>
      </c>
      <c r="R111" s="101" t="s">
        <v>303</v>
      </c>
      <c r="S111" s="270">
        <f t="shared" si="20"/>
        <v>-0.01</v>
      </c>
      <c r="T111" s="449">
        <v>100</v>
      </c>
      <c r="U111" s="93">
        <v>2</v>
      </c>
      <c r="V111" s="257">
        <f>W111*X111/Y111/Z111</f>
        <v>-0.01</v>
      </c>
      <c r="W111" s="1">
        <f>S99</f>
        <v>-9254.81</v>
      </c>
      <c r="X111" s="93">
        <f>SUMIFS(S$55:S$89,Q$55:Q$89,Q111,R$55:R$89,R111)</f>
        <v>-9254.81</v>
      </c>
      <c r="Y111" s="93">
        <f>SUMIFS(S$55:S$89,R$55:R$89,R111)</f>
        <v>-9254.81</v>
      </c>
      <c r="Z111" s="93">
        <f>SUMIFS(S$8:S$39,Q$8:Q$39,Q111,R$8:R$39,R111)</f>
        <v>925481</v>
      </c>
      <c r="AC111" s="261"/>
      <c r="AD111" s="110"/>
      <c r="AE111" s="394"/>
    </row>
    <row r="112" spans="13:31">
      <c r="M112" s="162" t="s">
        <v>439</v>
      </c>
      <c r="N112" s="162" t="s">
        <v>338</v>
      </c>
      <c r="O112" s="387" t="s">
        <v>287</v>
      </c>
      <c r="P112" s="162" t="s">
        <v>132</v>
      </c>
      <c r="Q112" s="101" t="s">
        <v>132</v>
      </c>
      <c r="R112" s="101" t="s">
        <v>294</v>
      </c>
      <c r="S112" s="270">
        <f t="shared" si="20"/>
        <v>-0.3</v>
      </c>
      <c r="T112" s="449">
        <v>100</v>
      </c>
      <c r="U112" s="93">
        <v>2</v>
      </c>
      <c r="V112" s="257">
        <f t="shared" si="21"/>
        <v>-0.3</v>
      </c>
      <c r="W112" s="1">
        <f>S100</f>
        <v>-13598.7</v>
      </c>
      <c r="X112" s="93">
        <f>SUMIFS(S$55:S$89,Q$55:Q$89,Q112,R$55:R$89,R112)</f>
        <v>-13598.699999999999</v>
      </c>
      <c r="Y112" s="93">
        <f>SUMIFS(S$55:S$89,R$55:R$89,R112)</f>
        <v>-13598.699999999999</v>
      </c>
      <c r="Z112" s="93">
        <f>SUMIFS(S$8:S$39,Q$8:Q$39,Q112,R$8:R$39,R112)</f>
        <v>45329</v>
      </c>
      <c r="AD112" s="110"/>
      <c r="AE112" s="394"/>
    </row>
    <row r="113" spans="13:31">
      <c r="M113" s="162" t="s">
        <v>439</v>
      </c>
      <c r="N113" s="162" t="s">
        <v>338</v>
      </c>
      <c r="O113" s="387" t="s">
        <v>287</v>
      </c>
      <c r="P113" s="162" t="s">
        <v>132</v>
      </c>
      <c r="Q113" s="101" t="s">
        <v>132</v>
      </c>
      <c r="R113" s="101" t="s">
        <v>304</v>
      </c>
      <c r="S113" s="270">
        <f t="shared" si="20"/>
        <v>60</v>
      </c>
      <c r="T113" s="449">
        <v>100</v>
      </c>
      <c r="U113" s="93">
        <v>2</v>
      </c>
      <c r="V113" s="257">
        <f t="shared" si="21"/>
        <v>60</v>
      </c>
      <c r="W113" s="1">
        <f>S101</f>
        <v>7080</v>
      </c>
      <c r="X113" s="93">
        <f>SUMIFS(S$55:S$89,Q$55:Q$89,Q113,R$55:R$89,R113)</f>
        <v>7080</v>
      </c>
      <c r="Y113" s="93">
        <f>SUMIFS(S$55:S$89,R$55:R$89,R113)</f>
        <v>7080</v>
      </c>
      <c r="Z113" s="93">
        <f>SUMIFS(S$8:S$39,Q$8:Q$39,Q113,R$8:R$39,R113)</f>
        <v>118</v>
      </c>
    </row>
    <row r="114" spans="13:31">
      <c r="M114" s="162" t="s">
        <v>439</v>
      </c>
      <c r="N114" s="162" t="s">
        <v>338</v>
      </c>
      <c r="O114" s="387" t="s">
        <v>423</v>
      </c>
      <c r="P114" s="162" t="s">
        <v>132</v>
      </c>
      <c r="Q114" s="162" t="s">
        <v>132</v>
      </c>
      <c r="R114" s="162" t="s">
        <v>271</v>
      </c>
      <c r="S114" s="270">
        <f ca="1">ROUND(T114/100*W114*X114/Y114/Z114,U114)</f>
        <v>16.78</v>
      </c>
      <c r="T114" s="183">
        <f>100+Summary!$P$10</f>
        <v>105.4</v>
      </c>
      <c r="U114" s="93">
        <v>2</v>
      </c>
      <c r="V114" s="257">
        <f ca="1">W114*X114/Y114/Z114</f>
        <v>15.920112622961517</v>
      </c>
      <c r="W114" s="1">
        <f ca="1">Sch.24!S106+S94</f>
        <v>4180831.9819767997</v>
      </c>
      <c r="X114" s="5">
        <v>1</v>
      </c>
      <c r="Y114" s="5">
        <v>1</v>
      </c>
      <c r="Z114" s="93">
        <f>Sch.24!Z115+Sch.24!Z117+Z103+Z104+Z105</f>
        <v>262613.2164383562</v>
      </c>
      <c r="AD114" s="355" t="s">
        <v>478</v>
      </c>
      <c r="AE114" s="155"/>
    </row>
    <row r="115" spans="13:31">
      <c r="M115" s="162" t="s">
        <v>439</v>
      </c>
      <c r="N115" s="162" t="s">
        <v>338</v>
      </c>
      <c r="O115" s="387" t="s">
        <v>423</v>
      </c>
      <c r="P115" s="162" t="s">
        <v>132</v>
      </c>
      <c r="Q115" s="162" t="s">
        <v>132</v>
      </c>
      <c r="R115" s="56" t="s">
        <v>134</v>
      </c>
      <c r="S115" s="270">
        <f ca="1">ROUND(T115/100*W115*X115/Y115/Z115,U115)+AA115+AB115</f>
        <v>0.20433000000000001</v>
      </c>
      <c r="T115" s="183">
        <f>100+Summary!$P$10</f>
        <v>105.4</v>
      </c>
      <c r="U115" s="93">
        <v>5</v>
      </c>
      <c r="V115" s="257">
        <f ca="1">W115*X115/Y115/Z115+AA115+AB115</f>
        <v>0.19951374774215708</v>
      </c>
      <c r="W115" s="1">
        <f ca="1">SUM(Sch.24!S107:S113,S95:S101)</f>
        <v>131277837.099989</v>
      </c>
      <c r="X115" s="1">
        <v>1</v>
      </c>
      <c r="Y115" s="1">
        <v>1</v>
      </c>
      <c r="Z115" s="93">
        <f>Sch.24!Z122+Sch.24!Z124+Z109</f>
        <v>1470508860.8932304</v>
      </c>
      <c r="AA115" s="392">
        <f>ROUND((S53-S54)*(1-AE115/100),5)</f>
        <v>9.7189999999999999E-2</v>
      </c>
      <c r="AB115" s="289">
        <f>ROUND(0.01866*(1-AE116/100),5)</f>
        <v>1.3050000000000001E-2</v>
      </c>
      <c r="AC115" s="260"/>
      <c r="AD115" s="390" t="s">
        <v>425</v>
      </c>
      <c r="AE115" s="393">
        <v>15.278021888208601</v>
      </c>
    </row>
    <row r="116" spans="13:31">
      <c r="M116" s="163" t="s">
        <v>439</v>
      </c>
      <c r="N116" s="163" t="s">
        <v>338</v>
      </c>
      <c r="O116" s="388" t="s">
        <v>423</v>
      </c>
      <c r="P116" s="163" t="s">
        <v>132</v>
      </c>
      <c r="Q116" s="163" t="s">
        <v>132</v>
      </c>
      <c r="R116" s="362" t="s">
        <v>135</v>
      </c>
      <c r="S116" s="271">
        <f ca="1">ROUND(T116/100*W116*X116/Y116/Z116,U116)+AA116+AB116</f>
        <v>8.9609999999999995E-2</v>
      </c>
      <c r="T116" s="183">
        <f>100+Summary!$P$10</f>
        <v>105.4</v>
      </c>
      <c r="U116" s="93">
        <v>5</v>
      </c>
      <c r="V116" s="257">
        <f ca="1">W116*X116/Y116/Z116+AA116+AB116</f>
        <v>8.4793747742157075E-2</v>
      </c>
      <c r="W116" s="1">
        <f ca="1">SUM(Sch.24!S107:S113,S95:S101)</f>
        <v>131277837.099989</v>
      </c>
      <c r="X116" s="1">
        <v>1</v>
      </c>
      <c r="Y116" s="1">
        <v>1</v>
      </c>
      <c r="Z116" s="93">
        <f>Sch.24!Z122+Sch.24!Z124+Z109</f>
        <v>1470508860.8932304</v>
      </c>
      <c r="AA116" s="392">
        <f>ROUND((S54-S53)*AE115/100,5)</f>
        <v>-1.753E-2</v>
      </c>
      <c r="AB116" s="289">
        <f>ROUND(0.01866*(1-AE116/100),5)</f>
        <v>1.3050000000000001E-2</v>
      </c>
      <c r="AC116" s="260"/>
      <c r="AD116" s="384" t="s">
        <v>426</v>
      </c>
      <c r="AE116" s="383">
        <v>30.057274160620899</v>
      </c>
    </row>
    <row r="117" spans="13:31">
      <c r="M117" s="166" t="s">
        <v>439</v>
      </c>
      <c r="N117" s="435" t="s">
        <v>19</v>
      </c>
      <c r="O117" s="389" t="s">
        <v>215</v>
      </c>
      <c r="P117" s="438" t="s">
        <v>2</v>
      </c>
      <c r="Q117" s="99" t="s">
        <v>140</v>
      </c>
      <c r="R117" s="99" t="s">
        <v>271</v>
      </c>
      <c r="S117" s="167">
        <f t="shared" ref="S117:S152" ca="1" si="23">IF(R117="Unbilled",SUMIFS(S$55:S$89,P$55:P$89,P117,R$55:R$89,R117),SUMIFS(S$103:S$113,Q$103:Q$113,Q117,R$103:R$113,R117)*U117)</f>
        <v>476.68</v>
      </c>
      <c r="T117" s="93">
        <f t="shared" ref="T117:T152" ca="1" si="24">IF(R117="Unbilled",SUMIFS(S$55:S$89,P$55:P$89,P117,R$55:R$89,R117),SUMIFS(V$103:V$113,Q$103:Q$113,Q117,R$103:R$113,R117)*U117)</f>
        <v>452.25843087763485</v>
      </c>
      <c r="U117" s="93">
        <f t="shared" ref="U117:U122" si="25">SUMIFS(S$8:S$39,P$8:P$39,P117,Q$8:Q$39,Q117,R$8:R$39,R117)</f>
        <v>2</v>
      </c>
      <c r="Z117"/>
    </row>
    <row r="118" spans="13:31">
      <c r="M118" s="162" t="s">
        <v>439</v>
      </c>
      <c r="N118" s="436" t="s">
        <v>19</v>
      </c>
      <c r="O118" s="387" t="s">
        <v>215</v>
      </c>
      <c r="P118" s="439" t="s">
        <v>2</v>
      </c>
      <c r="Q118" s="101" t="s">
        <v>220</v>
      </c>
      <c r="R118" s="101" t="s">
        <v>271</v>
      </c>
      <c r="S118" s="164">
        <f t="shared" ca="1" si="23"/>
        <v>3307.06</v>
      </c>
      <c r="T118" s="93">
        <f t="shared" ca="1" si="24"/>
        <v>3137.5428642135917</v>
      </c>
      <c r="U118" s="93">
        <f t="shared" si="25"/>
        <v>37</v>
      </c>
    </row>
    <row r="119" spans="13:31">
      <c r="M119" s="162" t="s">
        <v>439</v>
      </c>
      <c r="N119" s="436" t="s">
        <v>19</v>
      </c>
      <c r="O119" s="387" t="s">
        <v>215</v>
      </c>
      <c r="P119" s="439" t="s">
        <v>2</v>
      </c>
      <c r="Q119" s="101" t="s">
        <v>141</v>
      </c>
      <c r="R119" s="101" t="s">
        <v>271</v>
      </c>
      <c r="S119" s="164">
        <f t="shared" ca="1" si="23"/>
        <v>1244.53</v>
      </c>
      <c r="T119" s="93">
        <f t="shared" ca="1" si="24"/>
        <v>1180.7957015857601</v>
      </c>
      <c r="U119" s="93">
        <f t="shared" si="25"/>
        <v>7</v>
      </c>
    </row>
    <row r="120" spans="13:31">
      <c r="M120" s="162" t="s">
        <v>439</v>
      </c>
      <c r="N120" s="436" t="s">
        <v>19</v>
      </c>
      <c r="O120" s="387" t="s">
        <v>215</v>
      </c>
      <c r="P120" s="439" t="s">
        <v>2</v>
      </c>
      <c r="Q120" s="101" t="s">
        <v>220</v>
      </c>
      <c r="R120" s="101" t="s">
        <v>217</v>
      </c>
      <c r="S120" s="164">
        <f t="shared" ca="1" si="23"/>
        <v>13604.34</v>
      </c>
      <c r="T120" s="93">
        <f t="shared" ca="1" si="24"/>
        <v>12887.673329649746</v>
      </c>
      <c r="U120" s="93">
        <f t="shared" si="25"/>
        <v>5273</v>
      </c>
    </row>
    <row r="121" spans="13:31">
      <c r="M121" s="162" t="s">
        <v>439</v>
      </c>
      <c r="N121" s="436" t="s">
        <v>19</v>
      </c>
      <c r="O121" s="387" t="s">
        <v>215</v>
      </c>
      <c r="P121" s="439" t="s">
        <v>2</v>
      </c>
      <c r="Q121" s="101" t="s">
        <v>141</v>
      </c>
      <c r="R121" s="101" t="s">
        <v>217</v>
      </c>
      <c r="S121" s="164">
        <f t="shared" ca="1" si="23"/>
        <v>4594.04</v>
      </c>
      <c r="T121" s="93">
        <f t="shared" ca="1" si="24"/>
        <v>4354.76646184119</v>
      </c>
      <c r="U121" s="93">
        <f t="shared" si="25"/>
        <v>2167</v>
      </c>
    </row>
    <row r="122" spans="13:31">
      <c r="M122" s="162" t="s">
        <v>439</v>
      </c>
      <c r="N122" s="436" t="s">
        <v>19</v>
      </c>
      <c r="O122" s="387" t="s">
        <v>215</v>
      </c>
      <c r="P122" s="439" t="s">
        <v>2</v>
      </c>
      <c r="Q122" s="101" t="s">
        <v>132</v>
      </c>
      <c r="R122" s="101" t="s">
        <v>139</v>
      </c>
      <c r="S122" s="164">
        <f t="shared" ca="1" si="23"/>
        <v>35825.299999999996</v>
      </c>
      <c r="T122" s="93">
        <f t="shared" ca="1" si="24"/>
        <v>33962.012011292951</v>
      </c>
      <c r="U122" s="93">
        <f t="shared" si="25"/>
        <v>5873</v>
      </c>
      <c r="Z122"/>
    </row>
    <row r="123" spans="13:31">
      <c r="M123" s="162" t="s">
        <v>439</v>
      </c>
      <c r="N123" s="436" t="s">
        <v>19</v>
      </c>
      <c r="O123" s="387" t="s">
        <v>215</v>
      </c>
      <c r="P123" s="439" t="s">
        <v>2</v>
      </c>
      <c r="Q123" s="101" t="s">
        <v>132</v>
      </c>
      <c r="R123" s="23" t="s">
        <v>4</v>
      </c>
      <c r="S123" s="164">
        <f t="shared" ca="1" si="23"/>
        <v>147523.90099148796</v>
      </c>
      <c r="T123" s="93">
        <f t="shared" ca="1" si="24"/>
        <v>139975.33423368074</v>
      </c>
      <c r="U123" s="93">
        <f>SUMIFS(S$8:S$39,P$8:P$39,P123,Q$8:Q$39,Q123,R$8:R$39,"kWh*")</f>
        <v>2291099.5650176727</v>
      </c>
      <c r="W123" s="258"/>
      <c r="Z123"/>
    </row>
    <row r="124" spans="13:31">
      <c r="M124" s="162" t="s">
        <v>439</v>
      </c>
      <c r="N124" s="436" t="s">
        <v>19</v>
      </c>
      <c r="O124" s="387" t="s">
        <v>215</v>
      </c>
      <c r="P124" s="439" t="s">
        <v>2</v>
      </c>
      <c r="Q124" s="101" t="s">
        <v>132</v>
      </c>
      <c r="R124" s="101" t="s">
        <v>138</v>
      </c>
      <c r="S124" s="164">
        <f t="shared" si="23"/>
        <v>0</v>
      </c>
      <c r="T124" s="93">
        <f t="shared" si="24"/>
        <v>0</v>
      </c>
      <c r="U124" s="93">
        <f t="shared" ref="U124:U134" si="26">SUMIFS(S$8:S$39,P$8:P$39,P124,Q$8:Q$39,Q124,R$8:R$39,R124)</f>
        <v>0</v>
      </c>
      <c r="W124" s="258"/>
      <c r="Z124"/>
    </row>
    <row r="125" spans="13:31">
      <c r="M125" s="162" t="s">
        <v>439</v>
      </c>
      <c r="N125" s="436" t="s">
        <v>19</v>
      </c>
      <c r="O125" s="387" t="s">
        <v>215</v>
      </c>
      <c r="P125" s="439" t="s">
        <v>2</v>
      </c>
      <c r="Q125" s="101" t="s">
        <v>132</v>
      </c>
      <c r="R125" s="101" t="s">
        <v>303</v>
      </c>
      <c r="S125" s="164">
        <f t="shared" si="23"/>
        <v>0</v>
      </c>
      <c r="T125" s="93">
        <f t="shared" si="24"/>
        <v>0</v>
      </c>
      <c r="U125" s="93">
        <f t="shared" si="26"/>
        <v>0</v>
      </c>
      <c r="Z125"/>
    </row>
    <row r="126" spans="13:31">
      <c r="M126" s="162" t="s">
        <v>439</v>
      </c>
      <c r="N126" s="436" t="s">
        <v>19</v>
      </c>
      <c r="O126" s="387" t="s">
        <v>215</v>
      </c>
      <c r="P126" s="439" t="s">
        <v>2</v>
      </c>
      <c r="Q126" s="101" t="s">
        <v>132</v>
      </c>
      <c r="R126" s="101" t="s">
        <v>294</v>
      </c>
      <c r="S126" s="164">
        <f t="shared" si="23"/>
        <v>0</v>
      </c>
      <c r="T126" s="93">
        <f t="shared" si="24"/>
        <v>0</v>
      </c>
      <c r="U126" s="93">
        <f t="shared" si="26"/>
        <v>0</v>
      </c>
      <c r="Z126"/>
    </row>
    <row r="127" spans="13:31">
      <c r="M127" s="162" t="s">
        <v>439</v>
      </c>
      <c r="N127" s="436" t="s">
        <v>19</v>
      </c>
      <c r="O127" s="387" t="s">
        <v>215</v>
      </c>
      <c r="P127" s="439" t="s">
        <v>2</v>
      </c>
      <c r="Q127" s="101" t="s">
        <v>132</v>
      </c>
      <c r="R127" s="101" t="s">
        <v>304</v>
      </c>
      <c r="S127" s="164">
        <f t="shared" si="23"/>
        <v>0</v>
      </c>
      <c r="T127" s="93">
        <f t="shared" si="24"/>
        <v>0</v>
      </c>
      <c r="U127" s="93">
        <f t="shared" si="26"/>
        <v>0</v>
      </c>
      <c r="Z127"/>
    </row>
    <row r="128" spans="13:31">
      <c r="M128" s="162" t="s">
        <v>439</v>
      </c>
      <c r="N128" s="436" t="s">
        <v>19</v>
      </c>
      <c r="O128" s="387" t="s">
        <v>215</v>
      </c>
      <c r="P128" s="439" t="s">
        <v>2</v>
      </c>
      <c r="Q128" s="55" t="s">
        <v>132</v>
      </c>
      <c r="R128" s="162" t="s">
        <v>105</v>
      </c>
      <c r="S128" s="164">
        <f t="shared" si="23"/>
        <v>6831.3392740641229</v>
      </c>
      <c r="T128" s="93">
        <f t="shared" si="24"/>
        <v>6831.3392740641229</v>
      </c>
      <c r="U128" s="93">
        <f t="shared" si="26"/>
        <v>0</v>
      </c>
      <c r="Z128"/>
    </row>
    <row r="129" spans="13:26">
      <c r="M129" s="162" t="s">
        <v>439</v>
      </c>
      <c r="N129" s="436" t="s">
        <v>19</v>
      </c>
      <c r="O129" s="387" t="s">
        <v>215</v>
      </c>
      <c r="P129" s="440" t="s">
        <v>3</v>
      </c>
      <c r="Q129" s="101" t="s">
        <v>140</v>
      </c>
      <c r="R129" s="101" t="s">
        <v>271</v>
      </c>
      <c r="S129" s="164">
        <f t="shared" ca="1" si="23"/>
        <v>55172.487741001707</v>
      </c>
      <c r="T129" s="93">
        <f t="shared" ca="1" si="24"/>
        <v>52345.856199884569</v>
      </c>
      <c r="U129" s="93">
        <f t="shared" si="26"/>
        <v>231.48648041034534</v>
      </c>
      <c r="Z129"/>
    </row>
    <row r="130" spans="13:26">
      <c r="M130" s="162" t="s">
        <v>439</v>
      </c>
      <c r="N130" s="436" t="s">
        <v>19</v>
      </c>
      <c r="O130" s="387" t="s">
        <v>215</v>
      </c>
      <c r="P130" s="440" t="s">
        <v>3</v>
      </c>
      <c r="Q130" s="101" t="s">
        <v>220</v>
      </c>
      <c r="R130" s="101" t="s">
        <v>271</v>
      </c>
      <c r="S130" s="164">
        <f t="shared" ca="1" si="23"/>
        <v>715352.50346307387</v>
      </c>
      <c r="T130" s="93">
        <f t="shared" ca="1" si="24"/>
        <v>678684.13111279986</v>
      </c>
      <c r="U130" s="93">
        <f t="shared" si="26"/>
        <v>8003.4963466443714</v>
      </c>
      <c r="Z130"/>
    </row>
    <row r="131" spans="13:26">
      <c r="M131" s="162" t="s">
        <v>439</v>
      </c>
      <c r="N131" s="436" t="s">
        <v>19</v>
      </c>
      <c r="O131" s="387" t="s">
        <v>215</v>
      </c>
      <c r="P131" s="440" t="s">
        <v>3</v>
      </c>
      <c r="Q131" s="101" t="s">
        <v>141</v>
      </c>
      <c r="R131" s="101" t="s">
        <v>271</v>
      </c>
      <c r="S131" s="164">
        <f t="shared" ca="1" si="23"/>
        <v>607594.45184460841</v>
      </c>
      <c r="T131" s="93">
        <f t="shared" ca="1" si="24"/>
        <v>576478.60400751268</v>
      </c>
      <c r="U131" s="93">
        <f t="shared" si="26"/>
        <v>3417.4838396119494</v>
      </c>
      <c r="Z131"/>
    </row>
    <row r="132" spans="13:26">
      <c r="M132" s="162" t="s">
        <v>439</v>
      </c>
      <c r="N132" s="436" t="s">
        <v>19</v>
      </c>
      <c r="O132" s="387" t="s">
        <v>215</v>
      </c>
      <c r="P132" s="440" t="s">
        <v>3</v>
      </c>
      <c r="Q132" s="101" t="s">
        <v>220</v>
      </c>
      <c r="R132" s="101" t="s">
        <v>217</v>
      </c>
      <c r="S132" s="164">
        <f t="shared" ca="1" si="23"/>
        <v>3584663.2660000003</v>
      </c>
      <c r="T132" s="93">
        <f t="shared" ca="1" si="24"/>
        <v>3395825.8297722167</v>
      </c>
      <c r="U132" s="93">
        <f t="shared" si="26"/>
        <v>1389404.3666666667</v>
      </c>
      <c r="Z132"/>
    </row>
    <row r="133" spans="13:26">
      <c r="M133" s="162" t="s">
        <v>439</v>
      </c>
      <c r="N133" s="436" t="s">
        <v>19</v>
      </c>
      <c r="O133" s="387" t="s">
        <v>215</v>
      </c>
      <c r="P133" s="440" t="s">
        <v>3</v>
      </c>
      <c r="Q133" s="101" t="s">
        <v>141</v>
      </c>
      <c r="R133" s="101" t="s">
        <v>217</v>
      </c>
      <c r="S133" s="164">
        <f t="shared" ca="1" si="23"/>
        <v>3581926.8417117116</v>
      </c>
      <c r="T133" s="93">
        <f t="shared" ca="1" si="24"/>
        <v>3395367.6674680454</v>
      </c>
      <c r="U133" s="93">
        <f t="shared" si="26"/>
        <v>1689588.1328828828</v>
      </c>
      <c r="Z133"/>
    </row>
    <row r="134" spans="13:26">
      <c r="M134" s="162" t="s">
        <v>439</v>
      </c>
      <c r="N134" s="436" t="s">
        <v>19</v>
      </c>
      <c r="O134" s="387" t="s">
        <v>215</v>
      </c>
      <c r="P134" s="440" t="s">
        <v>3</v>
      </c>
      <c r="Q134" s="101" t="s">
        <v>132</v>
      </c>
      <c r="R134" s="101" t="s">
        <v>139</v>
      </c>
      <c r="S134" s="164">
        <f t="shared" ca="1" si="23"/>
        <v>13834144.25</v>
      </c>
      <c r="T134" s="93">
        <f t="shared" ca="1" si="24"/>
        <v>13114624.948973471</v>
      </c>
      <c r="U134" s="93">
        <f t="shared" si="26"/>
        <v>2267892.5</v>
      </c>
      <c r="Z134"/>
    </row>
    <row r="135" spans="13:26">
      <c r="M135" s="162" t="s">
        <v>439</v>
      </c>
      <c r="N135" s="436" t="s">
        <v>19</v>
      </c>
      <c r="O135" s="387" t="s">
        <v>215</v>
      </c>
      <c r="P135" s="440" t="s">
        <v>3</v>
      </c>
      <c r="Q135" s="101" t="s">
        <v>132</v>
      </c>
      <c r="R135" s="23" t="s">
        <v>4</v>
      </c>
      <c r="S135" s="164">
        <f t="shared" ca="1" si="23"/>
        <v>53873806.918495066</v>
      </c>
      <c r="T135" s="93">
        <f t="shared" ca="1" si="24"/>
        <v>51117168.670127839</v>
      </c>
      <c r="U135" s="93">
        <f>SUMIFS(S$8:S$39,P$8:P$39,P135,Q$8:Q$39,Q135,R$8:R$39,"kWh*")</f>
        <v>836679716.08161306</v>
      </c>
      <c r="Z135"/>
    </row>
    <row r="136" spans="13:26">
      <c r="M136" s="162" t="s">
        <v>439</v>
      </c>
      <c r="N136" s="436" t="s">
        <v>19</v>
      </c>
      <c r="O136" s="387" t="s">
        <v>215</v>
      </c>
      <c r="P136" s="440" t="s">
        <v>3</v>
      </c>
      <c r="Q136" s="101" t="s">
        <v>132</v>
      </c>
      <c r="R136" s="101" t="s">
        <v>138</v>
      </c>
      <c r="S136" s="164">
        <f t="shared" si="23"/>
        <v>196766.94275862069</v>
      </c>
      <c r="T136" s="93">
        <f t="shared" si="24"/>
        <v>187089.88000000003</v>
      </c>
      <c r="U136" s="93">
        <f t="shared" ref="U136:U146" si="27">SUMIFS(S$8:S$39,P$8:P$39,P136,Q$8:Q$39,Q136,R$8:R$39,R136)</f>
        <v>322568.75862068968</v>
      </c>
      <c r="Z136"/>
    </row>
    <row r="137" spans="13:26">
      <c r="M137" s="162" t="s">
        <v>439</v>
      </c>
      <c r="N137" s="436" t="s">
        <v>19</v>
      </c>
      <c r="O137" s="387" t="s">
        <v>215</v>
      </c>
      <c r="P137" s="440" t="s">
        <v>3</v>
      </c>
      <c r="Q137" s="101" t="s">
        <v>132</v>
      </c>
      <c r="R137" s="101" t="s">
        <v>303</v>
      </c>
      <c r="S137" s="164">
        <f t="shared" si="23"/>
        <v>-9070.42</v>
      </c>
      <c r="T137" s="93">
        <f t="shared" si="24"/>
        <v>-9070.42</v>
      </c>
      <c r="U137" s="93">
        <f t="shared" si="27"/>
        <v>907042</v>
      </c>
      <c r="Z137"/>
    </row>
    <row r="138" spans="13:26">
      <c r="M138" s="162" t="s">
        <v>439</v>
      </c>
      <c r="N138" s="436" t="s">
        <v>19</v>
      </c>
      <c r="O138" s="387" t="s">
        <v>215</v>
      </c>
      <c r="P138" s="440" t="s">
        <v>3</v>
      </c>
      <c r="Q138" s="101" t="s">
        <v>132</v>
      </c>
      <c r="R138" s="101" t="s">
        <v>294</v>
      </c>
      <c r="S138" s="164">
        <f t="shared" si="23"/>
        <v>-13342.199999999999</v>
      </c>
      <c r="T138" s="93">
        <f t="shared" si="24"/>
        <v>-13342.199999999999</v>
      </c>
      <c r="U138" s="93">
        <f t="shared" si="27"/>
        <v>44474</v>
      </c>
      <c r="Z138"/>
    </row>
    <row r="139" spans="13:26">
      <c r="M139" s="162" t="s">
        <v>439</v>
      </c>
      <c r="N139" s="436" t="s">
        <v>19</v>
      </c>
      <c r="O139" s="387" t="s">
        <v>215</v>
      </c>
      <c r="P139" s="440" t="s">
        <v>3</v>
      </c>
      <c r="Q139" s="101" t="s">
        <v>132</v>
      </c>
      <c r="R139" s="101" t="s">
        <v>304</v>
      </c>
      <c r="S139" s="164">
        <f t="shared" si="23"/>
        <v>6480</v>
      </c>
      <c r="T139" s="93">
        <f t="shared" si="24"/>
        <v>6480</v>
      </c>
      <c r="U139" s="93">
        <f t="shared" si="27"/>
        <v>108</v>
      </c>
      <c r="Z139"/>
    </row>
    <row r="140" spans="13:26">
      <c r="M140" s="162" t="s">
        <v>439</v>
      </c>
      <c r="N140" s="436" t="s">
        <v>19</v>
      </c>
      <c r="O140" s="387" t="s">
        <v>215</v>
      </c>
      <c r="P140" s="440" t="s">
        <v>3</v>
      </c>
      <c r="Q140" s="55" t="s">
        <v>132</v>
      </c>
      <c r="R140" s="162" t="s">
        <v>105</v>
      </c>
      <c r="S140" s="164">
        <f t="shared" si="23"/>
        <v>1072849.6731901476</v>
      </c>
      <c r="T140" s="93">
        <f t="shared" si="24"/>
        <v>1072849.6731901476</v>
      </c>
      <c r="U140" s="93">
        <f t="shared" si="27"/>
        <v>0</v>
      </c>
      <c r="Z140"/>
    </row>
    <row r="141" spans="13:26">
      <c r="M141" s="162" t="s">
        <v>439</v>
      </c>
      <c r="N141" s="436" t="s">
        <v>19</v>
      </c>
      <c r="O141" s="387" t="s">
        <v>215</v>
      </c>
      <c r="P141" s="439" t="s">
        <v>5</v>
      </c>
      <c r="Q141" s="101" t="s">
        <v>140</v>
      </c>
      <c r="R141" s="101" t="s">
        <v>271</v>
      </c>
      <c r="S141" s="164">
        <f t="shared" ca="1" si="23"/>
        <v>11146.367333333334</v>
      </c>
      <c r="T141" s="93">
        <f t="shared" ca="1" si="24"/>
        <v>10575.309642022028</v>
      </c>
      <c r="U141" s="93">
        <f t="shared" si="27"/>
        <v>46.766666666666666</v>
      </c>
      <c r="Z141"/>
    </row>
    <row r="142" spans="13:26">
      <c r="M142" s="162" t="s">
        <v>439</v>
      </c>
      <c r="N142" s="436" t="s">
        <v>19</v>
      </c>
      <c r="O142" s="387" t="s">
        <v>215</v>
      </c>
      <c r="P142" s="439" t="s">
        <v>5</v>
      </c>
      <c r="Q142" s="101" t="s">
        <v>220</v>
      </c>
      <c r="R142" s="101" t="s">
        <v>271</v>
      </c>
      <c r="S142" s="164">
        <f t="shared" ca="1" si="23"/>
        <v>58150.627999999997</v>
      </c>
      <c r="T142" s="93">
        <f t="shared" ca="1" si="24"/>
        <v>55169.87533668548</v>
      </c>
      <c r="U142" s="93">
        <f t="shared" si="27"/>
        <v>650.6</v>
      </c>
      <c r="Z142"/>
    </row>
    <row r="143" spans="13:26">
      <c r="M143" s="162" t="s">
        <v>439</v>
      </c>
      <c r="N143" s="436" t="s">
        <v>19</v>
      </c>
      <c r="O143" s="387" t="s">
        <v>215</v>
      </c>
      <c r="P143" s="439" t="s">
        <v>5</v>
      </c>
      <c r="Q143" s="101" t="s">
        <v>141</v>
      </c>
      <c r="R143" s="101" t="s">
        <v>271</v>
      </c>
      <c r="S143" s="164">
        <f t="shared" ca="1" si="23"/>
        <v>80183.289999999994</v>
      </c>
      <c r="T143" s="93">
        <f t="shared" ca="1" si="24"/>
        <v>76076.980202168255</v>
      </c>
      <c r="U143" s="93">
        <f t="shared" si="27"/>
        <v>451</v>
      </c>
      <c r="Z143"/>
    </row>
    <row r="144" spans="13:26">
      <c r="M144" s="162" t="s">
        <v>439</v>
      </c>
      <c r="N144" s="436" t="s">
        <v>19</v>
      </c>
      <c r="O144" s="387" t="s">
        <v>215</v>
      </c>
      <c r="P144" s="439" t="s">
        <v>5</v>
      </c>
      <c r="Q144" s="101" t="s">
        <v>220</v>
      </c>
      <c r="R144" s="101" t="s">
        <v>217</v>
      </c>
      <c r="S144" s="164">
        <f t="shared" ca="1" si="23"/>
        <v>303719.32</v>
      </c>
      <c r="T144" s="93">
        <f t="shared" ca="1" si="24"/>
        <v>287719.6086001494</v>
      </c>
      <c r="U144" s="93">
        <f t="shared" si="27"/>
        <v>117720.66666666666</v>
      </c>
      <c r="Z144"/>
    </row>
    <row r="145" spans="13:26">
      <c r="M145" s="162" t="s">
        <v>439</v>
      </c>
      <c r="N145" s="436" t="s">
        <v>19</v>
      </c>
      <c r="O145" s="387" t="s">
        <v>215</v>
      </c>
      <c r="P145" s="439" t="s">
        <v>5</v>
      </c>
      <c r="Q145" s="101" t="s">
        <v>141</v>
      </c>
      <c r="R145" s="101" t="s">
        <v>217</v>
      </c>
      <c r="S145" s="164">
        <f t="shared" ca="1" si="23"/>
        <v>532022.48</v>
      </c>
      <c r="T145" s="93">
        <f t="shared" ca="1" si="24"/>
        <v>504312.90386012645</v>
      </c>
      <c r="U145" s="93">
        <f t="shared" si="27"/>
        <v>250954</v>
      </c>
      <c r="Z145"/>
    </row>
    <row r="146" spans="13:26">
      <c r="M146" s="162" t="s">
        <v>439</v>
      </c>
      <c r="N146" s="436" t="s">
        <v>19</v>
      </c>
      <c r="O146" s="387" t="s">
        <v>215</v>
      </c>
      <c r="P146" s="439" t="s">
        <v>5</v>
      </c>
      <c r="Q146" s="101" t="s">
        <v>132</v>
      </c>
      <c r="R146" s="101" t="s">
        <v>139</v>
      </c>
      <c r="S146" s="164">
        <f t="shared" ca="1" si="23"/>
        <v>1746898.2766666666</v>
      </c>
      <c r="T146" s="93">
        <f t="shared" ca="1" si="24"/>
        <v>1656041.4080178055</v>
      </c>
      <c r="U146" s="93">
        <f t="shared" si="27"/>
        <v>286376.76666666666</v>
      </c>
      <c r="Z146"/>
    </row>
    <row r="147" spans="13:26">
      <c r="M147" s="162" t="s">
        <v>439</v>
      </c>
      <c r="N147" s="436" t="s">
        <v>19</v>
      </c>
      <c r="O147" s="387" t="s">
        <v>215</v>
      </c>
      <c r="P147" s="439" t="s">
        <v>5</v>
      </c>
      <c r="Q147" s="101" t="s">
        <v>132</v>
      </c>
      <c r="R147" s="23" t="s">
        <v>4</v>
      </c>
      <c r="S147" s="164">
        <f t="shared" ca="1" si="23"/>
        <v>5629515.630022686</v>
      </c>
      <c r="T147" s="93">
        <f t="shared" ca="1" si="24"/>
        <v>5341462.139966201</v>
      </c>
      <c r="U147" s="93">
        <f>SUMIFS(S$8:S$39,P$8:P$39,P147,Q$8:Q$39,Q147,R$8:R$39,"kWh*")</f>
        <v>87428414.816317528</v>
      </c>
      <c r="Z147"/>
    </row>
    <row r="148" spans="13:26">
      <c r="M148" s="162" t="s">
        <v>439</v>
      </c>
      <c r="N148" s="436" t="s">
        <v>19</v>
      </c>
      <c r="O148" s="387" t="s">
        <v>215</v>
      </c>
      <c r="P148" s="439" t="s">
        <v>5</v>
      </c>
      <c r="Q148" s="101" t="s">
        <v>132</v>
      </c>
      <c r="R148" s="101" t="s">
        <v>138</v>
      </c>
      <c r="S148" s="164">
        <f t="shared" si="23"/>
        <v>49659.332241379314</v>
      </c>
      <c r="T148" s="93">
        <f t="shared" si="24"/>
        <v>47217.070000000007</v>
      </c>
      <c r="U148" s="93">
        <f>SUMIFS(S$8:S$39,P$8:P$39,P148,Q$8:Q$39,Q148,R$8:R$39,R148)</f>
        <v>81408.741379310348</v>
      </c>
      <c r="Z148"/>
    </row>
    <row r="149" spans="13:26">
      <c r="M149" s="162" t="s">
        <v>439</v>
      </c>
      <c r="N149" s="436" t="s">
        <v>19</v>
      </c>
      <c r="O149" s="387" t="s">
        <v>215</v>
      </c>
      <c r="P149" s="439" t="s">
        <v>5</v>
      </c>
      <c r="Q149" s="101" t="s">
        <v>132</v>
      </c>
      <c r="R149" s="101" t="s">
        <v>303</v>
      </c>
      <c r="S149" s="164">
        <f t="shared" si="23"/>
        <v>-184.39000000000001</v>
      </c>
      <c r="T149" s="93">
        <f t="shared" si="24"/>
        <v>-184.39000000000001</v>
      </c>
      <c r="U149" s="93">
        <f>SUMIFS(S$8:S$39,P$8:P$39,P149,Q$8:Q$39,Q149,R$8:R$39,R149)</f>
        <v>18439</v>
      </c>
      <c r="Z149"/>
    </row>
    <row r="150" spans="13:26">
      <c r="M150" s="162" t="s">
        <v>439</v>
      </c>
      <c r="N150" s="436" t="s">
        <v>19</v>
      </c>
      <c r="O150" s="387" t="s">
        <v>215</v>
      </c>
      <c r="P150" s="439" t="s">
        <v>5</v>
      </c>
      <c r="Q150" s="101" t="s">
        <v>132</v>
      </c>
      <c r="R150" s="101" t="s">
        <v>294</v>
      </c>
      <c r="S150" s="164">
        <f t="shared" si="23"/>
        <v>-256.5</v>
      </c>
      <c r="T150" s="93">
        <f t="shared" si="24"/>
        <v>-256.5</v>
      </c>
      <c r="U150" s="93">
        <f>SUMIFS(S$8:S$39,P$8:P$39,P150,Q$8:Q$39,Q150,R$8:R$39,R150)</f>
        <v>855</v>
      </c>
      <c r="Z150"/>
    </row>
    <row r="151" spans="13:26">
      <c r="M151" s="162" t="s">
        <v>439</v>
      </c>
      <c r="N151" s="436" t="s">
        <v>19</v>
      </c>
      <c r="O151" s="387" t="s">
        <v>215</v>
      </c>
      <c r="P151" s="439" t="s">
        <v>5</v>
      </c>
      <c r="Q151" s="101" t="s">
        <v>132</v>
      </c>
      <c r="R151" s="101" t="s">
        <v>304</v>
      </c>
      <c r="S151" s="164">
        <f t="shared" si="23"/>
        <v>600</v>
      </c>
      <c r="T151" s="93">
        <f t="shared" si="24"/>
        <v>600</v>
      </c>
      <c r="U151" s="93">
        <f>SUMIFS(S$8:S$39,P$8:P$39,P151,Q$8:Q$39,Q151,R$8:R$39,R151)</f>
        <v>10</v>
      </c>
      <c r="Z151"/>
    </row>
    <row r="152" spans="13:26">
      <c r="M152" s="163" t="s">
        <v>439</v>
      </c>
      <c r="N152" s="437" t="s">
        <v>19</v>
      </c>
      <c r="O152" s="388" t="s">
        <v>215</v>
      </c>
      <c r="P152" s="441" t="s">
        <v>5</v>
      </c>
      <c r="Q152" s="105" t="s">
        <v>132</v>
      </c>
      <c r="R152" s="163" t="s">
        <v>105</v>
      </c>
      <c r="S152" s="165">
        <f t="shared" si="23"/>
        <v>158606.6540112104</v>
      </c>
      <c r="T152" s="93">
        <f t="shared" si="24"/>
        <v>158606.6540112104</v>
      </c>
      <c r="U152" s="93">
        <f>SUMIFS(S$8:S$39,P$8:P$39,P152,Q$8:Q$39,Q152,R$8:R$39,R152)</f>
        <v>0</v>
      </c>
      <c r="Z152"/>
    </row>
    <row r="153" spans="13:26">
      <c r="M153" s="294" t="s">
        <v>474</v>
      </c>
      <c r="N153" s="210" t="s">
        <v>19</v>
      </c>
      <c r="O153" s="97" t="s">
        <v>215</v>
      </c>
      <c r="P153" s="166" t="s">
        <v>132</v>
      </c>
      <c r="Q153" s="166" t="s">
        <v>132</v>
      </c>
      <c r="R153" s="166" t="s">
        <v>132</v>
      </c>
      <c r="S153" s="167">
        <f ca="1">'Cost of Service and Proposed $'!W123</f>
        <v>690420.6081861105</v>
      </c>
      <c r="Z153"/>
    </row>
    <row r="154" spans="13:26">
      <c r="M154" s="174" t="s">
        <v>475</v>
      </c>
      <c r="N154" s="47" t="s">
        <v>19</v>
      </c>
      <c r="O154" s="55" t="s">
        <v>215</v>
      </c>
      <c r="P154" s="162" t="s">
        <v>132</v>
      </c>
      <c r="Q154" s="162" t="s">
        <v>132</v>
      </c>
      <c r="R154" s="162" t="s">
        <v>132</v>
      </c>
      <c r="S154" s="164">
        <f ca="1">'Cost of Service and Proposed $'!W124</f>
        <v>27840663.314410701</v>
      </c>
      <c r="Z154"/>
    </row>
    <row r="155" spans="13:26">
      <c r="M155" s="174" t="s">
        <v>476</v>
      </c>
      <c r="N155" s="47" t="s">
        <v>19</v>
      </c>
      <c r="O155" s="55" t="s">
        <v>215</v>
      </c>
      <c r="P155" s="162" t="s">
        <v>132</v>
      </c>
      <c r="Q155" s="162" t="s">
        <v>132</v>
      </c>
      <c r="R155" s="162" t="s">
        <v>132</v>
      </c>
      <c r="S155" s="164">
        <f ca="1">'Cost of Service and Proposed $'!W125</f>
        <v>7981592.1009085914</v>
      </c>
      <c r="Z155"/>
    </row>
    <row r="156" spans="13:26">
      <c r="M156" s="283" t="s">
        <v>477</v>
      </c>
      <c r="N156" s="211" t="s">
        <v>19</v>
      </c>
      <c r="O156" s="105" t="s">
        <v>215</v>
      </c>
      <c r="P156" s="163" t="s">
        <v>132</v>
      </c>
      <c r="Q156" s="163" t="s">
        <v>132</v>
      </c>
      <c r="R156" s="163" t="s">
        <v>132</v>
      </c>
      <c r="S156" s="165">
        <f ca="1">'Cost of Service and Proposed $'!W126</f>
        <v>45400205.877328254</v>
      </c>
      <c r="W156" s="96"/>
      <c r="Z156"/>
    </row>
    <row r="157" spans="13:26">
      <c r="M157" s="389" t="s">
        <v>469</v>
      </c>
      <c r="N157" s="389" t="s">
        <v>19</v>
      </c>
      <c r="O157" s="389" t="s">
        <v>287</v>
      </c>
      <c r="P157" s="166" t="s">
        <v>132</v>
      </c>
      <c r="Q157" s="99" t="s">
        <v>132</v>
      </c>
      <c r="R157" s="99" t="s">
        <v>271</v>
      </c>
      <c r="S157" s="166">
        <f ca="1">(T157*(U157-V157)+V157*100)/100</f>
        <v>1376198.3565512984</v>
      </c>
      <c r="T157" s="183">
        <f>$T$94</f>
        <v>10</v>
      </c>
      <c r="U157" s="93">
        <f ca="1">S153*(1-SUM(U161:U165)/SUM(S153:S156))</f>
        <v>678141.4734394073</v>
      </c>
      <c r="V157" s="93">
        <f ca="1">SUMIFS(S$117:S$152,R$117:R$152,R157)/SUM(S$117:S$123,S$129:S$135,S$141:S$147)*(SUM(S$153:S$156)-SUM(V$161:V$165))</f>
        <v>1453760.2324526196</v>
      </c>
      <c r="Z157"/>
    </row>
    <row r="158" spans="13:26">
      <c r="M158" s="387" t="s">
        <v>469</v>
      </c>
      <c r="N158" s="387" t="s">
        <v>19</v>
      </c>
      <c r="O158" s="387" t="s">
        <v>287</v>
      </c>
      <c r="P158" s="162" t="s">
        <v>132</v>
      </c>
      <c r="Q158" s="101" t="s">
        <v>132</v>
      </c>
      <c r="R158" s="101" t="s">
        <v>217</v>
      </c>
      <c r="S158" s="162">
        <f t="shared" ref="S158:S165" ca="1" si="28">(T158*(U158-V158)+V158*100)/100</f>
        <v>9581572.0994930808</v>
      </c>
      <c r="T158" s="183">
        <f t="shared" ref="T158:T165" si="29">$T$94</f>
        <v>10</v>
      </c>
      <c r="U158" s="93">
        <f ca="1">S154*(1-SUM(U161:U165)/SUM(S153:S156))</f>
        <v>27345516.946787946</v>
      </c>
      <c r="V158" s="93">
        <f t="shared" ref="V158:V160" ca="1" si="30">SUMIFS(S$117:S$152,R$117:R$152,R158)/SUM(S$117:S$123,S$129:S$135,S$141:S$147)*(SUM(S$153:S$156)-SUM(V$161:V$165))</f>
        <v>7607800.4497936508</v>
      </c>
      <c r="Z158"/>
    </row>
    <row r="159" spans="13:26">
      <c r="M159" s="387" t="s">
        <v>469</v>
      </c>
      <c r="N159" s="387" t="s">
        <v>19</v>
      </c>
      <c r="O159" s="387" t="s">
        <v>287</v>
      </c>
      <c r="P159" s="162" t="s">
        <v>132</v>
      </c>
      <c r="Q159" s="101" t="s">
        <v>132</v>
      </c>
      <c r="R159" s="101" t="s">
        <v>139</v>
      </c>
      <c r="S159" s="162">
        <f t="shared" ca="1" si="28"/>
        <v>14115877.025792988</v>
      </c>
      <c r="T159" s="183">
        <f t="shared" si="29"/>
        <v>10</v>
      </c>
      <c r="U159" s="93">
        <f ca="1">S155*(1-SUM(U161:U165)/SUM(S153:S156))</f>
        <v>7839639.4364918023</v>
      </c>
      <c r="V159" s="93">
        <f t="shared" ca="1" si="30"/>
        <v>14813236.757937564</v>
      </c>
      <c r="Z159"/>
    </row>
    <row r="160" spans="13:26">
      <c r="M160" s="387" t="s">
        <v>469</v>
      </c>
      <c r="N160" s="387" t="s">
        <v>19</v>
      </c>
      <c r="O160" s="387" t="s">
        <v>287</v>
      </c>
      <c r="P160" s="162" t="s">
        <v>132</v>
      </c>
      <c r="Q160" s="101" t="s">
        <v>132</v>
      </c>
      <c r="R160" s="101" t="s">
        <v>4</v>
      </c>
      <c r="S160" s="162">
        <f t="shared" ca="1" si="28"/>
        <v>55382413.312520847</v>
      </c>
      <c r="T160" s="183">
        <f t="shared" si="29"/>
        <v>10</v>
      </c>
      <c r="U160" s="93">
        <f ca="1">S156*(1-SUM(U161:U165)/SUM(S153:S156))</f>
        <v>44592762.93763908</v>
      </c>
      <c r="V160" s="93">
        <f t="shared" ca="1" si="30"/>
        <v>56581263.354174376</v>
      </c>
      <c r="Z160"/>
    </row>
    <row r="161" spans="13:26">
      <c r="M161" s="387" t="s">
        <v>469</v>
      </c>
      <c r="N161" s="387" t="s">
        <v>19</v>
      </c>
      <c r="O161" s="387" t="s">
        <v>287</v>
      </c>
      <c r="P161" s="162" t="s">
        <v>132</v>
      </c>
      <c r="Q161" s="101" t="s">
        <v>132</v>
      </c>
      <c r="R161" s="101" t="s">
        <v>138</v>
      </c>
      <c r="S161" s="162">
        <f t="shared" si="28"/>
        <v>234306.95</v>
      </c>
      <c r="T161" s="183">
        <f t="shared" si="29"/>
        <v>10</v>
      </c>
      <c r="U161" s="93">
        <f>SUMIFS($S$55:$S$89,$R$55:$R$89,R161)</f>
        <v>234306.95</v>
      </c>
      <c r="V161" s="93">
        <f>SUMIFS($S$55:$S$89,$R$55:$R$89,R161)</f>
        <v>234306.95</v>
      </c>
      <c r="Z161"/>
    </row>
    <row r="162" spans="13:26">
      <c r="M162" s="387" t="s">
        <v>469</v>
      </c>
      <c r="N162" s="387" t="s">
        <v>19</v>
      </c>
      <c r="O162" s="387" t="s">
        <v>287</v>
      </c>
      <c r="P162" s="162" t="s">
        <v>132</v>
      </c>
      <c r="Q162" s="101" t="s">
        <v>132</v>
      </c>
      <c r="R162" s="101" t="s">
        <v>303</v>
      </c>
      <c r="S162" s="162">
        <f t="shared" si="28"/>
        <v>-9254.81</v>
      </c>
      <c r="T162" s="183">
        <f t="shared" si="29"/>
        <v>10</v>
      </c>
      <c r="U162" s="93">
        <f t="shared" ref="U162:U165" si="31">SUMIFS($S$55:$S$89,$R$55:$R$89,R162)</f>
        <v>-9254.81</v>
      </c>
      <c r="V162" s="93">
        <f t="shared" ref="V162:V165" si="32">SUMIFS($S$55:$S$89,$R$55:$R$89,R162)</f>
        <v>-9254.81</v>
      </c>
      <c r="Z162"/>
    </row>
    <row r="163" spans="13:26">
      <c r="M163" s="387" t="s">
        <v>469</v>
      </c>
      <c r="N163" s="387" t="s">
        <v>19</v>
      </c>
      <c r="O163" s="387" t="s">
        <v>287</v>
      </c>
      <c r="P163" s="162" t="s">
        <v>132</v>
      </c>
      <c r="Q163" s="101" t="s">
        <v>132</v>
      </c>
      <c r="R163" s="101" t="s">
        <v>294</v>
      </c>
      <c r="S163" s="162">
        <f t="shared" si="28"/>
        <v>-13598.7</v>
      </c>
      <c r="T163" s="183">
        <f t="shared" si="29"/>
        <v>10</v>
      </c>
      <c r="U163" s="93">
        <f t="shared" si="31"/>
        <v>-13598.699999999999</v>
      </c>
      <c r="V163" s="93">
        <f t="shared" si="32"/>
        <v>-13598.699999999999</v>
      </c>
      <c r="Z163"/>
    </row>
    <row r="164" spans="13:26">
      <c r="M164" s="387" t="s">
        <v>469</v>
      </c>
      <c r="N164" s="387" t="s">
        <v>19</v>
      </c>
      <c r="O164" s="387" t="s">
        <v>287</v>
      </c>
      <c r="P164" s="162" t="s">
        <v>132</v>
      </c>
      <c r="Q164" s="101" t="s">
        <v>132</v>
      </c>
      <c r="R164" s="101" t="s">
        <v>304</v>
      </c>
      <c r="S164" s="162">
        <f t="shared" si="28"/>
        <v>7080</v>
      </c>
      <c r="T164" s="183">
        <f t="shared" si="29"/>
        <v>10</v>
      </c>
      <c r="U164" s="93">
        <f t="shared" si="31"/>
        <v>7080</v>
      </c>
      <c r="V164" s="93">
        <f t="shared" si="32"/>
        <v>7080</v>
      </c>
      <c r="Z164"/>
    </row>
    <row r="165" spans="13:26">
      <c r="M165" s="388" t="s">
        <v>469</v>
      </c>
      <c r="N165" s="388" t="s">
        <v>19</v>
      </c>
      <c r="O165" s="388" t="s">
        <v>287</v>
      </c>
      <c r="P165" s="163" t="s">
        <v>132</v>
      </c>
      <c r="Q165" s="105" t="s">
        <v>132</v>
      </c>
      <c r="R165" s="163" t="s">
        <v>105</v>
      </c>
      <c r="S165" s="163">
        <f t="shared" si="28"/>
        <v>1238287.6664754222</v>
      </c>
      <c r="T165" s="183">
        <f t="shared" si="29"/>
        <v>10</v>
      </c>
      <c r="U165" s="93">
        <f t="shared" si="31"/>
        <v>1238287.6664754222</v>
      </c>
      <c r="V165" s="93">
        <f t="shared" si="32"/>
        <v>1238287.6664754222</v>
      </c>
      <c r="Z165"/>
    </row>
    <row r="166" spans="13:26">
      <c r="M166" s="166" t="s">
        <v>440</v>
      </c>
      <c r="N166" s="166" t="s">
        <v>338</v>
      </c>
      <c r="O166" s="389" t="s">
        <v>287</v>
      </c>
      <c r="P166" s="166" t="s">
        <v>132</v>
      </c>
      <c r="Q166" s="99" t="s">
        <v>140</v>
      </c>
      <c r="R166" s="99" t="s">
        <v>271</v>
      </c>
      <c r="S166" s="269">
        <f ca="1">ROUND(T166/100*W166*X166/Y166/Z166,U166)</f>
        <v>225.36</v>
      </c>
      <c r="T166" s="183">
        <f>100+Summary!$Q$10</f>
        <v>105.3</v>
      </c>
      <c r="U166" s="93">
        <v>2</v>
      </c>
      <c r="V166" s="257">
        <f ca="1">W166*X166/Y166/Z166</f>
        <v>214.01352229419447</v>
      </c>
      <c r="W166" s="1">
        <f ca="1">SUMIFS(S$157:S$165,R$157:R$165,R166)</f>
        <v>1376198.3565512984</v>
      </c>
      <c r="X166" s="93">
        <f ca="1">SUMIFS(S$117:S$152,Q$117:Q$152,Q166,R$117:R$152,R166)</f>
        <v>66795.535074335043</v>
      </c>
      <c r="Y166" s="93">
        <f t="shared" ref="Y166:Y176" ca="1" si="33">SUMIFS(S$117:S$152,R$117:R$152,R166)</f>
        <v>1532627.9983820172</v>
      </c>
      <c r="Z166" s="93">
        <f>SUMIFS(S$8:S$39,Q$8:Q$39,Q166,R$8:R$39,R166)</f>
        <v>280.25314707701199</v>
      </c>
    </row>
    <row r="167" spans="13:26">
      <c r="M167" s="162" t="s">
        <v>440</v>
      </c>
      <c r="N167" s="162" t="s">
        <v>338</v>
      </c>
      <c r="O167" s="387" t="s">
        <v>287</v>
      </c>
      <c r="P167" s="162" t="s">
        <v>132</v>
      </c>
      <c r="Q167" s="101" t="s">
        <v>220</v>
      </c>
      <c r="R167" s="101" t="s">
        <v>271</v>
      </c>
      <c r="S167" s="270">
        <f t="shared" ref="S167:S176" ca="1" si="34">ROUND(T167/100*W167*X167/Y167/Z167,U167)</f>
        <v>84.51</v>
      </c>
      <c r="T167" s="183">
        <f>100+Summary!$Q$10</f>
        <v>105.3</v>
      </c>
      <c r="U167" s="93">
        <v>2</v>
      </c>
      <c r="V167" s="257">
        <f t="shared" ref="V167:V177" ca="1" si="35">W167*X167/Y167/Z167</f>
        <v>80.257315694617361</v>
      </c>
      <c r="W167" s="1">
        <f t="shared" ref="W167:W176" ca="1" si="36">SUMIFS(S$157:S$165,R$157:R$165,R167)</f>
        <v>1376198.3565512984</v>
      </c>
      <c r="X167" s="93">
        <f ca="1">SUMIFS(S$117:S$152,Q$117:Q$152,Q167,R$117:R$152,R167)</f>
        <v>776810.19146307395</v>
      </c>
      <c r="Y167" s="93">
        <f t="shared" ca="1" si="33"/>
        <v>1532627.9983820172</v>
      </c>
      <c r="Z167" s="93">
        <f t="shared" ref="Z167:Z176" si="37">SUMIFS(S$8:S$39,Q$8:Q$39,Q167,R$8:R$39,R167)</f>
        <v>8691.0963466443718</v>
      </c>
    </row>
    <row r="168" spans="13:26">
      <c r="M168" s="162" t="s">
        <v>440</v>
      </c>
      <c r="N168" s="162" t="s">
        <v>338</v>
      </c>
      <c r="O168" s="387" t="s">
        <v>287</v>
      </c>
      <c r="P168" s="162" t="s">
        <v>132</v>
      </c>
      <c r="Q168" s="101" t="s">
        <v>141</v>
      </c>
      <c r="R168" s="101" t="s">
        <v>271</v>
      </c>
      <c r="S168" s="270">
        <f t="shared" ca="1" si="34"/>
        <v>168.1</v>
      </c>
      <c r="T168" s="183">
        <f>100+Summary!$Q$10</f>
        <v>105.3</v>
      </c>
      <c r="U168" s="93">
        <v>2</v>
      </c>
      <c r="V168" s="257">
        <f t="shared" ca="1" si="35"/>
        <v>159.64363568299416</v>
      </c>
      <c r="W168" s="1">
        <f t="shared" ca="1" si="36"/>
        <v>1376198.3565512984</v>
      </c>
      <c r="X168" s="93">
        <f ca="1">SUMIFS(S$117:S$152,Q$117:Q$152,Q168,R$117:R$152,R168)</f>
        <v>689022.27184460848</v>
      </c>
      <c r="Y168" s="93">
        <f t="shared" ca="1" si="33"/>
        <v>1532627.9983820172</v>
      </c>
      <c r="Z168" s="93">
        <f t="shared" si="37"/>
        <v>3875.4838396119494</v>
      </c>
    </row>
    <row r="169" spans="13:26">
      <c r="M169" s="162" t="s">
        <v>440</v>
      </c>
      <c r="N169" s="162" t="s">
        <v>338</v>
      </c>
      <c r="O169" s="387" t="s">
        <v>287</v>
      </c>
      <c r="P169" s="162" t="s">
        <v>132</v>
      </c>
      <c r="Q169" s="101" t="s">
        <v>220</v>
      </c>
      <c r="R169" s="101" t="s">
        <v>217</v>
      </c>
      <c r="S169" s="270">
        <f t="shared" ca="1" si="34"/>
        <v>3.25</v>
      </c>
      <c r="T169" s="183">
        <f>100+Summary!$Q$10</f>
        <v>105.3</v>
      </c>
      <c r="U169" s="93">
        <v>2</v>
      </c>
      <c r="V169" s="257">
        <f t="shared" ca="1" si="35"/>
        <v>3.0821473306529947</v>
      </c>
      <c r="W169" s="1">
        <f t="shared" ca="1" si="36"/>
        <v>9581572.0994930808</v>
      </c>
      <c r="X169" s="93">
        <f t="shared" ref="X169:X176" ca="1" si="38">SUMIFS(S$117:S$152,Q$117:Q$152,Q169,R$117:R$152,R169)</f>
        <v>3901986.926</v>
      </c>
      <c r="Y169" s="93">
        <f t="shared" ca="1" si="33"/>
        <v>8020530.2877117116</v>
      </c>
      <c r="Z169" s="93">
        <f t="shared" si="37"/>
        <v>1512398.0333333334</v>
      </c>
    </row>
    <row r="170" spans="13:26">
      <c r="M170" s="162" t="s">
        <v>440</v>
      </c>
      <c r="N170" s="162" t="s">
        <v>338</v>
      </c>
      <c r="O170" s="387" t="s">
        <v>287</v>
      </c>
      <c r="P170" s="162" t="s">
        <v>132</v>
      </c>
      <c r="Q170" s="101" t="s">
        <v>141</v>
      </c>
      <c r="R170" s="101" t="s">
        <v>217</v>
      </c>
      <c r="S170" s="270">
        <f t="shared" ca="1" si="34"/>
        <v>2.67</v>
      </c>
      <c r="T170" s="183">
        <f>100+Summary!$Q$10</f>
        <v>105.3</v>
      </c>
      <c r="U170" s="93">
        <v>2</v>
      </c>
      <c r="V170" s="257">
        <f t="shared" ca="1" si="35"/>
        <v>2.532617186428042</v>
      </c>
      <c r="W170" s="1">
        <f t="shared" ca="1" si="36"/>
        <v>9581572.0994930808</v>
      </c>
      <c r="X170" s="93">
        <f t="shared" ca="1" si="38"/>
        <v>4118543.3617117116</v>
      </c>
      <c r="Y170" s="93">
        <f t="shared" ca="1" si="33"/>
        <v>8020530.2877117116</v>
      </c>
      <c r="Z170" s="93">
        <f t="shared" si="37"/>
        <v>1942709.1328828828</v>
      </c>
    </row>
    <row r="171" spans="13:26">
      <c r="M171" s="162" t="s">
        <v>440</v>
      </c>
      <c r="N171" s="162" t="s">
        <v>338</v>
      </c>
      <c r="O171" s="387" t="s">
        <v>287</v>
      </c>
      <c r="P171" s="162" t="s">
        <v>132</v>
      </c>
      <c r="Q171" s="101" t="s">
        <v>132</v>
      </c>
      <c r="R171" s="101" t="s">
        <v>139</v>
      </c>
      <c r="S171" s="270">
        <f t="shared" ca="1" si="34"/>
        <v>5.81</v>
      </c>
      <c r="T171" s="183">
        <f>100+Summary!$Q$10</f>
        <v>105.3</v>
      </c>
      <c r="U171" s="93">
        <v>2</v>
      </c>
      <c r="V171" s="257">
        <f t="shared" ca="1" si="35"/>
        <v>5.5137080503623785</v>
      </c>
      <c r="W171" s="1">
        <f t="shared" ca="1" si="36"/>
        <v>14115877.025792988</v>
      </c>
      <c r="X171" s="93">
        <f t="shared" ca="1" si="38"/>
        <v>15616867.826666668</v>
      </c>
      <c r="Y171" s="93">
        <f t="shared" ca="1" si="33"/>
        <v>15616867.826666668</v>
      </c>
      <c r="Z171" s="93">
        <f t="shared" si="37"/>
        <v>2560142.2666666666</v>
      </c>
    </row>
    <row r="172" spans="13:26">
      <c r="M172" s="162" t="s">
        <v>440</v>
      </c>
      <c r="N172" s="162" t="s">
        <v>338</v>
      </c>
      <c r="O172" s="387" t="s">
        <v>287</v>
      </c>
      <c r="P172" s="162" t="s">
        <v>132</v>
      </c>
      <c r="Q172" s="101" t="s">
        <v>132</v>
      </c>
      <c r="R172" s="23" t="s">
        <v>4</v>
      </c>
      <c r="S172" s="270">
        <f t="shared" ca="1" si="34"/>
        <v>6.2950000000000006E-2</v>
      </c>
      <c r="T172" s="183">
        <f>100+Summary!$Q$10</f>
        <v>105.3</v>
      </c>
      <c r="U172" s="93">
        <v>5</v>
      </c>
      <c r="V172" s="257">
        <f t="shared" ca="1" si="35"/>
        <v>5.9782447449621336E-2</v>
      </c>
      <c r="W172" s="1">
        <f t="shared" ca="1" si="36"/>
        <v>55382413.312520847</v>
      </c>
      <c r="X172" s="93">
        <f t="shared" ca="1" si="38"/>
        <v>59650846.449509233</v>
      </c>
      <c r="Y172" s="93">
        <f t="shared" ca="1" si="33"/>
        <v>59650846.449509233</v>
      </c>
      <c r="Z172" s="93">
        <f>SUMIFS(S$8:S$39,Q$8:Q$39,Q172,R$8:R$39,"kWh*")</f>
        <v>926399230.4629482</v>
      </c>
    </row>
    <row r="173" spans="13:26">
      <c r="M173" s="162" t="s">
        <v>440</v>
      </c>
      <c r="N173" s="162" t="s">
        <v>338</v>
      </c>
      <c r="O173" s="387" t="s">
        <v>287</v>
      </c>
      <c r="P173" s="162" t="s">
        <v>132</v>
      </c>
      <c r="Q173" s="101" t="s">
        <v>132</v>
      </c>
      <c r="R173" s="101" t="s">
        <v>138</v>
      </c>
      <c r="S173" s="270">
        <f t="shared" si="34"/>
        <v>0.61</v>
      </c>
      <c r="T173" s="183">
        <f>100+Summary!$Q$10</f>
        <v>105.3</v>
      </c>
      <c r="U173" s="93">
        <v>2</v>
      </c>
      <c r="V173" s="257">
        <f t="shared" si="35"/>
        <v>0.58000000000000007</v>
      </c>
      <c r="W173" s="1">
        <f t="shared" si="36"/>
        <v>234306.95</v>
      </c>
      <c r="X173" s="93">
        <f t="shared" si="38"/>
        <v>246426.27499999999</v>
      </c>
      <c r="Y173" s="93">
        <f t="shared" si="33"/>
        <v>246426.27499999999</v>
      </c>
      <c r="Z173" s="93">
        <f t="shared" si="37"/>
        <v>403977.5</v>
      </c>
    </row>
    <row r="174" spans="13:26">
      <c r="M174" s="162" t="s">
        <v>440</v>
      </c>
      <c r="N174" s="162" t="s">
        <v>338</v>
      </c>
      <c r="O174" s="387" t="s">
        <v>287</v>
      </c>
      <c r="P174" s="162" t="s">
        <v>132</v>
      </c>
      <c r="Q174" s="101" t="s">
        <v>132</v>
      </c>
      <c r="R174" s="101" t="s">
        <v>303</v>
      </c>
      <c r="S174" s="270">
        <f t="shared" si="34"/>
        <v>-0.01</v>
      </c>
      <c r="T174" s="449">
        <v>100</v>
      </c>
      <c r="U174" s="93">
        <v>2</v>
      </c>
      <c r="V174" s="257">
        <f t="shared" si="35"/>
        <v>-0.01</v>
      </c>
      <c r="W174" s="1">
        <f t="shared" si="36"/>
        <v>-9254.81</v>
      </c>
      <c r="X174" s="93">
        <f t="shared" si="38"/>
        <v>-9254.81</v>
      </c>
      <c r="Y174" s="93">
        <f t="shared" si="33"/>
        <v>-9254.81</v>
      </c>
      <c r="Z174" s="93">
        <f t="shared" si="37"/>
        <v>925481</v>
      </c>
    </row>
    <row r="175" spans="13:26">
      <c r="M175" s="162" t="s">
        <v>440</v>
      </c>
      <c r="N175" s="162" t="s">
        <v>338</v>
      </c>
      <c r="O175" s="387" t="s">
        <v>287</v>
      </c>
      <c r="P175" s="162" t="s">
        <v>132</v>
      </c>
      <c r="Q175" s="101" t="s">
        <v>132</v>
      </c>
      <c r="R175" s="101" t="s">
        <v>294</v>
      </c>
      <c r="S175" s="270">
        <f t="shared" si="34"/>
        <v>-0.3</v>
      </c>
      <c r="T175" s="449">
        <v>100</v>
      </c>
      <c r="U175" s="93">
        <v>2</v>
      </c>
      <c r="V175" s="257">
        <f t="shared" si="35"/>
        <v>-0.3</v>
      </c>
      <c r="W175" s="1">
        <f t="shared" si="36"/>
        <v>-13598.7</v>
      </c>
      <c r="X175" s="93">
        <f t="shared" si="38"/>
        <v>-13598.699999999999</v>
      </c>
      <c r="Y175" s="93">
        <f t="shared" si="33"/>
        <v>-13598.699999999999</v>
      </c>
      <c r="Z175" s="93">
        <f t="shared" si="37"/>
        <v>45329</v>
      </c>
    </row>
    <row r="176" spans="13:26">
      <c r="M176" s="162" t="s">
        <v>440</v>
      </c>
      <c r="N176" s="162" t="s">
        <v>338</v>
      </c>
      <c r="O176" s="387" t="s">
        <v>287</v>
      </c>
      <c r="P176" s="162" t="s">
        <v>132</v>
      </c>
      <c r="Q176" s="101" t="s">
        <v>132</v>
      </c>
      <c r="R176" s="101" t="s">
        <v>304</v>
      </c>
      <c r="S176" s="270">
        <f t="shared" si="34"/>
        <v>60</v>
      </c>
      <c r="T176" s="449">
        <v>100</v>
      </c>
      <c r="U176" s="93">
        <v>2</v>
      </c>
      <c r="V176" s="257">
        <f t="shared" si="35"/>
        <v>60</v>
      </c>
      <c r="W176" s="1">
        <f t="shared" si="36"/>
        <v>7080</v>
      </c>
      <c r="X176" s="93">
        <f t="shared" si="38"/>
        <v>7080</v>
      </c>
      <c r="Y176" s="93">
        <f t="shared" si="33"/>
        <v>7080</v>
      </c>
      <c r="Z176" s="93">
        <f t="shared" si="37"/>
        <v>118</v>
      </c>
    </row>
    <row r="177" spans="13:28">
      <c r="M177" s="162" t="s">
        <v>440</v>
      </c>
      <c r="N177" s="162" t="s">
        <v>338</v>
      </c>
      <c r="O177" s="387" t="s">
        <v>423</v>
      </c>
      <c r="P177" s="162" t="s">
        <v>132</v>
      </c>
      <c r="Q177" s="162" t="s">
        <v>132</v>
      </c>
      <c r="R177" s="162" t="s">
        <v>271</v>
      </c>
      <c r="S177" s="270">
        <f ca="1">ROUND(T177/100*W177*X177/Y177/Z177,U177)</f>
        <v>16.579999999999998</v>
      </c>
      <c r="T177" s="183">
        <f>100+Summary!$Q$10</f>
        <v>105.3</v>
      </c>
      <c r="U177" s="93">
        <v>2</v>
      </c>
      <c r="V177" s="257">
        <f t="shared" ca="1" si="35"/>
        <v>15.744055555617017</v>
      </c>
      <c r="W177" s="1">
        <f ca="1">Sch.24!S183+S157</f>
        <v>4134597.0692447559</v>
      </c>
      <c r="X177" s="5">
        <v>1</v>
      </c>
      <c r="Y177" s="5">
        <v>1</v>
      </c>
      <c r="Z177" s="93">
        <f>Sch.24!Z192+Sch.24!Z194+Z166+Z167+Z168</f>
        <v>262613.2164383562</v>
      </c>
    </row>
    <row r="178" spans="13:28">
      <c r="M178" s="162" t="s">
        <v>440</v>
      </c>
      <c r="N178" s="162" t="s">
        <v>338</v>
      </c>
      <c r="O178" s="387" t="s">
        <v>423</v>
      </c>
      <c r="P178" s="162" t="s">
        <v>132</v>
      </c>
      <c r="Q178" s="162" t="s">
        <v>132</v>
      </c>
      <c r="R178" s="56" t="s">
        <v>134</v>
      </c>
      <c r="S178" s="270">
        <f ca="1">ROUND(T178/100*W178*X178/Y178/Z178,U178)+AA178+AB178</f>
        <v>0.20428000000000002</v>
      </c>
      <c r="T178" s="183">
        <f>100+Summary!$Q$10</f>
        <v>105.3</v>
      </c>
      <c r="U178" s="93">
        <v>5</v>
      </c>
      <c r="V178" s="257">
        <f ca="1">W178*X178/Y178/Z178+AA178+AB178</f>
        <v>0.19954327874351874</v>
      </c>
      <c r="W178" s="1">
        <f ca="1">SUM(Sch.24!S184:S190,S158:S164)</f>
        <v>131321262.69916236</v>
      </c>
      <c r="X178" s="1">
        <v>1</v>
      </c>
      <c r="Y178" s="1">
        <v>1</v>
      </c>
      <c r="Z178" s="93">
        <f>Sch.24!Z199+Sch.24!Z201+Z172</f>
        <v>1470508860.8932304</v>
      </c>
      <c r="AA178" s="460">
        <f ca="1">ROUND((S115-S116)*(1-AE115/100),5)</f>
        <v>9.7189999999999999E-2</v>
      </c>
      <c r="AB178" s="289">
        <f>ROUND(0.01866*(1-AE116/100),5)</f>
        <v>1.3050000000000001E-2</v>
      </c>
    </row>
    <row r="179" spans="13:28">
      <c r="M179" s="163" t="s">
        <v>440</v>
      </c>
      <c r="N179" s="163" t="s">
        <v>338</v>
      </c>
      <c r="O179" s="388" t="s">
        <v>423</v>
      </c>
      <c r="P179" s="163" t="s">
        <v>132</v>
      </c>
      <c r="Q179" s="163" t="s">
        <v>132</v>
      </c>
      <c r="R179" s="362" t="s">
        <v>135</v>
      </c>
      <c r="S179" s="271">
        <f ca="1">ROUND(T179/100*W179*X179/Y179/Z179,U179)+AA179+AB179</f>
        <v>8.9560000000000001E-2</v>
      </c>
      <c r="T179" s="183">
        <f>100+Summary!$Q$10</f>
        <v>105.3</v>
      </c>
      <c r="U179" s="93">
        <v>5</v>
      </c>
      <c r="V179" s="257">
        <f ca="1">W179*X179/Y179/Z179+AA179+AB179</f>
        <v>8.4823278743518735E-2</v>
      </c>
      <c r="W179" s="1">
        <f ca="1">SUM(Sch.24!S184:S190,S158:S164)</f>
        <v>131321262.69916236</v>
      </c>
      <c r="X179" s="1">
        <v>1</v>
      </c>
      <c r="Y179" s="1">
        <v>1</v>
      </c>
      <c r="Z179" s="93">
        <f>Sch.24!Z199+Sch.24!Z201+Z172</f>
        <v>1470508860.8932304</v>
      </c>
      <c r="AA179" s="460">
        <f ca="1">ROUND((S116-S115)*AE115/100,5)</f>
        <v>-1.753E-2</v>
      </c>
      <c r="AB179" s="289">
        <f>ROUND(0.01866*(1-AE116/100),5)</f>
        <v>1.3050000000000001E-2</v>
      </c>
    </row>
    <row r="180" spans="13:28">
      <c r="M180" s="166" t="s">
        <v>440</v>
      </c>
      <c r="N180" s="166" t="s">
        <v>19</v>
      </c>
      <c r="O180" s="389" t="s">
        <v>215</v>
      </c>
      <c r="P180" s="99" t="s">
        <v>2</v>
      </c>
      <c r="Q180" s="99" t="s">
        <v>140</v>
      </c>
      <c r="R180" s="99" t="s">
        <v>271</v>
      </c>
      <c r="S180" s="167">
        <f t="shared" ref="S180:S215" ca="1" si="39">IF(R180="Unbilled",SUMIFS(S$117:S$152,P$117:P$152,P180,R$117:R$152,R180),SUMIFS(S$166:S$176,Q$166:Q$176,Q180,R$166:R$176,R180)*U180)</f>
        <v>450.72</v>
      </c>
      <c r="T180" s="93">
        <f t="shared" ref="T180:T215" ca="1" si="40">IF(R180="Unbilled",SUMIFS(S$117:S$152,P$117:P$152,P180,R$117:R$152,R180),SUMIFS(V$166:V$176,Q$166:Q$176,Q180,R$166:R$176,R180)*U180)</f>
        <v>428.02704458838895</v>
      </c>
      <c r="U180" s="93">
        <f t="shared" ref="U180:U185" si="41">SUMIFS(S$8:S$39,P$8:P$39,P180,Q$8:Q$39,Q180,R$8:R$39,R180)</f>
        <v>2</v>
      </c>
      <c r="Z180"/>
    </row>
    <row r="181" spans="13:28">
      <c r="M181" s="162" t="s">
        <v>440</v>
      </c>
      <c r="N181" s="162" t="s">
        <v>19</v>
      </c>
      <c r="O181" s="387" t="s">
        <v>215</v>
      </c>
      <c r="P181" s="101" t="s">
        <v>2</v>
      </c>
      <c r="Q181" s="101" t="s">
        <v>220</v>
      </c>
      <c r="R181" s="101" t="s">
        <v>271</v>
      </c>
      <c r="S181" s="164">
        <f t="shared" ca="1" si="39"/>
        <v>3126.8700000000003</v>
      </c>
      <c r="T181" s="93">
        <f t="shared" ca="1" si="40"/>
        <v>2969.5206807008421</v>
      </c>
      <c r="U181" s="93">
        <f t="shared" si="41"/>
        <v>37</v>
      </c>
      <c r="Z181"/>
    </row>
    <row r="182" spans="13:28">
      <c r="M182" s="162" t="s">
        <v>440</v>
      </c>
      <c r="N182" s="162" t="s">
        <v>19</v>
      </c>
      <c r="O182" s="387" t="s">
        <v>215</v>
      </c>
      <c r="P182" s="101" t="s">
        <v>2</v>
      </c>
      <c r="Q182" s="101" t="s">
        <v>141</v>
      </c>
      <c r="R182" s="101" t="s">
        <v>271</v>
      </c>
      <c r="S182" s="164">
        <f t="shared" ca="1" si="39"/>
        <v>1176.7</v>
      </c>
      <c r="T182" s="93">
        <f t="shared" ca="1" si="40"/>
        <v>1117.5054497809592</v>
      </c>
      <c r="U182" s="93">
        <f t="shared" si="41"/>
        <v>7</v>
      </c>
      <c r="Z182"/>
    </row>
    <row r="183" spans="13:28">
      <c r="M183" s="162" t="s">
        <v>440</v>
      </c>
      <c r="N183" s="162" t="s">
        <v>19</v>
      </c>
      <c r="O183" s="387" t="s">
        <v>215</v>
      </c>
      <c r="P183" s="101" t="s">
        <v>2</v>
      </c>
      <c r="Q183" s="101" t="s">
        <v>220</v>
      </c>
      <c r="R183" s="101" t="s">
        <v>217</v>
      </c>
      <c r="S183" s="164">
        <f t="shared" ca="1" si="39"/>
        <v>17137.25</v>
      </c>
      <c r="T183" s="93">
        <f t="shared" ca="1" si="40"/>
        <v>16252.162874533242</v>
      </c>
      <c r="U183" s="93">
        <f t="shared" si="41"/>
        <v>5273</v>
      </c>
      <c r="Z183"/>
    </row>
    <row r="184" spans="13:28">
      <c r="M184" s="162" t="s">
        <v>440</v>
      </c>
      <c r="N184" s="162" t="s">
        <v>19</v>
      </c>
      <c r="O184" s="387" t="s">
        <v>215</v>
      </c>
      <c r="P184" s="101" t="s">
        <v>2</v>
      </c>
      <c r="Q184" s="101" t="s">
        <v>141</v>
      </c>
      <c r="R184" s="101" t="s">
        <v>217</v>
      </c>
      <c r="S184" s="164">
        <f t="shared" ca="1" si="39"/>
        <v>5785.8899999999994</v>
      </c>
      <c r="T184" s="93">
        <f t="shared" ca="1" si="40"/>
        <v>5488.1814429895667</v>
      </c>
      <c r="U184" s="93">
        <f t="shared" si="41"/>
        <v>2167</v>
      </c>
      <c r="Z184"/>
    </row>
    <row r="185" spans="13:28">
      <c r="M185" s="162" t="s">
        <v>440</v>
      </c>
      <c r="N185" s="162" t="s">
        <v>19</v>
      </c>
      <c r="O185" s="387" t="s">
        <v>215</v>
      </c>
      <c r="P185" s="101" t="s">
        <v>2</v>
      </c>
      <c r="Q185" s="101" t="s">
        <v>132</v>
      </c>
      <c r="R185" s="101" t="s">
        <v>139</v>
      </c>
      <c r="S185" s="164">
        <f t="shared" ca="1" si="39"/>
        <v>34122.129999999997</v>
      </c>
      <c r="T185" s="93">
        <f t="shared" ca="1" si="40"/>
        <v>32382.00737977825</v>
      </c>
      <c r="U185" s="93">
        <f t="shared" si="41"/>
        <v>5873</v>
      </c>
      <c r="Z185"/>
    </row>
    <row r="186" spans="13:28">
      <c r="M186" s="162" t="s">
        <v>440</v>
      </c>
      <c r="N186" s="162" t="s">
        <v>19</v>
      </c>
      <c r="O186" s="387" t="s">
        <v>215</v>
      </c>
      <c r="P186" s="101" t="s">
        <v>2</v>
      </c>
      <c r="Q186" s="101" t="s">
        <v>132</v>
      </c>
      <c r="R186" s="23" t="s">
        <v>4</v>
      </c>
      <c r="S186" s="164">
        <f t="shared" ca="1" si="39"/>
        <v>144224.71761786251</v>
      </c>
      <c r="T186" s="93">
        <f t="shared" ca="1" si="40"/>
        <v>136967.53934751931</v>
      </c>
      <c r="U186" s="93">
        <f>SUMIFS(S$8:S$39,P$8:P$39,P186,Q$8:Q$39,Q186,R$8:R$39,"kWh*")</f>
        <v>2291099.5650176727</v>
      </c>
      <c r="Z186"/>
    </row>
    <row r="187" spans="13:28">
      <c r="M187" s="162" t="s">
        <v>440</v>
      </c>
      <c r="N187" s="162" t="s">
        <v>19</v>
      </c>
      <c r="O187" s="387" t="s">
        <v>215</v>
      </c>
      <c r="P187" s="101" t="s">
        <v>2</v>
      </c>
      <c r="Q187" s="101" t="s">
        <v>132</v>
      </c>
      <c r="R187" s="101" t="s">
        <v>138</v>
      </c>
      <c r="S187" s="164">
        <f t="shared" si="39"/>
        <v>0</v>
      </c>
      <c r="T187" s="93">
        <f t="shared" si="40"/>
        <v>0</v>
      </c>
      <c r="U187" s="93">
        <f t="shared" ref="U187:U197" si="42">SUMIFS(S$8:S$39,P$8:P$39,P187,Q$8:Q$39,Q187,R$8:R$39,R187)</f>
        <v>0</v>
      </c>
      <c r="Z187"/>
    </row>
    <row r="188" spans="13:28">
      <c r="M188" s="162" t="s">
        <v>440</v>
      </c>
      <c r="N188" s="162" t="s">
        <v>19</v>
      </c>
      <c r="O188" s="387" t="s">
        <v>215</v>
      </c>
      <c r="P188" s="101" t="s">
        <v>2</v>
      </c>
      <c r="Q188" s="101" t="s">
        <v>132</v>
      </c>
      <c r="R188" s="101" t="s">
        <v>303</v>
      </c>
      <c r="S188" s="164">
        <f t="shared" si="39"/>
        <v>0</v>
      </c>
      <c r="T188" s="93">
        <f t="shared" si="40"/>
        <v>0</v>
      </c>
      <c r="U188" s="93">
        <f t="shared" si="42"/>
        <v>0</v>
      </c>
      <c r="Z188"/>
    </row>
    <row r="189" spans="13:28">
      <c r="M189" s="162" t="s">
        <v>440</v>
      </c>
      <c r="N189" s="162" t="s">
        <v>19</v>
      </c>
      <c r="O189" s="387" t="s">
        <v>215</v>
      </c>
      <c r="P189" s="101" t="s">
        <v>2</v>
      </c>
      <c r="Q189" s="101" t="s">
        <v>132</v>
      </c>
      <c r="R189" s="101" t="s">
        <v>294</v>
      </c>
      <c r="S189" s="164">
        <f t="shared" si="39"/>
        <v>0</v>
      </c>
      <c r="T189" s="93">
        <f t="shared" si="40"/>
        <v>0</v>
      </c>
      <c r="U189" s="93">
        <f t="shared" si="42"/>
        <v>0</v>
      </c>
      <c r="Z189"/>
    </row>
    <row r="190" spans="13:28">
      <c r="M190" s="162" t="s">
        <v>440</v>
      </c>
      <c r="N190" s="162" t="s">
        <v>19</v>
      </c>
      <c r="O190" s="387" t="s">
        <v>215</v>
      </c>
      <c r="P190" s="101" t="s">
        <v>2</v>
      </c>
      <c r="Q190" s="101" t="s">
        <v>132</v>
      </c>
      <c r="R190" s="101" t="s">
        <v>304</v>
      </c>
      <c r="S190" s="164">
        <f t="shared" si="39"/>
        <v>0</v>
      </c>
      <c r="T190" s="93">
        <f t="shared" si="40"/>
        <v>0</v>
      </c>
      <c r="U190" s="93">
        <f t="shared" si="42"/>
        <v>0</v>
      </c>
      <c r="Z190"/>
    </row>
    <row r="191" spans="13:28">
      <c r="M191" s="162" t="s">
        <v>440</v>
      </c>
      <c r="N191" s="162" t="s">
        <v>19</v>
      </c>
      <c r="O191" s="387" t="s">
        <v>215</v>
      </c>
      <c r="P191" s="101" t="s">
        <v>2</v>
      </c>
      <c r="Q191" s="55" t="s">
        <v>132</v>
      </c>
      <c r="R191" s="162" t="s">
        <v>105</v>
      </c>
      <c r="S191" s="164">
        <f t="shared" si="39"/>
        <v>6831.3392740641229</v>
      </c>
      <c r="T191" s="93">
        <f t="shared" si="40"/>
        <v>6831.3392740641229</v>
      </c>
      <c r="U191" s="93">
        <f t="shared" si="42"/>
        <v>0</v>
      </c>
      <c r="Z191"/>
    </row>
    <row r="192" spans="13:28">
      <c r="M192" s="162" t="s">
        <v>440</v>
      </c>
      <c r="N192" s="162" t="s">
        <v>19</v>
      </c>
      <c r="O192" s="387" t="s">
        <v>215</v>
      </c>
      <c r="P192" s="55" t="s">
        <v>3</v>
      </c>
      <c r="Q192" s="101" t="s">
        <v>140</v>
      </c>
      <c r="R192" s="101" t="s">
        <v>271</v>
      </c>
      <c r="S192" s="164">
        <f t="shared" ca="1" si="39"/>
        <v>52167.793225275425</v>
      </c>
      <c r="T192" s="93">
        <f t="shared" ca="1" si="40"/>
        <v>49541.237036104052</v>
      </c>
      <c r="U192" s="93">
        <f t="shared" si="42"/>
        <v>231.48648041034534</v>
      </c>
      <c r="Z192"/>
    </row>
    <row r="193" spans="13:26">
      <c r="M193" s="162" t="s">
        <v>440</v>
      </c>
      <c r="N193" s="162" t="s">
        <v>19</v>
      </c>
      <c r="O193" s="387" t="s">
        <v>215</v>
      </c>
      <c r="P193" s="55" t="s">
        <v>3</v>
      </c>
      <c r="Q193" s="101" t="s">
        <v>220</v>
      </c>
      <c r="R193" s="101" t="s">
        <v>271</v>
      </c>
      <c r="S193" s="164">
        <f t="shared" ca="1" si="39"/>
        <v>676375.47625491582</v>
      </c>
      <c r="T193" s="93">
        <f t="shared" ca="1" si="40"/>
        <v>642339.13295335404</v>
      </c>
      <c r="U193" s="93">
        <f t="shared" si="42"/>
        <v>8003.4963466443714</v>
      </c>
      <c r="Z193"/>
    </row>
    <row r="194" spans="13:26">
      <c r="M194" s="162" t="s">
        <v>440</v>
      </c>
      <c r="N194" s="162" t="s">
        <v>19</v>
      </c>
      <c r="O194" s="387" t="s">
        <v>215</v>
      </c>
      <c r="P194" s="55" t="s">
        <v>3</v>
      </c>
      <c r="Q194" s="101" t="s">
        <v>141</v>
      </c>
      <c r="R194" s="101" t="s">
        <v>271</v>
      </c>
      <c r="S194" s="164">
        <f t="shared" ca="1" si="39"/>
        <v>574479.0334387687</v>
      </c>
      <c r="T194" s="93">
        <f t="shared" ca="1" si="40"/>
        <v>545579.54504353006</v>
      </c>
      <c r="U194" s="93">
        <f t="shared" si="42"/>
        <v>3417.4838396119494</v>
      </c>
      <c r="Z194"/>
    </row>
    <row r="195" spans="13:26">
      <c r="M195" s="162" t="s">
        <v>440</v>
      </c>
      <c r="N195" s="162" t="s">
        <v>19</v>
      </c>
      <c r="O195" s="387" t="s">
        <v>215</v>
      </c>
      <c r="P195" s="55" t="s">
        <v>3</v>
      </c>
      <c r="Q195" s="101" t="s">
        <v>220</v>
      </c>
      <c r="R195" s="101" t="s">
        <v>217</v>
      </c>
      <c r="S195" s="164">
        <f t="shared" ca="1" si="39"/>
        <v>4515564.1916666664</v>
      </c>
      <c r="T195" s="93">
        <f t="shared" ca="1" si="40"/>
        <v>4282348.9599192813</v>
      </c>
      <c r="U195" s="93">
        <f t="shared" si="42"/>
        <v>1389404.3666666667</v>
      </c>
      <c r="Z195"/>
    </row>
    <row r="196" spans="13:26">
      <c r="M196" s="162" t="s">
        <v>440</v>
      </c>
      <c r="N196" s="162" t="s">
        <v>19</v>
      </c>
      <c r="O196" s="387" t="s">
        <v>215</v>
      </c>
      <c r="P196" s="55" t="s">
        <v>3</v>
      </c>
      <c r="Q196" s="101" t="s">
        <v>141</v>
      </c>
      <c r="R196" s="101" t="s">
        <v>217</v>
      </c>
      <c r="S196" s="164">
        <f t="shared" ca="1" si="39"/>
        <v>4511200.3147972971</v>
      </c>
      <c r="T196" s="93">
        <f t="shared" ca="1" si="40"/>
        <v>4279079.9433240555</v>
      </c>
      <c r="U196" s="93">
        <f t="shared" si="42"/>
        <v>1689588.1328828828</v>
      </c>
      <c r="Z196"/>
    </row>
    <row r="197" spans="13:26">
      <c r="M197" s="162" t="s">
        <v>440</v>
      </c>
      <c r="N197" s="162" t="s">
        <v>19</v>
      </c>
      <c r="O197" s="387" t="s">
        <v>215</v>
      </c>
      <c r="P197" s="55" t="s">
        <v>3</v>
      </c>
      <c r="Q197" s="101" t="s">
        <v>132</v>
      </c>
      <c r="R197" s="101" t="s">
        <v>139</v>
      </c>
      <c r="S197" s="164">
        <f t="shared" ca="1" si="39"/>
        <v>13176455.424999999</v>
      </c>
      <c r="T197" s="93">
        <f t="shared" ca="1" si="40"/>
        <v>12504497.13460646</v>
      </c>
      <c r="U197" s="93">
        <f t="shared" si="42"/>
        <v>2267892.5</v>
      </c>
      <c r="Z197"/>
    </row>
    <row r="198" spans="13:26">
      <c r="M198" s="162" t="s">
        <v>440</v>
      </c>
      <c r="N198" s="162" t="s">
        <v>19</v>
      </c>
      <c r="O198" s="387" t="s">
        <v>215</v>
      </c>
      <c r="P198" s="55" t="s">
        <v>3</v>
      </c>
      <c r="Q198" s="101" t="s">
        <v>132</v>
      </c>
      <c r="R198" s="23" t="s">
        <v>4</v>
      </c>
      <c r="S198" s="164">
        <f t="shared" ca="1" si="39"/>
        <v>52668988.127337545</v>
      </c>
      <c r="T198" s="93">
        <f t="shared" ca="1" si="40"/>
        <v>50018761.158813134</v>
      </c>
      <c r="U198" s="93">
        <f>SUMIFS(S$8:S$39,P$8:P$39,P198,Q$8:Q$39,Q198,R$8:R$39,"kWh*")</f>
        <v>836679716.08161306</v>
      </c>
      <c r="Z198"/>
    </row>
    <row r="199" spans="13:26">
      <c r="M199" s="162" t="s">
        <v>440</v>
      </c>
      <c r="N199" s="162" t="s">
        <v>19</v>
      </c>
      <c r="O199" s="387" t="s">
        <v>215</v>
      </c>
      <c r="P199" s="55" t="s">
        <v>3</v>
      </c>
      <c r="Q199" s="101" t="s">
        <v>132</v>
      </c>
      <c r="R199" s="101" t="s">
        <v>138</v>
      </c>
      <c r="S199" s="164">
        <f t="shared" si="39"/>
        <v>196766.94275862069</v>
      </c>
      <c r="T199" s="93">
        <f t="shared" si="40"/>
        <v>187089.88000000003</v>
      </c>
      <c r="U199" s="93">
        <f t="shared" ref="U199:U209" si="43">SUMIFS(S$8:S$39,P$8:P$39,P199,Q$8:Q$39,Q199,R$8:R$39,R199)</f>
        <v>322568.75862068968</v>
      </c>
      <c r="Z199"/>
    </row>
    <row r="200" spans="13:26">
      <c r="M200" s="162" t="s">
        <v>440</v>
      </c>
      <c r="N200" s="162" t="s">
        <v>19</v>
      </c>
      <c r="O200" s="387" t="s">
        <v>215</v>
      </c>
      <c r="P200" s="55" t="s">
        <v>3</v>
      </c>
      <c r="Q200" s="101" t="s">
        <v>132</v>
      </c>
      <c r="R200" s="101" t="s">
        <v>303</v>
      </c>
      <c r="S200" s="164">
        <f t="shared" si="39"/>
        <v>-9070.42</v>
      </c>
      <c r="T200" s="93">
        <f t="shared" si="40"/>
        <v>-9070.42</v>
      </c>
      <c r="U200" s="93">
        <f t="shared" si="43"/>
        <v>907042</v>
      </c>
      <c r="Z200"/>
    </row>
    <row r="201" spans="13:26">
      <c r="M201" s="162" t="s">
        <v>440</v>
      </c>
      <c r="N201" s="162" t="s">
        <v>19</v>
      </c>
      <c r="O201" s="387" t="s">
        <v>215</v>
      </c>
      <c r="P201" s="55" t="s">
        <v>3</v>
      </c>
      <c r="Q201" s="101" t="s">
        <v>132</v>
      </c>
      <c r="R201" s="101" t="s">
        <v>294</v>
      </c>
      <c r="S201" s="164">
        <f t="shared" si="39"/>
        <v>-13342.199999999999</v>
      </c>
      <c r="T201" s="93">
        <f t="shared" si="40"/>
        <v>-13342.199999999999</v>
      </c>
      <c r="U201" s="93">
        <f t="shared" si="43"/>
        <v>44474</v>
      </c>
      <c r="Z201"/>
    </row>
    <row r="202" spans="13:26">
      <c r="M202" s="162" t="s">
        <v>440</v>
      </c>
      <c r="N202" s="162" t="s">
        <v>19</v>
      </c>
      <c r="O202" s="387" t="s">
        <v>215</v>
      </c>
      <c r="P202" s="55" t="s">
        <v>3</v>
      </c>
      <c r="Q202" s="101" t="s">
        <v>132</v>
      </c>
      <c r="R202" s="101" t="s">
        <v>304</v>
      </c>
      <c r="S202" s="164">
        <f t="shared" si="39"/>
        <v>6480</v>
      </c>
      <c r="T202" s="93">
        <f t="shared" si="40"/>
        <v>6480</v>
      </c>
      <c r="U202" s="93">
        <f t="shared" si="43"/>
        <v>108</v>
      </c>
      <c r="Z202"/>
    </row>
    <row r="203" spans="13:26">
      <c r="M203" s="162" t="s">
        <v>440</v>
      </c>
      <c r="N203" s="162" t="s">
        <v>19</v>
      </c>
      <c r="O203" s="387" t="s">
        <v>215</v>
      </c>
      <c r="P203" s="55" t="s">
        <v>3</v>
      </c>
      <c r="Q203" s="55" t="s">
        <v>132</v>
      </c>
      <c r="R203" s="162" t="s">
        <v>105</v>
      </c>
      <c r="S203" s="164">
        <f t="shared" si="39"/>
        <v>1072849.6731901476</v>
      </c>
      <c r="T203" s="93">
        <f t="shared" si="40"/>
        <v>1072849.6731901476</v>
      </c>
      <c r="U203" s="93">
        <f t="shared" si="43"/>
        <v>0</v>
      </c>
      <c r="Z203"/>
    </row>
    <row r="204" spans="13:26">
      <c r="M204" s="162" t="s">
        <v>440</v>
      </c>
      <c r="N204" s="162" t="s">
        <v>19</v>
      </c>
      <c r="O204" s="387" t="s">
        <v>215</v>
      </c>
      <c r="P204" s="101" t="s">
        <v>5</v>
      </c>
      <c r="Q204" s="101" t="s">
        <v>140</v>
      </c>
      <c r="R204" s="101" t="s">
        <v>271</v>
      </c>
      <c r="S204" s="164">
        <f t="shared" ca="1" si="39"/>
        <v>10539.336000000001</v>
      </c>
      <c r="T204" s="93">
        <f t="shared" ca="1" si="40"/>
        <v>10008.699059291828</v>
      </c>
      <c r="U204" s="93">
        <f t="shared" si="43"/>
        <v>46.766666666666666</v>
      </c>
      <c r="Z204"/>
    </row>
    <row r="205" spans="13:26">
      <c r="M205" s="162" t="s">
        <v>440</v>
      </c>
      <c r="N205" s="162" t="s">
        <v>19</v>
      </c>
      <c r="O205" s="387" t="s">
        <v>215</v>
      </c>
      <c r="P205" s="101" t="s">
        <v>5</v>
      </c>
      <c r="Q205" s="101" t="s">
        <v>220</v>
      </c>
      <c r="R205" s="101" t="s">
        <v>271</v>
      </c>
      <c r="S205" s="164">
        <f t="shared" ca="1" si="39"/>
        <v>54982.206000000006</v>
      </c>
      <c r="T205" s="93">
        <f t="shared" ca="1" si="40"/>
        <v>52215.409590918054</v>
      </c>
      <c r="U205" s="93">
        <f t="shared" si="43"/>
        <v>650.6</v>
      </c>
      <c r="Z205"/>
    </row>
    <row r="206" spans="13:26">
      <c r="M206" s="162" t="s">
        <v>440</v>
      </c>
      <c r="N206" s="162" t="s">
        <v>19</v>
      </c>
      <c r="O206" s="387" t="s">
        <v>215</v>
      </c>
      <c r="P206" s="101" t="s">
        <v>5</v>
      </c>
      <c r="Q206" s="101" t="s">
        <v>141</v>
      </c>
      <c r="R206" s="101" t="s">
        <v>271</v>
      </c>
      <c r="S206" s="164">
        <f t="shared" ca="1" si="39"/>
        <v>75813.099999999991</v>
      </c>
      <c r="T206" s="93">
        <f t="shared" ca="1" si="40"/>
        <v>71999.279693030359</v>
      </c>
      <c r="U206" s="93">
        <f t="shared" si="43"/>
        <v>451</v>
      </c>
      <c r="Z206"/>
    </row>
    <row r="207" spans="13:26">
      <c r="M207" s="162" t="s">
        <v>440</v>
      </c>
      <c r="N207" s="162" t="s">
        <v>19</v>
      </c>
      <c r="O207" s="387" t="s">
        <v>215</v>
      </c>
      <c r="P207" s="101" t="s">
        <v>5</v>
      </c>
      <c r="Q207" s="101" t="s">
        <v>220</v>
      </c>
      <c r="R207" s="101" t="s">
        <v>217</v>
      </c>
      <c r="S207" s="164">
        <f t="shared" ca="1" si="39"/>
        <v>382592.16666666663</v>
      </c>
      <c r="T207" s="93">
        <f t="shared" ca="1" si="40"/>
        <v>362832.43852935761</v>
      </c>
      <c r="U207" s="93">
        <f t="shared" si="43"/>
        <v>117720.66666666666</v>
      </c>
      <c r="Z207"/>
    </row>
    <row r="208" spans="13:26">
      <c r="M208" s="162" t="s">
        <v>440</v>
      </c>
      <c r="N208" s="162" t="s">
        <v>19</v>
      </c>
      <c r="O208" s="387" t="s">
        <v>215</v>
      </c>
      <c r="P208" s="101" t="s">
        <v>5</v>
      </c>
      <c r="Q208" s="101" t="s">
        <v>141</v>
      </c>
      <c r="R208" s="101" t="s">
        <v>217</v>
      </c>
      <c r="S208" s="164">
        <f t="shared" ca="1" si="39"/>
        <v>670047.17999999993</v>
      </c>
      <c r="T208" s="93">
        <f t="shared" ca="1" si="40"/>
        <v>635570.41340286285</v>
      </c>
      <c r="U208" s="93">
        <f t="shared" si="43"/>
        <v>250954</v>
      </c>
      <c r="Z208"/>
    </row>
    <row r="209" spans="13:26">
      <c r="M209" s="162" t="s">
        <v>440</v>
      </c>
      <c r="N209" s="162" t="s">
        <v>19</v>
      </c>
      <c r="O209" s="387" t="s">
        <v>215</v>
      </c>
      <c r="P209" s="101" t="s">
        <v>5</v>
      </c>
      <c r="Q209" s="101" t="s">
        <v>132</v>
      </c>
      <c r="R209" s="101" t="s">
        <v>139</v>
      </c>
      <c r="S209" s="164">
        <f t="shared" ca="1" si="39"/>
        <v>1663849.0143333331</v>
      </c>
      <c r="T209" s="93">
        <f t="shared" ca="1" si="40"/>
        <v>1578997.8838067485</v>
      </c>
      <c r="U209" s="93">
        <f t="shared" si="43"/>
        <v>286376.76666666666</v>
      </c>
      <c r="Z209"/>
    </row>
    <row r="210" spans="13:26">
      <c r="M210" s="162" t="s">
        <v>440</v>
      </c>
      <c r="N210" s="162" t="s">
        <v>19</v>
      </c>
      <c r="O210" s="387" t="s">
        <v>215</v>
      </c>
      <c r="P210" s="101" t="s">
        <v>5</v>
      </c>
      <c r="Q210" s="101" t="s">
        <v>132</v>
      </c>
      <c r="R210" s="23" t="s">
        <v>4</v>
      </c>
      <c r="S210" s="164">
        <f t="shared" ca="1" si="39"/>
        <v>5503618.7126871888</v>
      </c>
      <c r="T210" s="93">
        <f t="shared" ca="1" si="40"/>
        <v>5226684.6143601984</v>
      </c>
      <c r="U210" s="93">
        <f>SUMIFS(S$8:S$39,P$8:P$39,P210,Q$8:Q$39,Q210,R$8:R$39,"kWh*")</f>
        <v>87428414.816317528</v>
      </c>
      <c r="Z210"/>
    </row>
    <row r="211" spans="13:26">
      <c r="M211" s="162" t="s">
        <v>440</v>
      </c>
      <c r="N211" s="162" t="s">
        <v>19</v>
      </c>
      <c r="O211" s="387" t="s">
        <v>215</v>
      </c>
      <c r="P211" s="101" t="s">
        <v>5</v>
      </c>
      <c r="Q211" s="101" t="s">
        <v>132</v>
      </c>
      <c r="R211" s="101" t="s">
        <v>138</v>
      </c>
      <c r="S211" s="164">
        <f t="shared" si="39"/>
        <v>49659.332241379314</v>
      </c>
      <c r="T211" s="93">
        <f t="shared" si="40"/>
        <v>47217.070000000007</v>
      </c>
      <c r="U211" s="93">
        <f>SUMIFS(S$8:S$39,P$8:P$39,P211,Q$8:Q$39,Q211,R$8:R$39,R211)</f>
        <v>81408.741379310348</v>
      </c>
      <c r="Z211"/>
    </row>
    <row r="212" spans="13:26">
      <c r="M212" s="162" t="s">
        <v>440</v>
      </c>
      <c r="N212" s="162" t="s">
        <v>19</v>
      </c>
      <c r="O212" s="387" t="s">
        <v>215</v>
      </c>
      <c r="P212" s="101" t="s">
        <v>5</v>
      </c>
      <c r="Q212" s="101" t="s">
        <v>132</v>
      </c>
      <c r="R212" s="101" t="s">
        <v>303</v>
      </c>
      <c r="S212" s="164">
        <f t="shared" si="39"/>
        <v>-184.39000000000001</v>
      </c>
      <c r="T212" s="93">
        <f t="shared" si="40"/>
        <v>-184.39000000000001</v>
      </c>
      <c r="U212" s="93">
        <f>SUMIFS(S$8:S$39,P$8:P$39,P212,Q$8:Q$39,Q212,R$8:R$39,R212)</f>
        <v>18439</v>
      </c>
      <c r="Z212"/>
    </row>
    <row r="213" spans="13:26">
      <c r="M213" s="162" t="s">
        <v>440</v>
      </c>
      <c r="N213" s="162" t="s">
        <v>19</v>
      </c>
      <c r="O213" s="387" t="s">
        <v>215</v>
      </c>
      <c r="P213" s="101" t="s">
        <v>5</v>
      </c>
      <c r="Q213" s="101" t="s">
        <v>132</v>
      </c>
      <c r="R213" s="101" t="s">
        <v>294</v>
      </c>
      <c r="S213" s="164">
        <f t="shared" si="39"/>
        <v>-256.5</v>
      </c>
      <c r="T213" s="93">
        <f t="shared" si="40"/>
        <v>-256.5</v>
      </c>
      <c r="U213" s="93">
        <f>SUMIFS(S$8:S$39,P$8:P$39,P213,Q$8:Q$39,Q213,R$8:R$39,R213)</f>
        <v>855</v>
      </c>
      <c r="Z213"/>
    </row>
    <row r="214" spans="13:26">
      <c r="M214" s="162" t="s">
        <v>440</v>
      </c>
      <c r="N214" s="162" t="s">
        <v>19</v>
      </c>
      <c r="O214" s="387" t="s">
        <v>215</v>
      </c>
      <c r="P214" s="101" t="s">
        <v>5</v>
      </c>
      <c r="Q214" s="101" t="s">
        <v>132</v>
      </c>
      <c r="R214" s="101" t="s">
        <v>304</v>
      </c>
      <c r="S214" s="164">
        <f t="shared" si="39"/>
        <v>600</v>
      </c>
      <c r="T214" s="93">
        <f t="shared" si="40"/>
        <v>600</v>
      </c>
      <c r="U214" s="93">
        <f>SUMIFS(S$8:S$39,P$8:P$39,P214,Q$8:Q$39,Q214,R$8:R$39,R214)</f>
        <v>10</v>
      </c>
      <c r="Z214"/>
    </row>
    <row r="215" spans="13:26">
      <c r="M215" s="163" t="s">
        <v>440</v>
      </c>
      <c r="N215" s="163" t="s">
        <v>19</v>
      </c>
      <c r="O215" s="388" t="s">
        <v>215</v>
      </c>
      <c r="P215" s="104" t="s">
        <v>5</v>
      </c>
      <c r="Q215" s="105" t="s">
        <v>132</v>
      </c>
      <c r="R215" s="163" t="s">
        <v>105</v>
      </c>
      <c r="S215" s="165">
        <f t="shared" si="39"/>
        <v>158606.6540112104</v>
      </c>
      <c r="T215" s="93">
        <f t="shared" si="40"/>
        <v>158606.6540112104</v>
      </c>
      <c r="U215" s="93">
        <f>SUMIFS(S$8:S$39,P$8:P$39,P215,Q$8:Q$39,Q215,R$8:R$39,R215)</f>
        <v>0</v>
      </c>
      <c r="Z215"/>
    </row>
    <row r="216" spans="13:26">
      <c r="Z216"/>
    </row>
    <row r="217" spans="13:26">
      <c r="S217" s="481" t="s">
        <v>152</v>
      </c>
      <c r="T217" s="155"/>
      <c r="Z217"/>
    </row>
    <row r="218" spans="13:26">
      <c r="S218" s="482" t="s">
        <v>435</v>
      </c>
      <c r="T218" s="480">
        <f ca="1">SUM(T117:T152)-SUM(S90:S93)</f>
        <v>0</v>
      </c>
      <c r="Z218"/>
    </row>
    <row r="219" spans="13:26">
      <c r="S219" s="483" t="s">
        <v>437</v>
      </c>
      <c r="T219" s="471">
        <f ca="1">SUM(T180:T215)-SUM(S153:S156)</f>
        <v>0</v>
      </c>
      <c r="Z219"/>
    </row>
    <row r="220" spans="13:26">
      <c r="Z220"/>
    </row>
  </sheetData>
  <phoneticPr fontId="37" type="noConversion"/>
  <printOptions horizontalCentered="1"/>
  <pageMargins left="0.2" right="0.2" top="0.2" bottom="0.2" header="0" footer="0"/>
  <pageSetup scale="86" fitToHeight="0" orientation="landscape" r:id="rId1"/>
  <rowBreaks count="6" manualBreakCount="6">
    <brk id="39" min="12" max="18" man="1"/>
    <brk id="54" min="12" max="18" man="1"/>
    <brk id="89" min="12" max="18" man="1"/>
    <brk id="116" min="12" max="18" man="1"/>
    <brk id="152" min="12" max="18" man="1"/>
    <brk id="179" min="12" max="18" man="1"/>
  </rowBreaks>
  <ignoredErrors>
    <ignoredError sqref="X109:Z111 U210 U123:U147 U19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624C-10F6-422E-90EF-5A7D8C6E967E}">
  <sheetPr>
    <pageSetUpPr fitToPage="1"/>
  </sheetPr>
  <dimension ref="A1:AE219"/>
  <sheetViews>
    <sheetView showGridLines="0" zoomScale="70" zoomScaleNormal="70" zoomScaleSheetLayoutView="75" workbookViewId="0">
      <pane ySplit="7" topLeftCell="A17" activePane="bottomLeft" state="frozen"/>
      <selection activeCell="C2" sqref="C2"/>
      <selection pane="bottomLeft" activeCell="C2" sqref="C2"/>
    </sheetView>
  </sheetViews>
  <sheetFormatPr defaultRowHeight="15.75"/>
  <cols>
    <col min="1" max="1" width="13.75" style="93" bestFit="1" customWidth="1"/>
    <col min="2" max="2" width="7.25" style="93" bestFit="1" customWidth="1"/>
    <col min="3" max="3" width="6.75" style="93" bestFit="1" customWidth="1"/>
    <col min="4" max="5" width="7.5" style="93" bestFit="1" customWidth="1"/>
    <col min="6" max="6" width="9.625" bestFit="1" customWidth="1"/>
    <col min="7" max="9" width="10.25" customWidth="1"/>
    <col min="10" max="13" width="10.25" hidden="1" customWidth="1"/>
    <col min="14" max="14" width="57.375" style="110" customWidth="1"/>
    <col min="15" max="15" width="7.125" style="110" bestFit="1" customWidth="1"/>
    <col min="16" max="16" width="12.625" style="110" bestFit="1" customWidth="1"/>
    <col min="17" max="17" width="13.75" style="110" bestFit="1" customWidth="1"/>
    <col min="18" max="18" width="10.5" style="110" bestFit="1" customWidth="1"/>
    <col min="19" max="19" width="15.125" style="110" bestFit="1" customWidth="1"/>
    <col min="20" max="20" width="13.375" style="111" bestFit="1" customWidth="1"/>
    <col min="21" max="21" width="13.375" style="111" customWidth="1"/>
    <col min="22" max="23" width="13.375" style="38" customWidth="1"/>
    <col min="24" max="24" width="13.375" style="111" customWidth="1"/>
    <col min="25" max="31" width="13.375" customWidth="1"/>
  </cols>
  <sheetData>
    <row r="1" spans="1:24">
      <c r="A1" s="326" t="s">
        <v>109</v>
      </c>
      <c r="B1" s="327"/>
      <c r="C1" s="327"/>
      <c r="D1" s="327"/>
      <c r="E1" s="327"/>
      <c r="F1" s="321"/>
      <c r="G1" s="321"/>
      <c r="H1" s="321"/>
      <c r="I1" s="322"/>
      <c r="J1" s="321"/>
      <c r="K1" s="321"/>
      <c r="L1" s="321"/>
      <c r="M1" s="322"/>
    </row>
    <row r="2" spans="1:24">
      <c r="A2" s="329" t="s">
        <v>418</v>
      </c>
      <c r="B2" s="288"/>
      <c r="C2" s="288"/>
      <c r="D2" s="288"/>
      <c r="E2" s="288"/>
      <c r="F2" s="319"/>
      <c r="G2" s="319"/>
      <c r="H2" s="319"/>
      <c r="I2" s="323"/>
      <c r="J2" s="319"/>
      <c r="K2" s="319"/>
      <c r="L2" s="319"/>
      <c r="M2" s="323"/>
    </row>
    <row r="3" spans="1:24">
      <c r="A3" s="329" t="s">
        <v>442</v>
      </c>
      <c r="B3" s="288"/>
      <c r="C3" s="288"/>
      <c r="D3" s="288"/>
      <c r="E3" s="288"/>
      <c r="F3" s="324"/>
      <c r="G3" s="324"/>
      <c r="H3" s="324"/>
      <c r="I3" s="325"/>
      <c r="J3" s="324"/>
      <c r="K3" s="324"/>
      <c r="L3" s="324"/>
      <c r="M3" s="325"/>
    </row>
    <row r="4" spans="1:24">
      <c r="A4" s="378"/>
      <c r="B4" s="378"/>
      <c r="C4" s="378"/>
      <c r="D4" s="378"/>
      <c r="E4" s="378"/>
      <c r="F4" s="447" t="s">
        <v>552</v>
      </c>
      <c r="G4" s="154"/>
      <c r="H4" s="154"/>
      <c r="I4" s="155"/>
      <c r="J4" s="154"/>
      <c r="K4" s="154"/>
      <c r="L4" s="154"/>
      <c r="M4" s="155"/>
      <c r="N4" s="207" t="s">
        <v>109</v>
      </c>
      <c r="O4" s="198"/>
      <c r="P4" s="198"/>
      <c r="Q4" s="198"/>
      <c r="R4" s="198"/>
      <c r="S4" s="198"/>
      <c r="T4" s="200"/>
      <c r="U4" s="38"/>
      <c r="X4" s="278"/>
    </row>
    <row r="5" spans="1:24">
      <c r="A5" s="237"/>
      <c r="B5" s="237"/>
      <c r="C5" s="369" t="s">
        <v>424</v>
      </c>
      <c r="D5" s="94" t="s">
        <v>462</v>
      </c>
      <c r="E5" s="370"/>
      <c r="F5" s="351" t="s">
        <v>435</v>
      </c>
      <c r="G5" s="351"/>
      <c r="H5" s="327"/>
      <c r="I5" s="376"/>
      <c r="J5" s="351" t="s">
        <v>437</v>
      </c>
      <c r="K5" s="351"/>
      <c r="L5" s="327"/>
      <c r="M5" s="376"/>
      <c r="N5" s="222" t="s">
        <v>418</v>
      </c>
      <c r="O5" s="201"/>
      <c r="P5" s="201"/>
      <c r="Q5" s="201"/>
      <c r="R5" s="201"/>
      <c r="S5" s="201"/>
      <c r="T5" s="217"/>
      <c r="U5" s="38"/>
      <c r="X5" s="278"/>
    </row>
    <row r="6" spans="1:24">
      <c r="A6" s="94"/>
      <c r="B6" s="94" t="s">
        <v>424</v>
      </c>
      <c r="C6" s="369" t="s">
        <v>461</v>
      </c>
      <c r="D6" s="370" t="s">
        <v>464</v>
      </c>
      <c r="E6" s="369"/>
      <c r="F6" s="546"/>
      <c r="G6" s="334"/>
      <c r="H6" s="334"/>
      <c r="I6" s="167" t="s">
        <v>428</v>
      </c>
      <c r="J6" s="546"/>
      <c r="K6" s="334"/>
      <c r="L6" s="334"/>
      <c r="M6" s="167" t="s">
        <v>428</v>
      </c>
      <c r="N6" s="202" t="s">
        <v>342</v>
      </c>
      <c r="O6" s="203"/>
      <c r="P6" s="204"/>
      <c r="Q6" s="204"/>
      <c r="R6" s="204"/>
      <c r="S6" s="205"/>
      <c r="T6" s="206"/>
      <c r="U6" s="38"/>
      <c r="X6" s="278"/>
    </row>
    <row r="7" spans="1:24">
      <c r="A7" s="256" t="s">
        <v>115</v>
      </c>
      <c r="B7" s="256" t="s">
        <v>461</v>
      </c>
      <c r="C7" s="371" t="s">
        <v>463</v>
      </c>
      <c r="D7" s="371" t="s">
        <v>463</v>
      </c>
      <c r="E7" s="371" t="s">
        <v>462</v>
      </c>
      <c r="F7" s="310" t="s">
        <v>341</v>
      </c>
      <c r="G7" s="230" t="s">
        <v>346</v>
      </c>
      <c r="H7" s="165" t="s">
        <v>348</v>
      </c>
      <c r="I7" s="165" t="s">
        <v>348</v>
      </c>
      <c r="J7" s="310" t="s">
        <v>341</v>
      </c>
      <c r="K7" s="230" t="s">
        <v>346</v>
      </c>
      <c r="L7" s="165" t="s">
        <v>348</v>
      </c>
      <c r="M7" s="165" t="s">
        <v>348</v>
      </c>
      <c r="N7" s="180"/>
      <c r="O7" s="180"/>
      <c r="P7" s="180" t="s">
        <v>90</v>
      </c>
      <c r="Q7" s="181" t="s">
        <v>115</v>
      </c>
      <c r="R7" s="181" t="s">
        <v>131</v>
      </c>
      <c r="S7" s="181" t="s">
        <v>336</v>
      </c>
      <c r="T7" s="367" t="s">
        <v>143</v>
      </c>
    </row>
    <row r="8" spans="1:24">
      <c r="A8" s="277" t="s">
        <v>113</v>
      </c>
      <c r="B8" s="277" t="s">
        <v>140</v>
      </c>
      <c r="C8" s="255">
        <v>1</v>
      </c>
      <c r="D8" s="255">
        <v>300</v>
      </c>
      <c r="E8" s="255">
        <f>C8*D8</f>
        <v>300</v>
      </c>
      <c r="F8" s="214">
        <f t="shared" ref="F8:F19" si="0">SUMIFS(T$36:T$51,Q$36:Q$51,A8,R$36:R$51,B8,S$36:S$51,"Bill")+(SUM(SUMIFS(T$36:T$51,Q$36:Q$51,A8,R$36:R$51,B8,S$36:S$51,"Load Size kW"),SUMIFS(T$36:T$51,Q$36:Q$51,A8,S$36:S$51,"kW"))*C8+SUMIFS(U$36:U$51,Q$36:Q$51,A8,S$36:S$51,"kWh*")*E8)*1000</f>
        <v>28519.000000000004</v>
      </c>
      <c r="G8" s="214">
        <f t="shared" ref="G8:G19" ca="1" si="1">SUMIFS(T$92:T$113,Q$92:Q$113,A8,R$92:R$113,B8,S$92:S$113,"Bill")+(SUM(SUMIFS(T$92:T$113,Q$92:Q$113,A8,R$92:R$113,B8,S$92:S$113,"Load Size kW"),SUMIFS(T$92:T$113,Q$92:Q$113,A8,S$92:S$113,"kW"))*C8+SUMIFS(AC$92:AC$113,Q$92:Q$113,A8,S$92:S$113,"kWh*")*E8)*1000</f>
        <v>29168.73</v>
      </c>
      <c r="H8" s="214">
        <f ca="1">G8-F8</f>
        <v>649.72999999999593</v>
      </c>
      <c r="I8" s="448">
        <f ca="1">IFERROR(H8/F8*100,100)</f>
        <v>2.2782355622567265</v>
      </c>
      <c r="J8" s="266">
        <f ca="1">G8</f>
        <v>29168.73</v>
      </c>
      <c r="K8" s="214">
        <f t="shared" ref="K8:K19" ca="1" si="2">SUMIFS(T$158:T$179,Q$158:Q$179,A8,R$158:R$179,B8,S$158:S$179,"Bill")+(SUM(SUMIFS(T$158:T$179,Q$158:Q$179,A8,R$158:R$179,B8,S$158:S$179,"Load Size kW"),SUMIFS(T$158:T$179,Q$158:Q$179,A8,S$158:S$179,"kW"))*C8+SUMIFS(AC$158:AC$179,Q$158:Q$179,A8,S$158:S$179,"kWh*")*E8)*1000</f>
        <v>29288.973978893911</v>
      </c>
      <c r="L8" s="214">
        <f ca="1">K8-J8</f>
        <v>120.24397889391184</v>
      </c>
      <c r="M8" s="448">
        <f ca="1">IFERROR(L8/J8*100,100)</f>
        <v>0.41223590774748115</v>
      </c>
      <c r="N8" s="208" t="s">
        <v>154</v>
      </c>
      <c r="O8" s="98" t="s">
        <v>337</v>
      </c>
      <c r="P8" s="97" t="s">
        <v>3</v>
      </c>
      <c r="Q8" s="97" t="s">
        <v>113</v>
      </c>
      <c r="R8" s="97" t="s">
        <v>140</v>
      </c>
      <c r="S8" s="97" t="s">
        <v>271</v>
      </c>
      <c r="T8" s="97">
        <f>SUMIFS('Normalized Units'!I:I,'Normalized Units'!B:B,"Normalized Billing Units",'Normalized Units'!C:C,N$4,'Normalized Units'!D:D,P8,'Normalized Units'!E:E,Q8,'Normalized Units'!G:G,R8,'Normalized Units'!H:H,S8)</f>
        <v>353.66666666666663</v>
      </c>
      <c r="U8" s="48"/>
      <c r="V8" s="280"/>
      <c r="W8" s="280"/>
      <c r="X8" s="48"/>
    </row>
    <row r="9" spans="1:24">
      <c r="A9" s="248" t="s">
        <v>113</v>
      </c>
      <c r="B9" s="248" t="s">
        <v>140</v>
      </c>
      <c r="C9" s="273">
        <v>1</v>
      </c>
      <c r="D9" s="273">
        <v>500</v>
      </c>
      <c r="E9" s="273">
        <f t="shared" ref="E9:E19" si="3">C9*D9</f>
        <v>500</v>
      </c>
      <c r="F9" s="94">
        <f t="shared" si="0"/>
        <v>40023</v>
      </c>
      <c r="G9" s="94">
        <f t="shared" ca="1" si="1"/>
        <v>40654.730000000003</v>
      </c>
      <c r="H9" s="94">
        <f t="shared" ref="H9:H45" ca="1" si="4">G9-F9</f>
        <v>631.7300000000032</v>
      </c>
      <c r="I9" s="444">
        <f t="shared" ref="I9:I45" ca="1" si="5">IFERROR(H9/F9*100,100)</f>
        <v>1.5784174099892641</v>
      </c>
      <c r="J9" s="221">
        <f t="shared" ref="J9:J45" ca="1" si="6">G9</f>
        <v>40654.730000000003</v>
      </c>
      <c r="K9" s="94">
        <f t="shared" ca="1" si="2"/>
        <v>40572.676631489849</v>
      </c>
      <c r="L9" s="94">
        <f t="shared" ref="L9:L45" ca="1" si="7">K9-J9</f>
        <v>-82.053368510154542</v>
      </c>
      <c r="M9" s="444">
        <f t="shared" ref="M9:M45" ca="1" si="8">IFERROR(L9/J9*100,100)</f>
        <v>-0.20182982031895069</v>
      </c>
      <c r="N9" s="184" t="s">
        <v>154</v>
      </c>
      <c r="O9" s="57" t="s">
        <v>337</v>
      </c>
      <c r="P9" s="55" t="s">
        <v>3</v>
      </c>
      <c r="Q9" s="55" t="s">
        <v>113</v>
      </c>
      <c r="R9" s="55" t="s">
        <v>140</v>
      </c>
      <c r="S9" s="55" t="s">
        <v>217</v>
      </c>
      <c r="T9" s="55">
        <f>SUMIFS('Normalized Units'!I:I,'Normalized Units'!B:B,"Normalized Billing Units",'Normalized Units'!C:C,N$4,'Normalized Units'!D:D,P9,'Normalized Units'!E:E,Q9,'Normalized Units'!G:G,R9,'Normalized Units'!H:H,S9)</f>
        <v>413974.99726775958</v>
      </c>
      <c r="U9" s="48"/>
      <c r="V9" s="280"/>
      <c r="W9" s="280"/>
      <c r="X9" s="48"/>
    </row>
    <row r="10" spans="1:24">
      <c r="A10" s="332" t="s">
        <v>113</v>
      </c>
      <c r="B10" s="332" t="s">
        <v>140</v>
      </c>
      <c r="C10" s="174">
        <v>1</v>
      </c>
      <c r="D10" s="174">
        <v>700</v>
      </c>
      <c r="E10" s="273">
        <f t="shared" si="3"/>
        <v>700</v>
      </c>
      <c r="F10" s="94">
        <f t="shared" si="0"/>
        <v>51527.000000000007</v>
      </c>
      <c r="G10" s="94">
        <f t="shared" ca="1" si="1"/>
        <v>52140.73</v>
      </c>
      <c r="H10" s="94">
        <f t="shared" ca="1" si="4"/>
        <v>613.72999999999593</v>
      </c>
      <c r="I10" s="444">
        <f t="shared" ca="1" si="5"/>
        <v>1.1910842859083508</v>
      </c>
      <c r="J10" s="221">
        <f t="shared" ca="1" si="6"/>
        <v>52140.73</v>
      </c>
      <c r="K10" s="94">
        <f t="shared" ca="1" si="2"/>
        <v>51856.379284085786</v>
      </c>
      <c r="L10" s="94">
        <f t="shared" ca="1" si="7"/>
        <v>-284.35071591421729</v>
      </c>
      <c r="M10" s="444">
        <f t="shared" ca="1" si="8"/>
        <v>-0.54535238749863546</v>
      </c>
      <c r="N10" s="184" t="s">
        <v>154</v>
      </c>
      <c r="O10" s="57" t="s">
        <v>337</v>
      </c>
      <c r="P10" s="55" t="s">
        <v>3</v>
      </c>
      <c r="Q10" s="55" t="s">
        <v>113</v>
      </c>
      <c r="R10" s="55" t="s">
        <v>132</v>
      </c>
      <c r="S10" s="55" t="s">
        <v>139</v>
      </c>
      <c r="T10" s="55">
        <f>SUMIFS('Normalized Units'!I:I,'Normalized Units'!B:B,"Normalized Billing Units",'Normalized Units'!C:C,N$4,'Normalized Units'!D:D,P10,'Normalized Units'!E:E,Q10,'Normalized Units'!G:G,R10,'Normalized Units'!H:H,S10)</f>
        <v>291879.33333333337</v>
      </c>
      <c r="U10" s="48"/>
      <c r="V10" s="280"/>
      <c r="W10" s="280"/>
      <c r="X10" s="48"/>
    </row>
    <row r="11" spans="1:24">
      <c r="A11" s="248" t="s">
        <v>113</v>
      </c>
      <c r="B11" s="248" t="s">
        <v>140</v>
      </c>
      <c r="C11" s="273">
        <v>2</v>
      </c>
      <c r="D11" s="273">
        <f>D8</f>
        <v>300</v>
      </c>
      <c r="E11" s="273">
        <f t="shared" si="3"/>
        <v>600</v>
      </c>
      <c r="F11" s="94">
        <f t="shared" si="0"/>
        <v>55725.000000000007</v>
      </c>
      <c r="G11" s="94">
        <f t="shared" ca="1" si="1"/>
        <v>57107.73</v>
      </c>
      <c r="H11" s="94">
        <f t="shared" ca="1" si="4"/>
        <v>1382.7299999999959</v>
      </c>
      <c r="I11" s="444">
        <f t="shared" ca="1" si="5"/>
        <v>2.4813458950201808</v>
      </c>
      <c r="J11" s="221">
        <f t="shared" ca="1" si="6"/>
        <v>57107.73</v>
      </c>
      <c r="K11" s="94">
        <f t="shared" ca="1" si="2"/>
        <v>57444.527957787817</v>
      </c>
      <c r="L11" s="94">
        <f t="shared" ca="1" si="7"/>
        <v>336.79795778781408</v>
      </c>
      <c r="M11" s="444">
        <f t="shared" ca="1" si="8"/>
        <v>0.58975896570886999</v>
      </c>
      <c r="N11" s="184" t="s">
        <v>154</v>
      </c>
      <c r="O11" s="57" t="s">
        <v>337</v>
      </c>
      <c r="P11" s="55" t="s">
        <v>3</v>
      </c>
      <c r="Q11" s="55" t="s">
        <v>113</v>
      </c>
      <c r="R11" s="55" t="s">
        <v>132</v>
      </c>
      <c r="S11" s="55" t="s">
        <v>144</v>
      </c>
      <c r="T11" s="55">
        <f>SUMIFS('Normalized Units'!I:I,'Normalized Units'!B:B,"Normalized Billing Units",'Normalized Units'!C:C,N$4,'Normalized Units'!D:D,P11,'Normalized Units'!E:E,Q11,'Normalized Units'!G:G,R11,'Normalized Units'!H:H,S11)</f>
        <v>49153349.825124249</v>
      </c>
      <c r="U11" s="48"/>
      <c r="V11" s="280"/>
      <c r="W11" s="280"/>
      <c r="X11" s="48"/>
    </row>
    <row r="12" spans="1:24">
      <c r="A12" s="248" t="s">
        <v>113</v>
      </c>
      <c r="B12" s="248" t="s">
        <v>140</v>
      </c>
      <c r="C12" s="273">
        <v>2</v>
      </c>
      <c r="D12" s="273">
        <f t="shared" ref="D12:D19" si="9">D9</f>
        <v>500</v>
      </c>
      <c r="E12" s="273">
        <f t="shared" si="3"/>
        <v>1000</v>
      </c>
      <c r="F12" s="94">
        <f t="shared" si="0"/>
        <v>78733</v>
      </c>
      <c r="G12" s="94">
        <f t="shared" ca="1" si="1"/>
        <v>80079.73</v>
      </c>
      <c r="H12" s="94">
        <f t="shared" ca="1" si="4"/>
        <v>1346.7299999999959</v>
      </c>
      <c r="I12" s="444">
        <f t="shared" ca="1" si="5"/>
        <v>1.7105025846849427</v>
      </c>
      <c r="J12" s="221">
        <f t="shared" ca="1" si="6"/>
        <v>80079.73</v>
      </c>
      <c r="K12" s="94">
        <f t="shared" ca="1" si="2"/>
        <v>80011.933262979699</v>
      </c>
      <c r="L12" s="94">
        <f t="shared" ca="1" si="7"/>
        <v>-67.79673702029686</v>
      </c>
      <c r="M12" s="444">
        <f t="shared" ca="1" si="8"/>
        <v>-8.4661545462624388E-2</v>
      </c>
      <c r="N12" s="184" t="s">
        <v>154</v>
      </c>
      <c r="O12" s="57" t="s">
        <v>337</v>
      </c>
      <c r="P12" s="55" t="s">
        <v>3</v>
      </c>
      <c r="Q12" s="55" t="s">
        <v>113</v>
      </c>
      <c r="R12" s="55" t="s">
        <v>132</v>
      </c>
      <c r="S12" s="55" t="s">
        <v>145</v>
      </c>
      <c r="T12" s="55">
        <f>SUMIFS('Normalized Units'!I:I,'Normalized Units'!B:B,"Normalized Billing Units",'Normalized Units'!C:C,N$4,'Normalized Units'!D:D,P12,'Normalized Units'!E:E,Q12,'Normalized Units'!G:G,R12,'Normalized Units'!H:H,S12)</f>
        <v>74269628.808923334</v>
      </c>
      <c r="U12" s="48"/>
      <c r="V12" s="280"/>
      <c r="W12" s="280"/>
      <c r="X12" s="48"/>
    </row>
    <row r="13" spans="1:24">
      <c r="A13" s="248" t="s">
        <v>113</v>
      </c>
      <c r="B13" s="248" t="s">
        <v>140</v>
      </c>
      <c r="C13" s="273">
        <v>2</v>
      </c>
      <c r="D13" s="273">
        <f t="shared" si="9"/>
        <v>700</v>
      </c>
      <c r="E13" s="273">
        <f t="shared" si="3"/>
        <v>1400</v>
      </c>
      <c r="F13" s="94">
        <f t="shared" si="0"/>
        <v>101741.00000000001</v>
      </c>
      <c r="G13" s="94">
        <f t="shared" ca="1" si="1"/>
        <v>103051.73</v>
      </c>
      <c r="H13" s="94">
        <f t="shared" ca="1" si="4"/>
        <v>1310.7299999999814</v>
      </c>
      <c r="I13" s="444">
        <f t="shared" ca="1" si="5"/>
        <v>1.2883006850728627</v>
      </c>
      <c r="J13" s="221">
        <f t="shared" ca="1" si="6"/>
        <v>103051.73</v>
      </c>
      <c r="K13" s="94">
        <f t="shared" ca="1" si="2"/>
        <v>102579.33856817157</v>
      </c>
      <c r="L13" s="94">
        <f t="shared" ca="1" si="7"/>
        <v>-472.39143182842236</v>
      </c>
      <c r="M13" s="444">
        <f t="shared" ca="1" si="8"/>
        <v>-0.45840223335253316</v>
      </c>
      <c r="N13" s="184" t="s">
        <v>154</v>
      </c>
      <c r="O13" s="57" t="s">
        <v>337</v>
      </c>
      <c r="P13" s="55" t="s">
        <v>3</v>
      </c>
      <c r="Q13" s="55" t="s">
        <v>113</v>
      </c>
      <c r="R13" s="55" t="s">
        <v>132</v>
      </c>
      <c r="S13" s="55" t="s">
        <v>138</v>
      </c>
      <c r="T13" s="55">
        <f>SUMIFS('Normalized Units'!I:I,'Normalized Units'!B:B,"Normalized Billing Units",'Normalized Units'!C:C,N$4,'Normalized Units'!D:D,P13,'Normalized Units'!E:E,Q13,'Normalized Units'!G:G,R13,'Normalized Units'!H:H,S13)</f>
        <v>31472.333333333332</v>
      </c>
      <c r="U13" s="48"/>
      <c r="V13" s="280"/>
      <c r="W13" s="280"/>
      <c r="X13" s="48"/>
    </row>
    <row r="14" spans="1:24">
      <c r="A14" s="248" t="s">
        <v>113</v>
      </c>
      <c r="B14" s="248" t="s">
        <v>141</v>
      </c>
      <c r="C14" s="273">
        <v>4</v>
      </c>
      <c r="D14" s="273">
        <f t="shared" si="9"/>
        <v>300</v>
      </c>
      <c r="E14" s="273">
        <f t="shared" si="3"/>
        <v>1200</v>
      </c>
      <c r="F14" s="94">
        <f t="shared" si="0"/>
        <v>109891</v>
      </c>
      <c r="G14" s="94">
        <f t="shared" ca="1" si="1"/>
        <v>112722.36</v>
      </c>
      <c r="H14" s="94">
        <f t="shared" ca="1" si="4"/>
        <v>2831.3600000000006</v>
      </c>
      <c r="I14" s="444">
        <f t="shared" ca="1" si="5"/>
        <v>2.5765167302144856</v>
      </c>
      <c r="J14" s="221">
        <f t="shared" ca="1" si="6"/>
        <v>112722.36</v>
      </c>
      <c r="K14" s="94">
        <f t="shared" ca="1" si="2"/>
        <v>113472.16591557564</v>
      </c>
      <c r="L14" s="94">
        <f t="shared" ca="1" si="7"/>
        <v>749.80591557563457</v>
      </c>
      <c r="M14" s="444">
        <f t="shared" ca="1" si="8"/>
        <v>0.66517939792569514</v>
      </c>
      <c r="N14" s="184" t="s">
        <v>154</v>
      </c>
      <c r="O14" s="57" t="s">
        <v>337</v>
      </c>
      <c r="P14" s="55" t="s">
        <v>3</v>
      </c>
      <c r="Q14" s="55" t="s">
        <v>114</v>
      </c>
      <c r="R14" s="55" t="s">
        <v>140</v>
      </c>
      <c r="S14" s="55" t="s">
        <v>271</v>
      </c>
      <c r="T14" s="55">
        <f>SUMIFS('Normalized Units'!I:I,'Normalized Units'!B:B,"Normalized Billing Units",'Normalized Units'!C:C,N$4,'Normalized Units'!D:D,P14,'Normalized Units'!E:E,Q14,'Normalized Units'!G:G,R14,'Normalized Units'!H:H,S14)</f>
        <v>83.666666666666671</v>
      </c>
      <c r="U14" s="48"/>
      <c r="V14" s="280"/>
      <c r="W14" s="280"/>
      <c r="X14" s="48"/>
    </row>
    <row r="15" spans="1:24">
      <c r="A15" s="248" t="s">
        <v>113</v>
      </c>
      <c r="B15" s="248" t="s">
        <v>141</v>
      </c>
      <c r="C15" s="273">
        <v>4</v>
      </c>
      <c r="D15" s="273">
        <f t="shared" si="9"/>
        <v>500</v>
      </c>
      <c r="E15" s="273">
        <f t="shared" si="3"/>
        <v>2000</v>
      </c>
      <c r="F15" s="94">
        <f t="shared" si="0"/>
        <v>155907</v>
      </c>
      <c r="G15" s="94">
        <f t="shared" ca="1" si="1"/>
        <v>158666.35999999999</v>
      </c>
      <c r="H15" s="94">
        <f t="shared" ca="1" si="4"/>
        <v>2759.359999999986</v>
      </c>
      <c r="I15" s="444">
        <f t="shared" ca="1" si="5"/>
        <v>1.7698756309851298</v>
      </c>
      <c r="J15" s="221">
        <f t="shared" ca="1" si="6"/>
        <v>158666.35999999999</v>
      </c>
      <c r="K15" s="94">
        <f t="shared" ca="1" si="2"/>
        <v>158606.97652595938</v>
      </c>
      <c r="L15" s="94">
        <f t="shared" ca="1" si="7"/>
        <v>-59.383474040601868</v>
      </c>
      <c r="M15" s="444">
        <f t="shared" ca="1" si="8"/>
        <v>-3.7426631606474033E-2</v>
      </c>
      <c r="N15" s="184" t="s">
        <v>154</v>
      </c>
      <c r="O15" s="57" t="s">
        <v>337</v>
      </c>
      <c r="P15" s="55" t="s">
        <v>3</v>
      </c>
      <c r="Q15" s="55" t="s">
        <v>114</v>
      </c>
      <c r="R15" s="55" t="s">
        <v>141</v>
      </c>
      <c r="S15" s="55" t="s">
        <v>271</v>
      </c>
      <c r="T15" s="55">
        <f>SUMIFS('Normalized Units'!I:I,'Normalized Units'!B:B,"Normalized Billing Units",'Normalized Units'!C:C,N$4,'Normalized Units'!D:D,P15,'Normalized Units'!E:E,Q15,'Normalized Units'!G:G,R15,'Normalized Units'!H:H,S15)</f>
        <v>12</v>
      </c>
      <c r="U15" s="48"/>
      <c r="V15" s="280"/>
      <c r="W15" s="280"/>
      <c r="X15" s="48"/>
    </row>
    <row r="16" spans="1:24">
      <c r="A16" s="248" t="s">
        <v>113</v>
      </c>
      <c r="B16" s="248" t="s">
        <v>141</v>
      </c>
      <c r="C16" s="273">
        <v>4</v>
      </c>
      <c r="D16" s="273">
        <f t="shared" si="9"/>
        <v>700</v>
      </c>
      <c r="E16" s="273">
        <f t="shared" si="3"/>
        <v>2800</v>
      </c>
      <c r="F16" s="94">
        <f t="shared" si="0"/>
        <v>201923</v>
      </c>
      <c r="G16" s="94">
        <f t="shared" ca="1" si="1"/>
        <v>204610.36000000002</v>
      </c>
      <c r="H16" s="94">
        <f t="shared" ca="1" si="4"/>
        <v>2687.3600000000151</v>
      </c>
      <c r="I16" s="444">
        <f t="shared" ca="1" si="5"/>
        <v>1.3308835546223139</v>
      </c>
      <c r="J16" s="221">
        <f t="shared" ca="1" si="6"/>
        <v>204610.36000000002</v>
      </c>
      <c r="K16" s="94">
        <f t="shared" ca="1" si="2"/>
        <v>203741.78713634316</v>
      </c>
      <c r="L16" s="94">
        <f t="shared" ca="1" si="7"/>
        <v>-868.57286365685286</v>
      </c>
      <c r="M16" s="444">
        <f t="shared" ca="1" si="8"/>
        <v>-0.42450092148650381</v>
      </c>
      <c r="N16" s="184" t="s">
        <v>154</v>
      </c>
      <c r="O16" s="57" t="s">
        <v>337</v>
      </c>
      <c r="P16" s="55" t="s">
        <v>3</v>
      </c>
      <c r="Q16" s="55" t="s">
        <v>114</v>
      </c>
      <c r="R16" s="55" t="s">
        <v>140</v>
      </c>
      <c r="S16" s="55" t="s">
        <v>217</v>
      </c>
      <c r="T16" s="55">
        <f>SUMIFS('Normalized Units'!I:I,'Normalized Units'!B:B,"Normalized Billing Units",'Normalized Units'!C:C,N$4,'Normalized Units'!D:D,P16,'Normalized Units'!E:E,Q16,'Normalized Units'!G:G,R16,'Normalized Units'!H:H,S16)</f>
        <v>91474.688524590165</v>
      </c>
      <c r="U16" s="48"/>
      <c r="V16" s="280"/>
      <c r="W16" s="280"/>
      <c r="X16" s="48"/>
    </row>
    <row r="17" spans="1:24">
      <c r="A17" s="248" t="s">
        <v>113</v>
      </c>
      <c r="B17" s="248" t="s">
        <v>141</v>
      </c>
      <c r="C17" s="273">
        <v>6</v>
      </c>
      <c r="D17" s="273">
        <f t="shared" si="9"/>
        <v>300</v>
      </c>
      <c r="E17" s="273">
        <f t="shared" si="3"/>
        <v>1800</v>
      </c>
      <c r="F17" s="94">
        <f t="shared" si="0"/>
        <v>164043.00000000003</v>
      </c>
      <c r="G17" s="94">
        <f t="shared" ca="1" si="1"/>
        <v>168340.36</v>
      </c>
      <c r="H17" s="94">
        <f t="shared" ca="1" si="4"/>
        <v>4297.3599999999569</v>
      </c>
      <c r="I17" s="444">
        <f t="shared" ca="1" si="5"/>
        <v>2.6196546027565675</v>
      </c>
      <c r="J17" s="221">
        <f t="shared" ca="1" si="6"/>
        <v>168340.36</v>
      </c>
      <c r="K17" s="94">
        <f t="shared" ca="1" si="2"/>
        <v>169523.27387336348</v>
      </c>
      <c r="L17" s="94">
        <f t="shared" ca="1" si="7"/>
        <v>1182.91387336349</v>
      </c>
      <c r="M17" s="444">
        <f t="shared" ca="1" si="8"/>
        <v>0.70269178072536498</v>
      </c>
      <c r="N17" s="184" t="s">
        <v>154</v>
      </c>
      <c r="O17" s="57" t="s">
        <v>337</v>
      </c>
      <c r="P17" s="55" t="s">
        <v>3</v>
      </c>
      <c r="Q17" s="55" t="s">
        <v>114</v>
      </c>
      <c r="R17" s="55" t="s">
        <v>141</v>
      </c>
      <c r="S17" s="55" t="s">
        <v>217</v>
      </c>
      <c r="T17" s="55">
        <f>SUMIFS('Normalized Units'!I:I,'Normalized Units'!B:B,"Normalized Billing Units",'Normalized Units'!C:C,N$4,'Normalized Units'!D:D,P17,'Normalized Units'!E:E,Q17,'Normalized Units'!G:G,R17,'Normalized Units'!H:H,S17)</f>
        <v>54406</v>
      </c>
      <c r="U17" s="48"/>
      <c r="V17" s="280"/>
      <c r="W17" s="280"/>
      <c r="X17" s="48"/>
    </row>
    <row r="18" spans="1:24">
      <c r="A18" s="248" t="s">
        <v>113</v>
      </c>
      <c r="B18" s="248" t="s">
        <v>141</v>
      </c>
      <c r="C18" s="273">
        <v>6</v>
      </c>
      <c r="D18" s="273">
        <f t="shared" si="9"/>
        <v>500</v>
      </c>
      <c r="E18" s="273">
        <f t="shared" si="3"/>
        <v>3000</v>
      </c>
      <c r="F18" s="94">
        <f t="shared" si="0"/>
        <v>233067.00000000003</v>
      </c>
      <c r="G18" s="94">
        <f t="shared" ca="1" si="1"/>
        <v>237256.36</v>
      </c>
      <c r="H18" s="94">
        <f t="shared" ca="1" si="4"/>
        <v>4189.3599999999569</v>
      </c>
      <c r="I18" s="444">
        <f t="shared" ca="1" si="5"/>
        <v>1.7974917083928468</v>
      </c>
      <c r="J18" s="221">
        <f t="shared" ca="1" si="6"/>
        <v>237256.36</v>
      </c>
      <c r="K18" s="94">
        <f t="shared" ca="1" si="2"/>
        <v>237225.4897889391</v>
      </c>
      <c r="L18" s="94">
        <f t="shared" ca="1" si="7"/>
        <v>-30.870211060886504</v>
      </c>
      <c r="M18" s="444">
        <f t="shared" ca="1" si="8"/>
        <v>-1.3011331313051631E-2</v>
      </c>
      <c r="N18" s="184" t="s">
        <v>154</v>
      </c>
      <c r="O18" s="57" t="s">
        <v>337</v>
      </c>
      <c r="P18" s="55" t="s">
        <v>3</v>
      </c>
      <c r="Q18" s="55" t="s">
        <v>114</v>
      </c>
      <c r="R18" s="55" t="s">
        <v>132</v>
      </c>
      <c r="S18" s="55" t="s">
        <v>139</v>
      </c>
      <c r="T18" s="55">
        <f>SUMIFS('Normalized Units'!I:I,'Normalized Units'!B:B,"Normalized Billing Units",'Normalized Units'!C:C,N$4,'Normalized Units'!D:D,P18,'Normalized Units'!E:E,Q18,'Normalized Units'!G:G,R18,'Normalized Units'!H:H,S18)</f>
        <v>117203.33409090909</v>
      </c>
      <c r="U18" s="48"/>
      <c r="V18" s="280"/>
      <c r="W18" s="280"/>
      <c r="X18" s="48"/>
    </row>
    <row r="19" spans="1:24">
      <c r="A19" s="252" t="s">
        <v>113</v>
      </c>
      <c r="B19" s="252" t="s">
        <v>141</v>
      </c>
      <c r="C19" s="256">
        <v>6</v>
      </c>
      <c r="D19" s="256">
        <f t="shared" si="9"/>
        <v>700</v>
      </c>
      <c r="E19" s="256">
        <f t="shared" si="3"/>
        <v>4200</v>
      </c>
      <c r="F19" s="95">
        <f t="shared" si="0"/>
        <v>302091</v>
      </c>
      <c r="G19" s="95">
        <f t="shared" ca="1" si="1"/>
        <v>306172.36000000004</v>
      </c>
      <c r="H19" s="95">
        <f t="shared" ca="1" si="4"/>
        <v>4081.3600000000442</v>
      </c>
      <c r="I19" s="445">
        <f t="shared" ca="1" si="5"/>
        <v>1.3510366081743728</v>
      </c>
      <c r="J19" s="267">
        <f t="shared" ca="1" si="6"/>
        <v>306172.36000000004</v>
      </c>
      <c r="K19" s="95">
        <f t="shared" ca="1" si="2"/>
        <v>304927.70570451475</v>
      </c>
      <c r="L19" s="95">
        <f t="shared" ca="1" si="7"/>
        <v>-1244.6542954852921</v>
      </c>
      <c r="M19" s="445">
        <f t="shared" ca="1" si="8"/>
        <v>-0.40652078962493277</v>
      </c>
      <c r="N19" s="184" t="s">
        <v>154</v>
      </c>
      <c r="O19" s="57" t="s">
        <v>337</v>
      </c>
      <c r="P19" s="55" t="s">
        <v>3</v>
      </c>
      <c r="Q19" s="55" t="s">
        <v>114</v>
      </c>
      <c r="R19" s="55" t="s">
        <v>132</v>
      </c>
      <c r="S19" s="55" t="s">
        <v>144</v>
      </c>
      <c r="T19" s="55">
        <f>SUMIFS('Normalized Units'!I:I,'Normalized Units'!B:B,"Normalized Billing Units",'Normalized Units'!C:C,N$4,'Normalized Units'!D:D,P19,'Normalized Units'!E:E,Q19,'Normalized Units'!G:G,R19,'Normalized Units'!H:H,S19)</f>
        <v>20677549.9030241</v>
      </c>
      <c r="U19" s="48"/>
      <c r="V19" s="280"/>
      <c r="W19" s="280"/>
      <c r="X19" s="48"/>
    </row>
    <row r="20" spans="1:24">
      <c r="A20" s="372" t="s">
        <v>444</v>
      </c>
      <c r="B20" s="373"/>
      <c r="C20" s="373"/>
      <c r="D20" s="373"/>
      <c r="E20" s="373"/>
      <c r="F20" s="374"/>
      <c r="G20" s="374"/>
      <c r="H20" s="374"/>
      <c r="I20" s="453"/>
      <c r="J20" s="374"/>
      <c r="K20" s="374"/>
      <c r="L20" s="374"/>
      <c r="M20" s="453"/>
      <c r="N20" s="184" t="s">
        <v>154</v>
      </c>
      <c r="O20" s="57" t="s">
        <v>337</v>
      </c>
      <c r="P20" s="55" t="s">
        <v>3</v>
      </c>
      <c r="Q20" s="55" t="s">
        <v>114</v>
      </c>
      <c r="R20" s="55" t="s">
        <v>132</v>
      </c>
      <c r="S20" s="55" t="s">
        <v>145</v>
      </c>
      <c r="T20" s="55">
        <f>SUMIFS('Normalized Units'!I:I,'Normalized Units'!B:B,"Normalized Billing Units",'Normalized Units'!C:C,N$4,'Normalized Units'!D:D,P20,'Normalized Units'!E:E,Q20,'Normalized Units'!G:G,R20,'Normalized Units'!H:H,S20)</f>
        <v>30762665.039901745</v>
      </c>
      <c r="U20" s="48"/>
      <c r="V20" s="280"/>
      <c r="W20" s="280"/>
      <c r="X20" s="48"/>
    </row>
    <row r="21" spans="1:24">
      <c r="A21" s="277" t="s">
        <v>114</v>
      </c>
      <c r="B21" s="277" t="s">
        <v>140</v>
      </c>
      <c r="C21" s="255">
        <v>1</v>
      </c>
      <c r="D21" s="255">
        <f>D17</f>
        <v>300</v>
      </c>
      <c r="E21" s="255">
        <f t="shared" ref="E21:E32" si="10">C21*D21</f>
        <v>300</v>
      </c>
      <c r="F21" s="214">
        <f t="shared" ref="F21:F32" si="11">SUMIFS(T$36:T$51,Q$36:Q$51,A21,R$36:R$51,B21,S$36:S$51,"Bill")+(SUM(SUMIFS(T$36:T$51,Q$36:Q$51,A21,R$36:R$51,B21,S$36:S$51,"Load Size kW"),SUMIFS(T$36:T$51,Q$36:Q$51,A21,S$36:S$51,"kW"))*C21+SUMIFS(U$36:U$51,Q$36:Q$51,A21,S$36:S$51,"kWh*")*E21)*1000</f>
        <v>27851</v>
      </c>
      <c r="G21" s="214">
        <f t="shared" ref="G21:G32" ca="1" si="12">SUMIFS(T$92:T$113,Q$92:Q$113,A21,R$92:R$113,B21,S$92:S$113,"Bill")+(SUM(SUMIFS(T$92:T$113,Q$92:Q$113,A21,R$92:R$113,B21,S$92:S$113,"Load Size kW"),SUMIFS(T$92:T$113,Q$92:Q$113,A21,S$92:S$113,"kW"))*C21+SUMIFS(AC$92:AC$113,Q$92:Q$113,A21,S$92:S$113,"kWh*")*E21)*1000</f>
        <v>28504.770000000004</v>
      </c>
      <c r="H21" s="214">
        <f t="shared" ca="1" si="4"/>
        <v>653.77000000000407</v>
      </c>
      <c r="I21" s="448">
        <f t="shared" ca="1" si="5"/>
        <v>2.347384294998399</v>
      </c>
      <c r="J21" s="266">
        <f t="shared" ca="1" si="6"/>
        <v>28504.770000000004</v>
      </c>
      <c r="K21" s="214">
        <f t="shared" ref="K21:K32" ca="1" si="13">SUMIFS(T$158:T$179,Q$158:Q$179,A21,R$158:R$179,B21,S$158:S$179,"Bill")+(SUM(SUMIFS(T$158:T$179,Q$158:Q$179,A21,R$158:R$179,B21,S$158:S$179,"Load Size kW"),SUMIFS(T$158:T$179,Q$158:Q$179,A21,S$158:S$179,"kW"))*C21+SUMIFS(AC$158:AC$179,Q$158:Q$179,A21,S$158:S$179,"kWh*")*E21)*1000</f>
        <v>28625.461637295088</v>
      </c>
      <c r="L21" s="214">
        <f t="shared" ca="1" si="7"/>
        <v>120.69163729508364</v>
      </c>
      <c r="M21" s="448">
        <f t="shared" ca="1" si="8"/>
        <v>0.42340856388275938</v>
      </c>
      <c r="N21" s="184" t="s">
        <v>154</v>
      </c>
      <c r="O21" s="57" t="s">
        <v>337</v>
      </c>
      <c r="P21" s="55" t="s">
        <v>3</v>
      </c>
      <c r="Q21" s="55" t="s">
        <v>114</v>
      </c>
      <c r="R21" s="55" t="s">
        <v>132</v>
      </c>
      <c r="S21" s="55" t="s">
        <v>138</v>
      </c>
      <c r="T21" s="55">
        <f>SUMIFS('Normalized Units'!I:I,'Normalized Units'!B:B,"Normalized Billing Units",'Normalized Units'!C:C,N$4,'Normalized Units'!D:D,P21,'Normalized Units'!E:E,Q21,'Normalized Units'!G:G,R21,'Normalized Units'!H:H,S21)</f>
        <v>9250.1428571428569</v>
      </c>
      <c r="U21" s="48"/>
      <c r="V21" s="280"/>
      <c r="W21" s="280"/>
      <c r="X21" s="48"/>
    </row>
    <row r="22" spans="1:24">
      <c r="A22" s="248" t="s">
        <v>114</v>
      </c>
      <c r="B22" s="248" t="s">
        <v>140</v>
      </c>
      <c r="C22" s="273">
        <v>1</v>
      </c>
      <c r="D22" s="273">
        <f>D18</f>
        <v>500</v>
      </c>
      <c r="E22" s="273">
        <f t="shared" si="10"/>
        <v>500</v>
      </c>
      <c r="F22" s="94">
        <f t="shared" si="11"/>
        <v>39249</v>
      </c>
      <c r="G22" s="94">
        <f t="shared" ca="1" si="12"/>
        <v>39888.769999999997</v>
      </c>
      <c r="H22" s="94">
        <f t="shared" ca="1" si="4"/>
        <v>639.7699999999968</v>
      </c>
      <c r="I22" s="444">
        <f t="shared" ca="1" si="5"/>
        <v>1.630028790542426</v>
      </c>
      <c r="J22" s="221">
        <f t="shared" ca="1" si="6"/>
        <v>39888.769999999997</v>
      </c>
      <c r="K22" s="94">
        <f t="shared" ca="1" si="13"/>
        <v>39808.976062158479</v>
      </c>
      <c r="L22" s="94">
        <f t="shared" ca="1" si="7"/>
        <v>-79.793937841517618</v>
      </c>
      <c r="M22" s="444">
        <f t="shared" ca="1" si="8"/>
        <v>-0.20004110891741617</v>
      </c>
      <c r="N22" s="184" t="s">
        <v>154</v>
      </c>
      <c r="O22" s="57" t="s">
        <v>337</v>
      </c>
      <c r="P22" s="55" t="s">
        <v>5</v>
      </c>
      <c r="Q22" s="55" t="s">
        <v>113</v>
      </c>
      <c r="R22" s="55" t="s">
        <v>140</v>
      </c>
      <c r="S22" s="55" t="s">
        <v>271</v>
      </c>
      <c r="T22" s="55">
        <f>SUMIFS('Normalized Units'!I:I,'Normalized Units'!B:B,"Normalized Billing Units",'Normalized Units'!C:C,N$4,'Normalized Units'!D:D,P22,'Normalized Units'!E:E,Q22,'Normalized Units'!G:G,R22,'Normalized Units'!H:H,S22)</f>
        <v>309</v>
      </c>
      <c r="U22" s="48"/>
      <c r="V22" s="280"/>
      <c r="W22" s="280"/>
      <c r="X22" s="48"/>
    </row>
    <row r="23" spans="1:24">
      <c r="A23" s="332" t="s">
        <v>114</v>
      </c>
      <c r="B23" s="332" t="s">
        <v>140</v>
      </c>
      <c r="C23" s="174">
        <v>1</v>
      </c>
      <c r="D23" s="174">
        <f>D19</f>
        <v>700</v>
      </c>
      <c r="E23" s="273">
        <f t="shared" si="10"/>
        <v>700</v>
      </c>
      <c r="F23" s="94">
        <f t="shared" si="11"/>
        <v>50647</v>
      </c>
      <c r="G23" s="94">
        <f t="shared" ca="1" si="12"/>
        <v>51272.77</v>
      </c>
      <c r="H23" s="94">
        <f t="shared" ca="1" si="4"/>
        <v>625.7699999999968</v>
      </c>
      <c r="I23" s="444">
        <f t="shared" ca="1" si="5"/>
        <v>1.2355519576677727</v>
      </c>
      <c r="J23" s="221">
        <f t="shared" ca="1" si="6"/>
        <v>51272.77</v>
      </c>
      <c r="K23" s="94">
        <f t="shared" ca="1" si="13"/>
        <v>50992.490487021882</v>
      </c>
      <c r="L23" s="94">
        <f t="shared" ca="1" si="7"/>
        <v>-280.27951297811524</v>
      </c>
      <c r="M23" s="444">
        <f t="shared" ca="1" si="8"/>
        <v>-0.54664398466889008</v>
      </c>
      <c r="N23" s="184" t="s">
        <v>154</v>
      </c>
      <c r="O23" s="57" t="s">
        <v>337</v>
      </c>
      <c r="P23" s="55" t="s">
        <v>5</v>
      </c>
      <c r="Q23" s="55" t="s">
        <v>113</v>
      </c>
      <c r="R23" s="55" t="s">
        <v>141</v>
      </c>
      <c r="S23" s="55" t="s">
        <v>271</v>
      </c>
      <c r="T23" s="55">
        <f>SUMIFS('Normalized Units'!I:I,'Normalized Units'!B:B,"Normalized Billing Units",'Normalized Units'!C:C,N$4,'Normalized Units'!D:D,P23,'Normalized Units'!E:E,Q23,'Normalized Units'!G:G,R23,'Normalized Units'!H:H,S23)</f>
        <v>27</v>
      </c>
      <c r="U23" s="48"/>
      <c r="V23" s="280"/>
      <c r="W23" s="280"/>
      <c r="X23" s="48"/>
    </row>
    <row r="24" spans="1:24">
      <c r="A24" s="248" t="s">
        <v>114</v>
      </c>
      <c r="B24" s="248" t="s">
        <v>140</v>
      </c>
      <c r="C24" s="273">
        <v>2</v>
      </c>
      <c r="D24" s="273">
        <f t="shared" ref="D24:D32" si="14">D21</f>
        <v>300</v>
      </c>
      <c r="E24" s="273">
        <f t="shared" si="10"/>
        <v>600</v>
      </c>
      <c r="F24" s="94">
        <f t="shared" si="11"/>
        <v>54358</v>
      </c>
      <c r="G24" s="94">
        <f t="shared" ca="1" si="12"/>
        <v>55750.770000000004</v>
      </c>
      <c r="H24" s="94">
        <f t="shared" ca="1" si="4"/>
        <v>1392.7700000000041</v>
      </c>
      <c r="I24" s="444">
        <f t="shared" ca="1" si="5"/>
        <v>2.5622171529489752</v>
      </c>
      <c r="J24" s="221">
        <f t="shared" ca="1" si="6"/>
        <v>55750.770000000004</v>
      </c>
      <c r="K24" s="94">
        <f t="shared" ca="1" si="13"/>
        <v>56090.73327459018</v>
      </c>
      <c r="L24" s="94">
        <f t="shared" ca="1" si="7"/>
        <v>339.9632745901763</v>
      </c>
      <c r="M24" s="444">
        <f t="shared" ca="1" si="8"/>
        <v>0.60979117344957978</v>
      </c>
      <c r="N24" s="184" t="s">
        <v>154</v>
      </c>
      <c r="O24" s="57" t="s">
        <v>337</v>
      </c>
      <c r="P24" s="55" t="s">
        <v>5</v>
      </c>
      <c r="Q24" s="55" t="s">
        <v>113</v>
      </c>
      <c r="R24" s="55" t="s">
        <v>140</v>
      </c>
      <c r="S24" s="55" t="s">
        <v>217</v>
      </c>
      <c r="T24" s="55">
        <f>SUMIFS('Normalized Units'!I:I,'Normalized Units'!B:B,"Normalized Billing Units",'Normalized Units'!C:C,N$4,'Normalized Units'!D:D,P24,'Normalized Units'!E:E,Q24,'Normalized Units'!G:G,R24,'Normalized Units'!H:H,S24)</f>
        <v>404993</v>
      </c>
      <c r="U24" s="48"/>
      <c r="V24" s="280"/>
      <c r="W24" s="280"/>
      <c r="X24" s="48"/>
    </row>
    <row r="25" spans="1:24">
      <c r="A25" s="248" t="s">
        <v>114</v>
      </c>
      <c r="B25" s="248" t="s">
        <v>140</v>
      </c>
      <c r="C25" s="273">
        <v>2</v>
      </c>
      <c r="D25" s="273">
        <f t="shared" si="14"/>
        <v>500</v>
      </c>
      <c r="E25" s="273">
        <f t="shared" si="10"/>
        <v>1000</v>
      </c>
      <c r="F25" s="94">
        <f t="shared" si="11"/>
        <v>77154</v>
      </c>
      <c r="G25" s="94">
        <f t="shared" ca="1" si="12"/>
        <v>78518.77</v>
      </c>
      <c r="H25" s="94">
        <f t="shared" ca="1" si="4"/>
        <v>1364.7700000000041</v>
      </c>
      <c r="I25" s="444">
        <f t="shared" ca="1" si="5"/>
        <v>1.768890789848879</v>
      </c>
      <c r="J25" s="221">
        <f t="shared" ca="1" si="6"/>
        <v>78518.77</v>
      </c>
      <c r="K25" s="94">
        <f t="shared" ca="1" si="13"/>
        <v>78457.762124316956</v>
      </c>
      <c r="L25" s="94">
        <f t="shared" ca="1" si="7"/>
        <v>-61.007875683048042</v>
      </c>
      <c r="M25" s="444">
        <f t="shared" ca="1" si="8"/>
        <v>-7.7698460741359082E-2</v>
      </c>
      <c r="N25" s="184" t="s">
        <v>154</v>
      </c>
      <c r="O25" s="57" t="s">
        <v>337</v>
      </c>
      <c r="P25" s="55" t="s">
        <v>5</v>
      </c>
      <c r="Q25" s="55" t="s">
        <v>113</v>
      </c>
      <c r="R25" s="55" t="s">
        <v>141</v>
      </c>
      <c r="S25" s="55" t="s">
        <v>217</v>
      </c>
      <c r="T25" s="55">
        <f>SUMIFS('Normalized Units'!I:I,'Normalized Units'!B:B,"Normalized Billing Units",'Normalized Units'!C:C,N$4,'Normalized Units'!D:D,P25,'Normalized Units'!E:E,Q25,'Normalized Units'!G:G,R25,'Normalized Units'!H:H,S25)</f>
        <v>105203</v>
      </c>
      <c r="U25" s="48"/>
      <c r="V25" s="280"/>
      <c r="W25" s="280"/>
      <c r="X25" s="48"/>
    </row>
    <row r="26" spans="1:24">
      <c r="A26" s="248" t="s">
        <v>114</v>
      </c>
      <c r="B26" s="248" t="s">
        <v>140</v>
      </c>
      <c r="C26" s="273">
        <v>2</v>
      </c>
      <c r="D26" s="273">
        <f t="shared" si="14"/>
        <v>700</v>
      </c>
      <c r="E26" s="273">
        <f t="shared" si="10"/>
        <v>1400</v>
      </c>
      <c r="F26" s="94">
        <f t="shared" si="11"/>
        <v>99950</v>
      </c>
      <c r="G26" s="94">
        <f t="shared" ca="1" si="12"/>
        <v>101286.77</v>
      </c>
      <c r="H26" s="94">
        <f t="shared" ca="1" si="4"/>
        <v>1336.7700000000041</v>
      </c>
      <c r="I26" s="444">
        <f t="shared" ca="1" si="5"/>
        <v>1.3374387193596839</v>
      </c>
      <c r="J26" s="221">
        <f t="shared" ca="1" si="6"/>
        <v>101286.77</v>
      </c>
      <c r="K26" s="94">
        <f t="shared" ca="1" si="13"/>
        <v>100824.79097404376</v>
      </c>
      <c r="L26" s="94">
        <f t="shared" ca="1" si="7"/>
        <v>-461.97902595624328</v>
      </c>
      <c r="M26" s="444">
        <f t="shared" ca="1" si="8"/>
        <v>-0.45610994008027234</v>
      </c>
      <c r="N26" s="184" t="s">
        <v>154</v>
      </c>
      <c r="O26" s="57" t="s">
        <v>337</v>
      </c>
      <c r="P26" s="55" t="s">
        <v>5</v>
      </c>
      <c r="Q26" s="55" t="s">
        <v>113</v>
      </c>
      <c r="R26" s="55" t="s">
        <v>132</v>
      </c>
      <c r="S26" s="55" t="s">
        <v>139</v>
      </c>
      <c r="T26" s="55">
        <f>SUMIFS('Normalized Units'!I:I,'Normalized Units'!B:B,"Normalized Billing Units",'Normalized Units'!C:C,N$4,'Normalized Units'!D:D,P26,'Normalized Units'!E:E,Q26,'Normalized Units'!G:G,R26,'Normalized Units'!H:H,S26)</f>
        <v>431793</v>
      </c>
      <c r="U26" s="48"/>
      <c r="V26" s="280"/>
      <c r="W26" s="280"/>
      <c r="X26" s="48"/>
    </row>
    <row r="27" spans="1:24">
      <c r="A27" s="248" t="s">
        <v>114</v>
      </c>
      <c r="B27" s="248" t="s">
        <v>141</v>
      </c>
      <c r="C27" s="273">
        <v>4</v>
      </c>
      <c r="D27" s="273">
        <f t="shared" si="14"/>
        <v>300</v>
      </c>
      <c r="E27" s="273">
        <f t="shared" si="10"/>
        <v>1200</v>
      </c>
      <c r="F27" s="94">
        <f t="shared" si="11"/>
        <v>107206.00000000001</v>
      </c>
      <c r="G27" s="94">
        <f t="shared" ca="1" si="12"/>
        <v>110019.38999999998</v>
      </c>
      <c r="H27" s="94">
        <f t="shared" ca="1" si="4"/>
        <v>2813.3899999999703</v>
      </c>
      <c r="I27" s="444">
        <f t="shared" ca="1" si="5"/>
        <v>2.6242840885771042</v>
      </c>
      <c r="J27" s="221">
        <f t="shared" ca="1" si="6"/>
        <v>110019.38999999998</v>
      </c>
      <c r="K27" s="94">
        <f t="shared" ca="1" si="13"/>
        <v>110777.79654918036</v>
      </c>
      <c r="L27" s="94">
        <f t="shared" ca="1" si="7"/>
        <v>758.40654918037762</v>
      </c>
      <c r="M27" s="444">
        <f t="shared" ca="1" si="8"/>
        <v>0.68933898759153067</v>
      </c>
      <c r="N27" s="184" t="s">
        <v>154</v>
      </c>
      <c r="O27" s="57" t="s">
        <v>337</v>
      </c>
      <c r="P27" s="55" t="s">
        <v>5</v>
      </c>
      <c r="Q27" s="55" t="s">
        <v>113</v>
      </c>
      <c r="R27" s="55" t="s">
        <v>132</v>
      </c>
      <c r="S27" s="55" t="s">
        <v>144</v>
      </c>
      <c r="T27" s="55">
        <f>SUMIFS('Normalized Units'!I:I,'Normalized Units'!B:B,"Normalized Billing Units",'Normalized Units'!C:C,N$4,'Normalized Units'!D:D,P27,'Normalized Units'!E:E,Q27,'Normalized Units'!G:G,R27,'Normalized Units'!H:H,S27)</f>
        <v>77212653.977065504</v>
      </c>
      <c r="U27" s="48"/>
      <c r="V27" s="280"/>
      <c r="W27" s="280"/>
      <c r="X27" s="48"/>
    </row>
    <row r="28" spans="1:24">
      <c r="A28" s="248" t="s">
        <v>114</v>
      </c>
      <c r="B28" s="248" t="s">
        <v>141</v>
      </c>
      <c r="C28" s="273">
        <v>4</v>
      </c>
      <c r="D28" s="273">
        <f t="shared" si="14"/>
        <v>500</v>
      </c>
      <c r="E28" s="273">
        <f t="shared" si="10"/>
        <v>2000</v>
      </c>
      <c r="F28" s="94">
        <f t="shared" si="11"/>
        <v>152798</v>
      </c>
      <c r="G28" s="94">
        <f t="shared" ca="1" si="12"/>
        <v>155555.39000000001</v>
      </c>
      <c r="H28" s="94">
        <f t="shared" ca="1" si="4"/>
        <v>2757.390000000014</v>
      </c>
      <c r="I28" s="444">
        <f t="shared" ca="1" si="5"/>
        <v>1.804598227725503</v>
      </c>
      <c r="J28" s="221">
        <f t="shared" ca="1" si="6"/>
        <v>155555.39000000001</v>
      </c>
      <c r="K28" s="94">
        <f t="shared" ca="1" si="13"/>
        <v>155511.85424863393</v>
      </c>
      <c r="L28" s="94">
        <f t="shared" ca="1" si="7"/>
        <v>-43.535751366085606</v>
      </c>
      <c r="M28" s="444">
        <f t="shared" ca="1" si="8"/>
        <v>-2.7987298521822745E-2</v>
      </c>
      <c r="N28" s="184" t="s">
        <v>154</v>
      </c>
      <c r="O28" s="57" t="s">
        <v>337</v>
      </c>
      <c r="P28" s="55" t="s">
        <v>5</v>
      </c>
      <c r="Q28" s="55" t="s">
        <v>113</v>
      </c>
      <c r="R28" s="55" t="s">
        <v>132</v>
      </c>
      <c r="S28" s="55" t="s">
        <v>145</v>
      </c>
      <c r="T28" s="55">
        <f>SUMIFS('Normalized Units'!I:I,'Normalized Units'!B:B,"Normalized Billing Units",'Normalized Units'!C:C,N$4,'Normalized Units'!D:D,P28,'Normalized Units'!E:E,Q28,'Normalized Units'!G:G,R28,'Normalized Units'!H:H,S28)</f>
        <v>121576649.19191363</v>
      </c>
      <c r="U28" s="48"/>
      <c r="V28" s="280"/>
      <c r="W28" s="280"/>
      <c r="X28" s="48"/>
    </row>
    <row r="29" spans="1:24">
      <c r="A29" s="248" t="s">
        <v>114</v>
      </c>
      <c r="B29" s="248" t="s">
        <v>141</v>
      </c>
      <c r="C29" s="273">
        <v>4</v>
      </c>
      <c r="D29" s="273">
        <f t="shared" si="14"/>
        <v>700</v>
      </c>
      <c r="E29" s="273">
        <f t="shared" si="10"/>
        <v>2800</v>
      </c>
      <c r="F29" s="94">
        <f t="shared" si="11"/>
        <v>198390</v>
      </c>
      <c r="G29" s="94">
        <f t="shared" ca="1" si="12"/>
        <v>201091.39</v>
      </c>
      <c r="H29" s="94">
        <f t="shared" ca="1" si="4"/>
        <v>2701.390000000014</v>
      </c>
      <c r="I29" s="444">
        <f t="shared" ca="1" si="5"/>
        <v>1.3616563334845577</v>
      </c>
      <c r="J29" s="221">
        <f t="shared" ca="1" si="6"/>
        <v>201091.39</v>
      </c>
      <c r="K29" s="94">
        <f t="shared" ca="1" si="13"/>
        <v>200245.91194808751</v>
      </c>
      <c r="L29" s="94">
        <f t="shared" ca="1" si="7"/>
        <v>-845.47805191250518</v>
      </c>
      <c r="M29" s="444">
        <f t="shared" ca="1" si="8"/>
        <v>-0.42044468035777421</v>
      </c>
      <c r="N29" s="184" t="s">
        <v>154</v>
      </c>
      <c r="O29" s="57" t="s">
        <v>337</v>
      </c>
      <c r="P29" s="55" t="s">
        <v>5</v>
      </c>
      <c r="Q29" s="55" t="s">
        <v>113</v>
      </c>
      <c r="R29" s="55" t="s">
        <v>132</v>
      </c>
      <c r="S29" s="55" t="s">
        <v>138</v>
      </c>
      <c r="T29" s="55">
        <f>SUMIFS('Normalized Units'!I:I,'Normalized Units'!B:B,"Normalized Billing Units",'Normalized Units'!C:C,N$4,'Normalized Units'!D:D,P29,'Normalized Units'!E:E,Q29,'Normalized Units'!G:G,R29,'Normalized Units'!H:H,S29)</f>
        <v>108851</v>
      </c>
      <c r="U29" s="48"/>
      <c r="V29" s="280"/>
      <c r="W29" s="280"/>
      <c r="X29" s="48"/>
    </row>
    <row r="30" spans="1:24">
      <c r="A30" s="248" t="s">
        <v>114</v>
      </c>
      <c r="B30" s="248" t="s">
        <v>141</v>
      </c>
      <c r="C30" s="273">
        <v>6</v>
      </c>
      <c r="D30" s="273">
        <f t="shared" si="14"/>
        <v>300</v>
      </c>
      <c r="E30" s="273">
        <f t="shared" si="10"/>
        <v>1800</v>
      </c>
      <c r="F30" s="94">
        <f t="shared" si="11"/>
        <v>160000</v>
      </c>
      <c r="G30" s="94">
        <f t="shared" ca="1" si="12"/>
        <v>164271.39000000001</v>
      </c>
      <c r="H30" s="94">
        <f t="shared" ca="1" si="4"/>
        <v>4271.390000000014</v>
      </c>
      <c r="I30" s="444">
        <f t="shared" ca="1" si="5"/>
        <v>2.6696187500000086</v>
      </c>
      <c r="J30" s="221">
        <f t="shared" ca="1" si="6"/>
        <v>164271.39000000001</v>
      </c>
      <c r="K30" s="94">
        <f t="shared" ca="1" si="13"/>
        <v>165468.33982377054</v>
      </c>
      <c r="L30" s="94">
        <f t="shared" ca="1" si="7"/>
        <v>1196.9498237705266</v>
      </c>
      <c r="M30" s="444">
        <f t="shared" ca="1" si="8"/>
        <v>0.72864168481835234</v>
      </c>
      <c r="N30" s="184" t="s">
        <v>154</v>
      </c>
      <c r="O30" s="57" t="s">
        <v>337</v>
      </c>
      <c r="P30" s="55" t="s">
        <v>5</v>
      </c>
      <c r="Q30" s="55" t="s">
        <v>114</v>
      </c>
      <c r="R30" s="55" t="s">
        <v>140</v>
      </c>
      <c r="S30" s="55" t="s">
        <v>271</v>
      </c>
      <c r="T30" s="55">
        <f>SUMIFS('Normalized Units'!I:I,'Normalized Units'!B:B,"Normalized Billing Units",'Normalized Units'!C:C,N$4,'Normalized Units'!D:D,P30,'Normalized Units'!E:E,Q30,'Normalized Units'!G:G,R30,'Normalized Units'!H:H,S30)</f>
        <v>12</v>
      </c>
      <c r="U30" s="48"/>
      <c r="V30" s="280"/>
      <c r="W30" s="280"/>
      <c r="X30" s="48"/>
    </row>
    <row r="31" spans="1:24">
      <c r="A31" s="248" t="s">
        <v>114</v>
      </c>
      <c r="B31" s="248" t="s">
        <v>141</v>
      </c>
      <c r="C31" s="273">
        <v>6</v>
      </c>
      <c r="D31" s="273">
        <f t="shared" si="14"/>
        <v>500</v>
      </c>
      <c r="E31" s="273">
        <f t="shared" si="10"/>
        <v>3000</v>
      </c>
      <c r="F31" s="94">
        <f t="shared" si="11"/>
        <v>228388</v>
      </c>
      <c r="G31" s="94">
        <f t="shared" ca="1" si="12"/>
        <v>232575.39</v>
      </c>
      <c r="H31" s="94">
        <f t="shared" ca="1" si="4"/>
        <v>4187.390000000014</v>
      </c>
      <c r="I31" s="444">
        <f t="shared" ca="1" si="5"/>
        <v>1.8334544722139579</v>
      </c>
      <c r="J31" s="221">
        <f t="shared" ca="1" si="6"/>
        <v>232575.39</v>
      </c>
      <c r="K31" s="94">
        <f t="shared" ca="1" si="13"/>
        <v>232569.4263729509</v>
      </c>
      <c r="L31" s="94">
        <f t="shared" ca="1" si="7"/>
        <v>-5.9636270491173491</v>
      </c>
      <c r="M31" s="444">
        <f t="shared" ca="1" si="8"/>
        <v>-2.5641694287247456E-3</v>
      </c>
      <c r="N31" s="184" t="s">
        <v>154</v>
      </c>
      <c r="O31" s="57" t="s">
        <v>337</v>
      </c>
      <c r="P31" s="55" t="s">
        <v>5</v>
      </c>
      <c r="Q31" s="55" t="s">
        <v>114</v>
      </c>
      <c r="R31" s="55" t="s">
        <v>140</v>
      </c>
      <c r="S31" s="55" t="s">
        <v>217</v>
      </c>
      <c r="T31" s="55">
        <f>SUMIFS('Normalized Units'!I:I,'Normalized Units'!B:B,"Normalized Billing Units",'Normalized Units'!C:C,N$4,'Normalized Units'!D:D,P31,'Normalized Units'!E:E,Q31,'Normalized Units'!G:G,R31,'Normalized Units'!H:H,S31)</f>
        <v>1080</v>
      </c>
      <c r="U31" s="48"/>
      <c r="V31" s="280"/>
      <c r="W31" s="280"/>
      <c r="X31" s="48"/>
    </row>
    <row r="32" spans="1:24">
      <c r="A32" s="252" t="s">
        <v>114</v>
      </c>
      <c r="B32" s="252" t="s">
        <v>141</v>
      </c>
      <c r="C32" s="256">
        <v>6</v>
      </c>
      <c r="D32" s="256">
        <f t="shared" si="14"/>
        <v>700</v>
      </c>
      <c r="E32" s="256">
        <f t="shared" si="10"/>
        <v>4200</v>
      </c>
      <c r="F32" s="95">
        <f t="shared" si="11"/>
        <v>296776</v>
      </c>
      <c r="G32" s="95">
        <f t="shared" ca="1" si="12"/>
        <v>300879.39</v>
      </c>
      <c r="H32" s="95">
        <f t="shared" ca="1" si="4"/>
        <v>4103.390000000014</v>
      </c>
      <c r="I32" s="445">
        <f t="shared" ca="1" si="5"/>
        <v>1.3826556055745796</v>
      </c>
      <c r="J32" s="267">
        <f t="shared" ca="1" si="6"/>
        <v>300879.39</v>
      </c>
      <c r="K32" s="95">
        <f t="shared" ca="1" si="13"/>
        <v>299670.51292213128</v>
      </c>
      <c r="L32" s="95">
        <f t="shared" ca="1" si="7"/>
        <v>-1208.8770778687322</v>
      </c>
      <c r="M32" s="445">
        <f t="shared" ca="1" si="8"/>
        <v>-0.40178128447705641</v>
      </c>
      <c r="N32" s="184" t="s">
        <v>154</v>
      </c>
      <c r="O32" s="57" t="s">
        <v>337</v>
      </c>
      <c r="P32" s="55" t="s">
        <v>5</v>
      </c>
      <c r="Q32" s="55" t="s">
        <v>114</v>
      </c>
      <c r="R32" s="55" t="s">
        <v>132</v>
      </c>
      <c r="S32" s="55" t="s">
        <v>139</v>
      </c>
      <c r="T32" s="55">
        <f>SUMIFS('Normalized Units'!I:I,'Normalized Units'!B:B,"Normalized Billing Units",'Normalized Units'!C:C,N$4,'Normalized Units'!D:D,P32,'Normalized Units'!E:E,Q32,'Normalized Units'!G:G,R32,'Normalized Units'!H:H,S32)</f>
        <v>5999.9999999999991</v>
      </c>
      <c r="U32" s="48"/>
      <c r="V32" s="280"/>
      <c r="W32" s="280"/>
      <c r="X32" s="48"/>
    </row>
    <row r="33" spans="1:25">
      <c r="A33" s="372" t="s">
        <v>444</v>
      </c>
      <c r="B33" s="373"/>
      <c r="C33" s="373"/>
      <c r="D33" s="373"/>
      <c r="E33" s="373"/>
      <c r="F33" s="374"/>
      <c r="G33" s="374"/>
      <c r="H33" s="374"/>
      <c r="I33" s="453"/>
      <c r="J33" s="374"/>
      <c r="K33" s="374"/>
      <c r="L33" s="374"/>
      <c r="M33" s="453"/>
      <c r="N33" s="184" t="s">
        <v>154</v>
      </c>
      <c r="O33" s="57" t="s">
        <v>337</v>
      </c>
      <c r="P33" s="55" t="s">
        <v>5</v>
      </c>
      <c r="Q33" s="55" t="s">
        <v>114</v>
      </c>
      <c r="R33" s="55" t="s">
        <v>132</v>
      </c>
      <c r="S33" s="55" t="s">
        <v>144</v>
      </c>
      <c r="T33" s="55">
        <f>SUMIFS('Normalized Units'!I:I,'Normalized Units'!B:B,"Normalized Billing Units",'Normalized Units'!C:C,N$4,'Normalized Units'!D:D,P33,'Normalized Units'!E:E,Q33,'Normalized Units'!G:G,R33,'Normalized Units'!H:H,S33)</f>
        <v>167400.11911145085</v>
      </c>
      <c r="U33" s="48"/>
      <c r="V33" s="280"/>
      <c r="W33" s="280"/>
      <c r="X33" s="48"/>
    </row>
    <row r="34" spans="1:25">
      <c r="A34" s="277" t="s">
        <v>443</v>
      </c>
      <c r="B34" s="277" t="s">
        <v>132</v>
      </c>
      <c r="C34" s="255">
        <v>1</v>
      </c>
      <c r="D34" s="255">
        <f>D30</f>
        <v>300</v>
      </c>
      <c r="E34" s="255">
        <f t="shared" ref="E34:E45" si="15">C34*D34</f>
        <v>300</v>
      </c>
      <c r="F34" s="214">
        <f t="shared" ref="F34:F45" si="16">SUMIFS(T$36:T$51,Q$36:Q$51,A34,R$36:R$51,B34,S$36:S$51,"Bill")+(SUM(SUMIFS(T$36:T$51,Q$36:Q$51,A34,R$36:R$51,B34,S$36:S$51,"Load Size kW"),SUMIFS(T$36:T$51,Q$36:Q$51,A34,S$36:S$51,"kW"))*C34+SUMIFS(U$36:U$51,Q$36:Q$51,A34,S$36:S$51,"kWh*")*E34)*1000</f>
        <v>0</v>
      </c>
      <c r="G34" s="214">
        <f t="shared" ref="G34:G45" ca="1" si="17">SUMIFS(T$92:T$113,Q$92:Q$113,A34,R$92:R$113,B34,S$92:S$113,"Bill")+(SUM(SUMIFS(T$92:T$113,Q$92:Q$113,A34,R$92:R$113,B34,S$92:S$113,"Load Size kW"),SUMIFS(T$92:T$113,Q$92:Q$113,A34,S$92:S$113,"kW"))*C34+SUMIFS(AC$92:AC$113,Q$92:Q$113,A34,S$92:S$113,"kWh*")*E34)*1000</f>
        <v>27691.710000000003</v>
      </c>
      <c r="H34" s="214">
        <f t="shared" ca="1" si="4"/>
        <v>27691.710000000003</v>
      </c>
      <c r="I34" s="448">
        <f t="shared" ca="1" si="5"/>
        <v>100</v>
      </c>
      <c r="J34" s="266">
        <f t="shared" ca="1" si="6"/>
        <v>27691.710000000003</v>
      </c>
      <c r="K34" s="214">
        <f t="shared" ref="K34:K45" ca="1" si="18">SUMIFS(T$158:T$179,Q$158:Q$179,A34,R$158:R$179,B34,S$158:S$179,"Bill")+(SUM(SUMIFS(T$158:T$179,Q$158:Q$179,A34,R$158:R$179,B34,S$158:S$179,"Load Size kW"),SUMIFS(T$158:T$179,Q$158:Q$179,A34,S$158:S$179,"kW"))*C34+SUMIFS(AC$158:AC$179,Q$158:Q$179,A34,S$158:S$179,"kWh*")*E34)*1000</f>
        <v>28234.829999999994</v>
      </c>
      <c r="L34" s="214">
        <f t="shared" ca="1" si="7"/>
        <v>543.11999999999171</v>
      </c>
      <c r="M34" s="448">
        <f t="shared" ca="1" si="8"/>
        <v>1.9613089982525156</v>
      </c>
      <c r="N34" s="184" t="s">
        <v>154</v>
      </c>
      <c r="O34" s="57" t="s">
        <v>337</v>
      </c>
      <c r="P34" s="55" t="s">
        <v>5</v>
      </c>
      <c r="Q34" s="55" t="s">
        <v>114</v>
      </c>
      <c r="R34" s="55" t="s">
        <v>132</v>
      </c>
      <c r="S34" s="55" t="s">
        <v>145</v>
      </c>
      <c r="T34" s="55">
        <f>SUMIFS('Normalized Units'!I:I,'Normalized Units'!B:B,"Normalized Billing Units",'Normalized Units'!C:C,N$4,'Normalized Units'!D:D,P34,'Normalized Units'!E:E,Q34,'Normalized Units'!G:G,R34,'Normalized Units'!H:H,S34)</f>
        <v>266399.6814608078</v>
      </c>
      <c r="U34" s="48"/>
      <c r="V34" s="280"/>
      <c r="W34" s="280"/>
      <c r="X34" s="48"/>
    </row>
    <row r="35" spans="1:25">
      <c r="A35" s="248" t="s">
        <v>443</v>
      </c>
      <c r="B35" s="248" t="s">
        <v>132</v>
      </c>
      <c r="C35" s="273">
        <v>1</v>
      </c>
      <c r="D35" s="273">
        <f>D31</f>
        <v>500</v>
      </c>
      <c r="E35" s="273">
        <f t="shared" si="15"/>
        <v>500</v>
      </c>
      <c r="F35" s="94">
        <f t="shared" si="16"/>
        <v>0</v>
      </c>
      <c r="G35" s="94">
        <f t="shared" ca="1" si="17"/>
        <v>37841.71</v>
      </c>
      <c r="H35" s="94">
        <f t="shared" ca="1" si="4"/>
        <v>37841.71</v>
      </c>
      <c r="I35" s="444">
        <f t="shared" ca="1" si="5"/>
        <v>100</v>
      </c>
      <c r="J35" s="221">
        <f t="shared" ca="1" si="6"/>
        <v>37841.71</v>
      </c>
      <c r="K35" s="94">
        <f t="shared" ca="1" si="18"/>
        <v>38206.83</v>
      </c>
      <c r="L35" s="94">
        <f t="shared" ca="1" si="7"/>
        <v>365.12000000000262</v>
      </c>
      <c r="M35" s="444">
        <f t="shared" ca="1" si="8"/>
        <v>0.9648612602337544</v>
      </c>
      <c r="N35" s="209" t="s">
        <v>154</v>
      </c>
      <c r="O35" s="103" t="s">
        <v>337</v>
      </c>
      <c r="P35" s="105" t="s">
        <v>5</v>
      </c>
      <c r="Q35" s="105" t="s">
        <v>114</v>
      </c>
      <c r="R35" s="105" t="s">
        <v>132</v>
      </c>
      <c r="S35" s="105" t="s">
        <v>138</v>
      </c>
      <c r="T35" s="105">
        <f>SUMIFS('Normalized Units'!I:I,'Normalized Units'!B:B,"Normalized Billing Units",'Normalized Units'!C:C,N$4,'Normalized Units'!D:D,P35,'Normalized Units'!E:E,Q35,'Normalized Units'!G:G,R35,'Normalized Units'!H:H,S35)</f>
        <v>601</v>
      </c>
      <c r="U35" s="48"/>
      <c r="V35" s="280"/>
      <c r="W35" s="280"/>
      <c r="X35" s="48"/>
    </row>
    <row r="36" spans="1:25" s="93" customFormat="1">
      <c r="A36" s="332" t="s">
        <v>443</v>
      </c>
      <c r="B36" s="332" t="s">
        <v>132</v>
      </c>
      <c r="C36" s="174">
        <v>1</v>
      </c>
      <c r="D36" s="174">
        <f>D32</f>
        <v>700</v>
      </c>
      <c r="E36" s="273">
        <f t="shared" si="15"/>
        <v>700</v>
      </c>
      <c r="F36" s="94">
        <f t="shared" si="16"/>
        <v>0</v>
      </c>
      <c r="G36" s="94">
        <f t="shared" ca="1" si="17"/>
        <v>47991.710000000006</v>
      </c>
      <c r="H36" s="94">
        <f t="shared" ca="1" si="4"/>
        <v>47991.710000000006</v>
      </c>
      <c r="I36" s="444">
        <f t="shared" ca="1" si="5"/>
        <v>100</v>
      </c>
      <c r="J36" s="221">
        <f t="shared" ca="1" si="6"/>
        <v>47991.710000000006</v>
      </c>
      <c r="K36" s="94">
        <f t="shared" ca="1" si="18"/>
        <v>48178.83</v>
      </c>
      <c r="L36" s="94">
        <f t="shared" ca="1" si="7"/>
        <v>187.11999999999534</v>
      </c>
      <c r="M36" s="444">
        <f t="shared" ca="1" si="8"/>
        <v>0.38990067242862425</v>
      </c>
      <c r="N36" s="98" t="s">
        <v>341</v>
      </c>
      <c r="O36" s="98" t="s">
        <v>338</v>
      </c>
      <c r="P36" s="97" t="s">
        <v>132</v>
      </c>
      <c r="Q36" s="97" t="s">
        <v>113</v>
      </c>
      <c r="R36" s="97" t="s">
        <v>140</v>
      </c>
      <c r="S36" s="98" t="s">
        <v>271</v>
      </c>
      <c r="T36" s="269">
        <v>1313</v>
      </c>
      <c r="U36" s="272"/>
      <c r="V36" s="281"/>
      <c r="W36" s="281"/>
      <c r="X36" s="299"/>
    </row>
    <row r="37" spans="1:25" s="93" customFormat="1">
      <c r="A37" s="248" t="s">
        <v>443</v>
      </c>
      <c r="B37" s="248" t="s">
        <v>132</v>
      </c>
      <c r="C37" s="273">
        <v>2</v>
      </c>
      <c r="D37" s="273">
        <f t="shared" ref="D37:D45" si="19">D34</f>
        <v>300</v>
      </c>
      <c r="E37" s="273">
        <f t="shared" si="15"/>
        <v>600</v>
      </c>
      <c r="F37" s="94">
        <f t="shared" si="16"/>
        <v>0</v>
      </c>
      <c r="G37" s="94">
        <f t="shared" ca="1" si="17"/>
        <v>51936.710000000006</v>
      </c>
      <c r="H37" s="94">
        <f t="shared" ca="1" si="4"/>
        <v>51936.710000000006</v>
      </c>
      <c r="I37" s="444">
        <f t="shared" ca="1" si="5"/>
        <v>100</v>
      </c>
      <c r="J37" s="221">
        <f t="shared" ca="1" si="6"/>
        <v>51936.710000000006</v>
      </c>
      <c r="K37" s="94">
        <f t="shared" ca="1" si="18"/>
        <v>52662.829999999994</v>
      </c>
      <c r="L37" s="94">
        <f t="shared" ca="1" si="7"/>
        <v>726.11999999998807</v>
      </c>
      <c r="M37" s="444">
        <f t="shared" ca="1" si="8"/>
        <v>1.3980862476656453</v>
      </c>
      <c r="N37" s="57" t="s">
        <v>341</v>
      </c>
      <c r="O37" s="57" t="s">
        <v>338</v>
      </c>
      <c r="P37" s="55" t="s">
        <v>132</v>
      </c>
      <c r="Q37" s="55" t="s">
        <v>113</v>
      </c>
      <c r="R37" s="55" t="s">
        <v>140</v>
      </c>
      <c r="S37" s="55" t="s">
        <v>217</v>
      </c>
      <c r="T37" s="270">
        <v>1.22</v>
      </c>
      <c r="U37" s="272"/>
      <c r="V37" s="281"/>
      <c r="W37" s="281"/>
      <c r="X37" s="299"/>
    </row>
    <row r="38" spans="1:25" s="93" customFormat="1">
      <c r="A38" s="248" t="s">
        <v>443</v>
      </c>
      <c r="B38" s="248" t="s">
        <v>132</v>
      </c>
      <c r="C38" s="273">
        <v>2</v>
      </c>
      <c r="D38" s="273">
        <f t="shared" si="19"/>
        <v>500</v>
      </c>
      <c r="E38" s="273">
        <f t="shared" si="15"/>
        <v>1000</v>
      </c>
      <c r="F38" s="94">
        <f t="shared" si="16"/>
        <v>0</v>
      </c>
      <c r="G38" s="94">
        <f t="shared" ca="1" si="17"/>
        <v>72236.710000000006</v>
      </c>
      <c r="H38" s="94">
        <f t="shared" ca="1" si="4"/>
        <v>72236.710000000006</v>
      </c>
      <c r="I38" s="444">
        <f t="shared" ca="1" si="5"/>
        <v>100</v>
      </c>
      <c r="J38" s="221">
        <f t="shared" ca="1" si="6"/>
        <v>72236.710000000006</v>
      </c>
      <c r="K38" s="94">
        <f t="shared" ca="1" si="18"/>
        <v>72606.83</v>
      </c>
      <c r="L38" s="94">
        <f t="shared" ca="1" si="7"/>
        <v>370.11999999999534</v>
      </c>
      <c r="M38" s="444">
        <f t="shared" ca="1" si="8"/>
        <v>0.51237106451829728</v>
      </c>
      <c r="N38" s="57" t="s">
        <v>341</v>
      </c>
      <c r="O38" s="57" t="s">
        <v>338</v>
      </c>
      <c r="P38" s="55" t="s">
        <v>132</v>
      </c>
      <c r="Q38" s="55" t="s">
        <v>113</v>
      </c>
      <c r="R38" s="55" t="s">
        <v>141</v>
      </c>
      <c r="S38" s="57" t="s">
        <v>271</v>
      </c>
      <c r="T38" s="270">
        <v>1587</v>
      </c>
      <c r="U38" s="272"/>
      <c r="V38" s="281"/>
      <c r="W38" s="281"/>
      <c r="X38" s="299"/>
    </row>
    <row r="39" spans="1:25" s="93" customFormat="1">
      <c r="A39" s="248" t="s">
        <v>443</v>
      </c>
      <c r="B39" s="248" t="s">
        <v>132</v>
      </c>
      <c r="C39" s="273">
        <v>2</v>
      </c>
      <c r="D39" s="273">
        <f t="shared" si="19"/>
        <v>700</v>
      </c>
      <c r="E39" s="273">
        <f t="shared" si="15"/>
        <v>1400</v>
      </c>
      <c r="F39" s="94">
        <f t="shared" si="16"/>
        <v>0</v>
      </c>
      <c r="G39" s="94">
        <f t="shared" ca="1" si="17"/>
        <v>92536.710000000021</v>
      </c>
      <c r="H39" s="94">
        <f t="shared" ca="1" si="4"/>
        <v>92536.710000000021</v>
      </c>
      <c r="I39" s="444">
        <f t="shared" ca="1" si="5"/>
        <v>100</v>
      </c>
      <c r="J39" s="221">
        <f t="shared" ca="1" si="6"/>
        <v>92536.710000000021</v>
      </c>
      <c r="K39" s="94">
        <f t="shared" ca="1" si="18"/>
        <v>92550.83</v>
      </c>
      <c r="L39" s="94">
        <f t="shared" ca="1" si="7"/>
        <v>14.119999999980791</v>
      </c>
      <c r="M39" s="444">
        <f t="shared" ca="1" si="8"/>
        <v>1.5258809179601035E-2</v>
      </c>
      <c r="N39" s="57" t="s">
        <v>341</v>
      </c>
      <c r="O39" s="57" t="s">
        <v>338</v>
      </c>
      <c r="P39" s="55" t="s">
        <v>132</v>
      </c>
      <c r="Q39" s="55" t="s">
        <v>113</v>
      </c>
      <c r="R39" s="55" t="s">
        <v>141</v>
      </c>
      <c r="S39" s="55" t="s">
        <v>217</v>
      </c>
      <c r="T39" s="270">
        <v>1.0900000000000001</v>
      </c>
      <c r="U39" s="272"/>
      <c r="V39" s="281"/>
      <c r="W39" s="281"/>
      <c r="X39" s="299"/>
    </row>
    <row r="40" spans="1:25" s="93" customFormat="1">
      <c r="A40" s="248" t="s">
        <v>443</v>
      </c>
      <c r="B40" s="248" t="s">
        <v>132</v>
      </c>
      <c r="C40" s="273">
        <v>4</v>
      </c>
      <c r="D40" s="273">
        <f t="shared" si="19"/>
        <v>300</v>
      </c>
      <c r="E40" s="273">
        <f t="shared" si="15"/>
        <v>1200</v>
      </c>
      <c r="F40" s="94">
        <f t="shared" si="16"/>
        <v>0</v>
      </c>
      <c r="G40" s="94">
        <f t="shared" ca="1" si="17"/>
        <v>100426.71000000002</v>
      </c>
      <c r="H40" s="94">
        <f t="shared" ca="1" si="4"/>
        <v>100426.71000000002</v>
      </c>
      <c r="I40" s="444">
        <f t="shared" ca="1" si="5"/>
        <v>100</v>
      </c>
      <c r="J40" s="221">
        <f t="shared" ca="1" si="6"/>
        <v>100426.71000000002</v>
      </c>
      <c r="K40" s="94">
        <f t="shared" ca="1" si="18"/>
        <v>101518.82999999999</v>
      </c>
      <c r="L40" s="94">
        <f t="shared" ca="1" si="7"/>
        <v>1092.1199999999662</v>
      </c>
      <c r="M40" s="444">
        <f t="shared" ca="1" si="8"/>
        <v>1.0874796157316773</v>
      </c>
      <c r="N40" s="57" t="s">
        <v>341</v>
      </c>
      <c r="O40" s="57" t="s">
        <v>338</v>
      </c>
      <c r="P40" s="55" t="s">
        <v>132</v>
      </c>
      <c r="Q40" s="55" t="s">
        <v>113</v>
      </c>
      <c r="R40" s="55" t="s">
        <v>132</v>
      </c>
      <c r="S40" s="55" t="s">
        <v>139</v>
      </c>
      <c r="T40" s="270">
        <v>8.73</v>
      </c>
      <c r="U40" s="272"/>
      <c r="V40" s="281"/>
      <c r="W40" s="281"/>
      <c r="X40" s="299"/>
    </row>
    <row r="41" spans="1:25" s="93" customFormat="1">
      <c r="A41" s="248" t="s">
        <v>443</v>
      </c>
      <c r="B41" s="248" t="s">
        <v>132</v>
      </c>
      <c r="C41" s="273">
        <v>4</v>
      </c>
      <c r="D41" s="273">
        <f t="shared" si="19"/>
        <v>500</v>
      </c>
      <c r="E41" s="273">
        <f t="shared" si="15"/>
        <v>2000</v>
      </c>
      <c r="F41" s="94">
        <f t="shared" si="16"/>
        <v>0</v>
      </c>
      <c r="G41" s="94">
        <f t="shared" ca="1" si="17"/>
        <v>141026.71</v>
      </c>
      <c r="H41" s="94">
        <f t="shared" ca="1" si="4"/>
        <v>141026.71</v>
      </c>
      <c r="I41" s="444">
        <f t="shared" ca="1" si="5"/>
        <v>100</v>
      </c>
      <c r="J41" s="221">
        <f t="shared" ca="1" si="6"/>
        <v>141026.71</v>
      </c>
      <c r="K41" s="94">
        <f t="shared" ca="1" si="18"/>
        <v>141406.82999999999</v>
      </c>
      <c r="L41" s="94">
        <f t="shared" ca="1" si="7"/>
        <v>380.11999999999534</v>
      </c>
      <c r="M41" s="444">
        <f t="shared" ca="1" si="8"/>
        <v>0.2695375932686761</v>
      </c>
      <c r="N41" s="57" t="s">
        <v>341</v>
      </c>
      <c r="O41" s="57" t="s">
        <v>338</v>
      </c>
      <c r="P41" s="55" t="s">
        <v>132</v>
      </c>
      <c r="Q41" s="55" t="s">
        <v>113</v>
      </c>
      <c r="R41" s="55" t="s">
        <v>132</v>
      </c>
      <c r="S41" s="55" t="s">
        <v>144</v>
      </c>
      <c r="T41" s="270">
        <v>6.318E-2</v>
      </c>
      <c r="U41" s="272"/>
      <c r="V41" s="281"/>
      <c r="W41" s="281"/>
      <c r="X41" s="299"/>
    </row>
    <row r="42" spans="1:25" s="93" customFormat="1">
      <c r="A42" s="248" t="s">
        <v>443</v>
      </c>
      <c r="B42" s="248" t="s">
        <v>132</v>
      </c>
      <c r="C42" s="273">
        <v>4</v>
      </c>
      <c r="D42" s="273">
        <f t="shared" si="19"/>
        <v>700</v>
      </c>
      <c r="E42" s="273">
        <f t="shared" si="15"/>
        <v>2800</v>
      </c>
      <c r="F42" s="94">
        <f t="shared" si="16"/>
        <v>0</v>
      </c>
      <c r="G42" s="94">
        <f t="shared" ca="1" si="17"/>
        <v>181626.71000000002</v>
      </c>
      <c r="H42" s="94">
        <f t="shared" ca="1" si="4"/>
        <v>181626.71000000002</v>
      </c>
      <c r="I42" s="444">
        <f t="shared" ca="1" si="5"/>
        <v>100</v>
      </c>
      <c r="J42" s="221">
        <f t="shared" ca="1" si="6"/>
        <v>181626.71000000002</v>
      </c>
      <c r="K42" s="94">
        <f t="shared" ca="1" si="18"/>
        <v>181294.83</v>
      </c>
      <c r="L42" s="94">
        <f t="shared" ca="1" si="7"/>
        <v>-331.88000000003376</v>
      </c>
      <c r="M42" s="444">
        <f t="shared" ca="1" si="8"/>
        <v>-0.18272642828801652</v>
      </c>
      <c r="N42" s="57" t="s">
        <v>341</v>
      </c>
      <c r="O42" s="57" t="s">
        <v>338</v>
      </c>
      <c r="P42" s="55" t="s">
        <v>132</v>
      </c>
      <c r="Q42" s="55" t="s">
        <v>113</v>
      </c>
      <c r="R42" s="55" t="s">
        <v>132</v>
      </c>
      <c r="S42" s="55" t="s">
        <v>145</v>
      </c>
      <c r="T42" s="270">
        <v>5.3850000000000002E-2</v>
      </c>
      <c r="U42" s="333">
        <f>ROUND(18875456.7440604/328149970.819057,5)</f>
        <v>5.7520000000000002E-2</v>
      </c>
      <c r="V42" s="281"/>
      <c r="W42" s="281"/>
      <c r="X42" s="299"/>
      <c r="Y42" s="257"/>
    </row>
    <row r="43" spans="1:25" s="93" customFormat="1">
      <c r="A43" s="248" t="s">
        <v>443</v>
      </c>
      <c r="B43" s="248" t="s">
        <v>132</v>
      </c>
      <c r="C43" s="273">
        <v>6</v>
      </c>
      <c r="D43" s="273">
        <f t="shared" si="19"/>
        <v>300</v>
      </c>
      <c r="E43" s="273">
        <f t="shared" si="15"/>
        <v>1800</v>
      </c>
      <c r="F43" s="94">
        <f t="shared" si="16"/>
        <v>0</v>
      </c>
      <c r="G43" s="94">
        <f t="shared" ca="1" si="17"/>
        <v>148916.71000000002</v>
      </c>
      <c r="H43" s="94">
        <f t="shared" ca="1" si="4"/>
        <v>148916.71000000002</v>
      </c>
      <c r="I43" s="444">
        <f t="shared" ca="1" si="5"/>
        <v>100</v>
      </c>
      <c r="J43" s="221">
        <f t="shared" ca="1" si="6"/>
        <v>148916.71000000002</v>
      </c>
      <c r="K43" s="94">
        <f t="shared" ca="1" si="18"/>
        <v>150374.82999999996</v>
      </c>
      <c r="L43" s="94">
        <f t="shared" ca="1" si="7"/>
        <v>1458.1199999999371</v>
      </c>
      <c r="M43" s="444">
        <f t="shared" ca="1" si="8"/>
        <v>0.97915136588764085</v>
      </c>
      <c r="N43" s="57" t="s">
        <v>341</v>
      </c>
      <c r="O43" s="57" t="s">
        <v>338</v>
      </c>
      <c r="P43" s="55" t="s">
        <v>132</v>
      </c>
      <c r="Q43" s="55" t="s">
        <v>113</v>
      </c>
      <c r="R43" s="55" t="s">
        <v>132</v>
      </c>
      <c r="S43" s="55" t="s">
        <v>138</v>
      </c>
      <c r="T43" s="270">
        <v>0.56999999999999995</v>
      </c>
      <c r="U43" s="272"/>
      <c r="V43" s="281"/>
      <c r="W43" s="281"/>
      <c r="X43" s="299"/>
    </row>
    <row r="44" spans="1:25" s="93" customFormat="1">
      <c r="A44" s="248" t="s">
        <v>443</v>
      </c>
      <c r="B44" s="248" t="s">
        <v>132</v>
      </c>
      <c r="C44" s="273">
        <v>6</v>
      </c>
      <c r="D44" s="273">
        <f t="shared" si="19"/>
        <v>500</v>
      </c>
      <c r="E44" s="273">
        <f t="shared" si="15"/>
        <v>3000</v>
      </c>
      <c r="F44" s="94">
        <f t="shared" si="16"/>
        <v>0</v>
      </c>
      <c r="G44" s="94">
        <f t="shared" ca="1" si="17"/>
        <v>209816.71</v>
      </c>
      <c r="H44" s="94">
        <f t="shared" ca="1" si="4"/>
        <v>209816.71</v>
      </c>
      <c r="I44" s="444">
        <f t="shared" ca="1" si="5"/>
        <v>100</v>
      </c>
      <c r="J44" s="221">
        <f t="shared" ca="1" si="6"/>
        <v>209816.71</v>
      </c>
      <c r="K44" s="94">
        <f t="shared" ca="1" si="18"/>
        <v>210206.83</v>
      </c>
      <c r="L44" s="94">
        <f t="shared" ca="1" si="7"/>
        <v>390.11999999999534</v>
      </c>
      <c r="M44" s="444">
        <f t="shared" ca="1" si="8"/>
        <v>0.1859337132871807</v>
      </c>
      <c r="N44" s="57" t="s">
        <v>341</v>
      </c>
      <c r="O44" s="57" t="s">
        <v>338</v>
      </c>
      <c r="P44" s="55" t="s">
        <v>132</v>
      </c>
      <c r="Q44" s="55" t="s">
        <v>114</v>
      </c>
      <c r="R44" s="55" t="s">
        <v>140</v>
      </c>
      <c r="S44" s="57" t="s">
        <v>271</v>
      </c>
      <c r="T44" s="270">
        <v>1344</v>
      </c>
      <c r="U44" s="272"/>
      <c r="V44" s="281"/>
      <c r="W44" s="281"/>
      <c r="X44" s="299"/>
    </row>
    <row r="45" spans="1:25" s="93" customFormat="1">
      <c r="A45" s="252" t="s">
        <v>443</v>
      </c>
      <c r="B45" s="252" t="s">
        <v>132</v>
      </c>
      <c r="C45" s="256">
        <v>6</v>
      </c>
      <c r="D45" s="256">
        <f t="shared" si="19"/>
        <v>700</v>
      </c>
      <c r="E45" s="256">
        <f t="shared" si="15"/>
        <v>4200</v>
      </c>
      <c r="F45" s="95">
        <f t="shared" si="16"/>
        <v>0</v>
      </c>
      <c r="G45" s="95">
        <f t="shared" ca="1" si="17"/>
        <v>270716.71000000002</v>
      </c>
      <c r="H45" s="95">
        <f t="shared" ca="1" si="4"/>
        <v>270716.71000000002</v>
      </c>
      <c r="I45" s="445">
        <f t="shared" ca="1" si="5"/>
        <v>100</v>
      </c>
      <c r="J45" s="267">
        <f t="shared" ca="1" si="6"/>
        <v>270716.71000000002</v>
      </c>
      <c r="K45" s="95">
        <f t="shared" ca="1" si="18"/>
        <v>270038.83</v>
      </c>
      <c r="L45" s="95">
        <f t="shared" ca="1" si="7"/>
        <v>-677.88000000000466</v>
      </c>
      <c r="M45" s="445">
        <f t="shared" ca="1" si="8"/>
        <v>-0.25040197924982344</v>
      </c>
      <c r="N45" s="57" t="s">
        <v>341</v>
      </c>
      <c r="O45" s="57" t="s">
        <v>338</v>
      </c>
      <c r="P45" s="55" t="s">
        <v>132</v>
      </c>
      <c r="Q45" s="55" t="s">
        <v>114</v>
      </c>
      <c r="R45" s="55" t="s">
        <v>140</v>
      </c>
      <c r="S45" s="55" t="s">
        <v>217</v>
      </c>
      <c r="T45" s="270">
        <v>0.61</v>
      </c>
      <c r="U45" s="272"/>
      <c r="V45" s="281"/>
      <c r="W45" s="281"/>
      <c r="X45" s="299"/>
    </row>
    <row r="46" spans="1:25" s="93" customFormat="1">
      <c r="A46" s="372" t="s">
        <v>444</v>
      </c>
      <c r="B46" s="373"/>
      <c r="C46" s="373"/>
      <c r="D46" s="373"/>
      <c r="E46" s="373"/>
      <c r="F46" s="374"/>
      <c r="G46" s="374"/>
      <c r="H46" s="374"/>
      <c r="I46" s="453"/>
      <c r="J46" s="374"/>
      <c r="K46" s="374"/>
      <c r="L46" s="374"/>
      <c r="M46" s="453"/>
      <c r="N46" s="57" t="s">
        <v>341</v>
      </c>
      <c r="O46" s="57" t="s">
        <v>338</v>
      </c>
      <c r="P46" s="55" t="s">
        <v>132</v>
      </c>
      <c r="Q46" s="55" t="s">
        <v>114</v>
      </c>
      <c r="R46" s="55" t="s">
        <v>141</v>
      </c>
      <c r="S46" s="57" t="s">
        <v>271</v>
      </c>
      <c r="T46" s="270">
        <v>1618</v>
      </c>
      <c r="U46" s="272"/>
      <c r="V46" s="281"/>
      <c r="W46" s="281"/>
      <c r="X46" s="299"/>
    </row>
    <row r="47" spans="1:25" s="93" customFormat="1">
      <c r="N47" s="57" t="s">
        <v>341</v>
      </c>
      <c r="O47" s="57" t="s">
        <v>338</v>
      </c>
      <c r="P47" s="55" t="s">
        <v>132</v>
      </c>
      <c r="Q47" s="55" t="s">
        <v>114</v>
      </c>
      <c r="R47" s="55" t="s">
        <v>141</v>
      </c>
      <c r="S47" s="55" t="s">
        <v>217</v>
      </c>
      <c r="T47" s="270">
        <v>0.5</v>
      </c>
      <c r="U47" s="272"/>
      <c r="V47" s="281"/>
      <c r="W47" s="281"/>
      <c r="X47" s="299"/>
    </row>
    <row r="48" spans="1:25" s="93" customFormat="1">
      <c r="N48" s="57" t="s">
        <v>341</v>
      </c>
      <c r="O48" s="57" t="s">
        <v>338</v>
      </c>
      <c r="P48" s="55" t="s">
        <v>132</v>
      </c>
      <c r="Q48" s="55" t="s">
        <v>114</v>
      </c>
      <c r="R48" s="55" t="s">
        <v>132</v>
      </c>
      <c r="S48" s="55" t="s">
        <v>139</v>
      </c>
      <c r="T48" s="270">
        <v>8.8000000000000007</v>
      </c>
      <c r="U48" s="272"/>
      <c r="V48" s="281"/>
      <c r="W48" s="281"/>
      <c r="X48" s="299"/>
    </row>
    <row r="49" spans="4:25" s="93" customFormat="1">
      <c r="N49" s="57" t="s">
        <v>341</v>
      </c>
      <c r="O49" s="57" t="s">
        <v>338</v>
      </c>
      <c r="P49" s="55" t="s">
        <v>132</v>
      </c>
      <c r="Q49" s="55" t="s">
        <v>114</v>
      </c>
      <c r="R49" s="55" t="s">
        <v>132</v>
      </c>
      <c r="S49" s="55" t="s">
        <v>144</v>
      </c>
      <c r="T49" s="270">
        <v>6.2579999999999997E-2</v>
      </c>
      <c r="U49" s="272"/>
      <c r="V49" s="281"/>
      <c r="W49" s="281"/>
      <c r="X49" s="299"/>
    </row>
    <row r="50" spans="4:25" s="93" customFormat="1">
      <c r="N50" s="57" t="s">
        <v>341</v>
      </c>
      <c r="O50" s="57" t="s">
        <v>338</v>
      </c>
      <c r="P50" s="55" t="s">
        <v>132</v>
      </c>
      <c r="Q50" s="55" t="s">
        <v>114</v>
      </c>
      <c r="R50" s="55" t="s">
        <v>132</v>
      </c>
      <c r="S50" s="55" t="s">
        <v>145</v>
      </c>
      <c r="T50" s="270">
        <v>5.3249999999999999E-2</v>
      </c>
      <c r="U50" s="333">
        <f>ROUND(3788115.84610862/66470622.8092966,5)</f>
        <v>5.6989999999999999E-2</v>
      </c>
      <c r="V50" s="281"/>
      <c r="W50" s="281"/>
      <c r="X50" s="299"/>
      <c r="Y50" s="257"/>
    </row>
    <row r="51" spans="4:25" s="93" customFormat="1">
      <c r="N51" s="103" t="s">
        <v>341</v>
      </c>
      <c r="O51" s="103" t="s">
        <v>338</v>
      </c>
      <c r="P51" s="105" t="s">
        <v>132</v>
      </c>
      <c r="Q51" s="105" t="s">
        <v>114</v>
      </c>
      <c r="R51" s="105" t="s">
        <v>132</v>
      </c>
      <c r="S51" s="105" t="s">
        <v>138</v>
      </c>
      <c r="T51" s="271">
        <v>0.56000000000000005</v>
      </c>
      <c r="U51" s="272"/>
      <c r="V51" s="281"/>
      <c r="W51" s="281"/>
      <c r="X51" s="299"/>
    </row>
    <row r="52" spans="4:25" s="93" customFormat="1">
      <c r="N52" s="98" t="s">
        <v>341</v>
      </c>
      <c r="O52" s="98" t="s">
        <v>19</v>
      </c>
      <c r="P52" s="99" t="s">
        <v>3</v>
      </c>
      <c r="Q52" s="99" t="s">
        <v>113</v>
      </c>
      <c r="R52" s="99" t="s">
        <v>140</v>
      </c>
      <c r="S52" s="99" t="s">
        <v>271</v>
      </c>
      <c r="T52" s="167">
        <f>T8*T36</f>
        <v>464364.33333333326</v>
      </c>
      <c r="U52" s="111"/>
      <c r="V52" s="38"/>
      <c r="W52" s="38"/>
      <c r="Y52" s="111"/>
    </row>
    <row r="53" spans="4:25" s="93" customFormat="1">
      <c r="N53" s="57" t="s">
        <v>341</v>
      </c>
      <c r="O53" s="57" t="s">
        <v>19</v>
      </c>
      <c r="P53" s="101" t="s">
        <v>3</v>
      </c>
      <c r="Q53" s="101" t="s">
        <v>113</v>
      </c>
      <c r="R53" s="101" t="s">
        <v>140</v>
      </c>
      <c r="S53" s="101" t="s">
        <v>217</v>
      </c>
      <c r="T53" s="164">
        <f>T9*T37</f>
        <v>505049.4966666667</v>
      </c>
      <c r="U53" s="111"/>
      <c r="V53" s="38"/>
      <c r="W53" s="38"/>
      <c r="X53" s="111"/>
      <c r="Y53" s="111"/>
    </row>
    <row r="54" spans="4:25" s="93" customFormat="1">
      <c r="N54" s="57" t="s">
        <v>341</v>
      </c>
      <c r="O54" s="57" t="s">
        <v>19</v>
      </c>
      <c r="P54" s="101" t="s">
        <v>3</v>
      </c>
      <c r="Q54" s="101" t="s">
        <v>113</v>
      </c>
      <c r="R54" s="101" t="s">
        <v>132</v>
      </c>
      <c r="S54" s="101" t="s">
        <v>139</v>
      </c>
      <c r="T54" s="164">
        <f>T10*T40</f>
        <v>2548106.5800000005</v>
      </c>
      <c r="U54" s="111"/>
      <c r="V54" s="38"/>
      <c r="W54" s="38"/>
      <c r="X54" s="111"/>
      <c r="Y54" s="111"/>
    </row>
    <row r="55" spans="4:25" s="93" customFormat="1">
      <c r="N55" s="57" t="s">
        <v>341</v>
      </c>
      <c r="O55" s="57" t="s">
        <v>19</v>
      </c>
      <c r="P55" s="101" t="s">
        <v>3</v>
      </c>
      <c r="Q55" s="101" t="s">
        <v>113</v>
      </c>
      <c r="R55" s="101" t="s">
        <v>132</v>
      </c>
      <c r="S55" s="101" t="s">
        <v>144</v>
      </c>
      <c r="T55" s="164">
        <f>T11*T41</f>
        <v>3105508.64195135</v>
      </c>
      <c r="U55" s="111"/>
      <c r="V55" s="38"/>
      <c r="W55" s="38"/>
      <c r="X55" s="111"/>
      <c r="Y55" s="111"/>
    </row>
    <row r="56" spans="4:25" s="93" customFormat="1">
      <c r="N56" s="57" t="s">
        <v>341</v>
      </c>
      <c r="O56" s="57" t="s">
        <v>19</v>
      </c>
      <c r="P56" s="101" t="s">
        <v>3</v>
      </c>
      <c r="Q56" s="101" t="s">
        <v>113</v>
      </c>
      <c r="R56" s="101" t="s">
        <v>132</v>
      </c>
      <c r="S56" s="101" t="s">
        <v>145</v>
      </c>
      <c r="T56" s="164">
        <f>T12*T42</f>
        <v>3999419.5113605219</v>
      </c>
      <c r="U56" s="111"/>
      <c r="V56" s="38"/>
      <c r="W56" s="38"/>
      <c r="X56" s="111"/>
      <c r="Y56" s="111"/>
    </row>
    <row r="57" spans="4:25" s="93" customFormat="1">
      <c r="N57" s="57" t="s">
        <v>341</v>
      </c>
      <c r="O57" s="57" t="s">
        <v>19</v>
      </c>
      <c r="P57" s="101" t="s">
        <v>3</v>
      </c>
      <c r="Q57" s="101" t="s">
        <v>113</v>
      </c>
      <c r="R57" s="101" t="s">
        <v>132</v>
      </c>
      <c r="S57" s="101" t="s">
        <v>138</v>
      </c>
      <c r="T57" s="164">
        <f>T13*T43</f>
        <v>17939.23</v>
      </c>
      <c r="U57" s="111"/>
      <c r="V57" s="38"/>
      <c r="W57" s="38"/>
      <c r="X57" s="111"/>
      <c r="Y57" s="111"/>
    </row>
    <row r="58" spans="4:25" s="93" customFormat="1">
      <c r="N58" s="57" t="s">
        <v>341</v>
      </c>
      <c r="O58" s="57" t="s">
        <v>19</v>
      </c>
      <c r="P58" s="101" t="s">
        <v>3</v>
      </c>
      <c r="Q58" s="101" t="s">
        <v>114</v>
      </c>
      <c r="R58" s="101" t="s">
        <v>140</v>
      </c>
      <c r="S58" s="101" t="s">
        <v>271</v>
      </c>
      <c r="T58" s="164">
        <f>T14*T44</f>
        <v>112448</v>
      </c>
      <c r="U58" s="111"/>
      <c r="V58" s="38"/>
      <c r="W58" s="38"/>
      <c r="X58" s="111"/>
      <c r="Y58" s="111"/>
    </row>
    <row r="59" spans="4:25" s="93" customFormat="1">
      <c r="N59" s="57" t="s">
        <v>341</v>
      </c>
      <c r="O59" s="57" t="s">
        <v>19</v>
      </c>
      <c r="P59" s="101" t="s">
        <v>3</v>
      </c>
      <c r="Q59" s="101" t="s">
        <v>114</v>
      </c>
      <c r="R59" s="101" t="s">
        <v>141</v>
      </c>
      <c r="S59" s="101" t="s">
        <v>271</v>
      </c>
      <c r="T59" s="164">
        <f>T15*T46</f>
        <v>19416</v>
      </c>
      <c r="U59" s="111"/>
      <c r="V59" s="38"/>
      <c r="W59" s="38"/>
      <c r="X59" s="111"/>
      <c r="Y59" s="111"/>
    </row>
    <row r="60" spans="4:25" s="93" customFormat="1">
      <c r="N60" s="57" t="s">
        <v>341</v>
      </c>
      <c r="O60" s="57" t="s">
        <v>19</v>
      </c>
      <c r="P60" s="101" t="s">
        <v>3</v>
      </c>
      <c r="Q60" s="101" t="s">
        <v>114</v>
      </c>
      <c r="R60" s="101" t="s">
        <v>140</v>
      </c>
      <c r="S60" s="101" t="s">
        <v>217</v>
      </c>
      <c r="T60" s="164">
        <f>T16*T45</f>
        <v>55799.56</v>
      </c>
      <c r="U60" s="111"/>
      <c r="V60" s="38"/>
      <c r="W60" s="38"/>
      <c r="X60" s="111"/>
      <c r="Y60" s="111"/>
    </row>
    <row r="61" spans="4:25" s="93" customFormat="1">
      <c r="N61" s="57" t="s">
        <v>341</v>
      </c>
      <c r="O61" s="57" t="s">
        <v>19</v>
      </c>
      <c r="P61" s="101" t="s">
        <v>3</v>
      </c>
      <c r="Q61" s="101" t="s">
        <v>114</v>
      </c>
      <c r="R61" s="101" t="s">
        <v>141</v>
      </c>
      <c r="S61" s="101" t="s">
        <v>217</v>
      </c>
      <c r="T61" s="164">
        <f>T17*T47</f>
        <v>27203</v>
      </c>
      <c r="U61" s="111"/>
      <c r="V61" s="38"/>
      <c r="W61" s="38"/>
      <c r="X61" s="111"/>
    </row>
    <row r="62" spans="4:25" s="93" customFormat="1">
      <c r="N62" s="57" t="s">
        <v>341</v>
      </c>
      <c r="O62" s="57" t="s">
        <v>19</v>
      </c>
      <c r="P62" s="101" t="s">
        <v>3</v>
      </c>
      <c r="Q62" s="101" t="s">
        <v>114</v>
      </c>
      <c r="R62" s="101" t="s">
        <v>132</v>
      </c>
      <c r="S62" s="101" t="s">
        <v>139</v>
      </c>
      <c r="T62" s="164">
        <f>T18*T48</f>
        <v>1031389.3400000001</v>
      </c>
      <c r="U62" s="111"/>
      <c r="V62" s="38"/>
      <c r="W62" s="38"/>
      <c r="X62" s="111"/>
    </row>
    <row r="63" spans="4:25" s="93" customFormat="1">
      <c r="N63" s="57" t="s">
        <v>341</v>
      </c>
      <c r="O63" s="57" t="s">
        <v>19</v>
      </c>
      <c r="P63" s="101" t="s">
        <v>3</v>
      </c>
      <c r="Q63" s="101" t="s">
        <v>114</v>
      </c>
      <c r="R63" s="101" t="s">
        <v>132</v>
      </c>
      <c r="S63" s="101" t="s">
        <v>144</v>
      </c>
      <c r="T63" s="164">
        <f>T19*T49</f>
        <v>1294001.072931248</v>
      </c>
      <c r="U63" s="111"/>
      <c r="V63" s="38"/>
      <c r="W63" s="38"/>
      <c r="X63" s="111"/>
    </row>
    <row r="64" spans="4:25" s="93" customFormat="1">
      <c r="D64" s="183"/>
      <c r="N64" s="57" t="s">
        <v>341</v>
      </c>
      <c r="O64" s="57" t="s">
        <v>19</v>
      </c>
      <c r="P64" s="101" t="s">
        <v>3</v>
      </c>
      <c r="Q64" s="101" t="s">
        <v>114</v>
      </c>
      <c r="R64" s="101" t="s">
        <v>132</v>
      </c>
      <c r="S64" s="101" t="s">
        <v>145</v>
      </c>
      <c r="T64" s="164">
        <f>T20*T50</f>
        <v>1638111.9133747679</v>
      </c>
      <c r="U64" s="111"/>
      <c r="V64" s="38"/>
      <c r="W64" s="38"/>
      <c r="X64" s="111"/>
    </row>
    <row r="65" spans="14:31" s="93" customFormat="1">
      <c r="N65" s="57" t="s">
        <v>341</v>
      </c>
      <c r="O65" s="57" t="s">
        <v>19</v>
      </c>
      <c r="P65" s="101" t="s">
        <v>3</v>
      </c>
      <c r="Q65" s="101" t="s">
        <v>114</v>
      </c>
      <c r="R65" s="101" t="s">
        <v>132</v>
      </c>
      <c r="S65" s="101" t="s">
        <v>138</v>
      </c>
      <c r="T65" s="164">
        <f>T21*T51</f>
        <v>5180.08</v>
      </c>
      <c r="U65" s="111"/>
      <c r="V65" s="38"/>
      <c r="W65" s="38"/>
      <c r="X65" s="111"/>
    </row>
    <row r="66" spans="14:31" s="93" customFormat="1">
      <c r="N66" s="57" t="s">
        <v>341</v>
      </c>
      <c r="O66" s="57" t="s">
        <v>19</v>
      </c>
      <c r="P66" s="55" t="s">
        <v>3</v>
      </c>
      <c r="Q66" s="55" t="s">
        <v>132</v>
      </c>
      <c r="R66" s="55" t="s">
        <v>132</v>
      </c>
      <c r="S66" s="162" t="s">
        <v>105</v>
      </c>
      <c r="T66" s="164">
        <f>Unbilled!E13</f>
        <v>211823.16276683079</v>
      </c>
      <c r="U66" s="111"/>
      <c r="V66" s="38"/>
      <c r="W66" s="38"/>
      <c r="X66" s="111"/>
    </row>
    <row r="67" spans="14:31" s="93" customFormat="1">
      <c r="N67" s="57" t="s">
        <v>341</v>
      </c>
      <c r="O67" s="57" t="s">
        <v>19</v>
      </c>
      <c r="P67" s="101" t="s">
        <v>5</v>
      </c>
      <c r="Q67" s="101" t="s">
        <v>113</v>
      </c>
      <c r="R67" s="101" t="s">
        <v>140</v>
      </c>
      <c r="S67" s="101" t="s">
        <v>271</v>
      </c>
      <c r="T67" s="164">
        <f>T22*T36</f>
        <v>405717</v>
      </c>
      <c r="U67" s="111"/>
      <c r="V67" s="38"/>
      <c r="W67" s="38"/>
      <c r="X67" s="111"/>
    </row>
    <row r="68" spans="14:31" s="93" customFormat="1">
      <c r="N68" s="57" t="s">
        <v>341</v>
      </c>
      <c r="O68" s="57" t="s">
        <v>19</v>
      </c>
      <c r="P68" s="101" t="s">
        <v>5</v>
      </c>
      <c r="Q68" s="101" t="s">
        <v>113</v>
      </c>
      <c r="R68" s="101" t="s">
        <v>141</v>
      </c>
      <c r="S68" s="101" t="s">
        <v>271</v>
      </c>
      <c r="T68" s="164">
        <f>T23*T38</f>
        <v>42849</v>
      </c>
      <c r="U68" s="111"/>
      <c r="V68" s="38"/>
      <c r="W68" s="38"/>
      <c r="X68" s="111"/>
    </row>
    <row r="69" spans="14:31" s="93" customFormat="1">
      <c r="N69" s="57" t="s">
        <v>341</v>
      </c>
      <c r="O69" s="57" t="s">
        <v>19</v>
      </c>
      <c r="P69" s="101" t="s">
        <v>5</v>
      </c>
      <c r="Q69" s="101" t="s">
        <v>113</v>
      </c>
      <c r="R69" s="101" t="s">
        <v>140</v>
      </c>
      <c r="S69" s="101" t="s">
        <v>217</v>
      </c>
      <c r="T69" s="164">
        <f>T24*T37</f>
        <v>494091.45999999996</v>
      </c>
      <c r="U69" s="111"/>
      <c r="V69" s="38"/>
      <c r="W69" s="38"/>
      <c r="X69" s="111"/>
    </row>
    <row r="70" spans="14:31" s="93" customFormat="1">
      <c r="N70" s="57" t="s">
        <v>341</v>
      </c>
      <c r="O70" s="57" t="s">
        <v>19</v>
      </c>
      <c r="P70" s="101" t="s">
        <v>5</v>
      </c>
      <c r="Q70" s="101" t="s">
        <v>113</v>
      </c>
      <c r="R70" s="101" t="s">
        <v>141</v>
      </c>
      <c r="S70" s="101" t="s">
        <v>217</v>
      </c>
      <c r="T70" s="164">
        <f t="shared" ref="T70:T76" si="20">T25*T39</f>
        <v>114671.27</v>
      </c>
      <c r="U70" s="111"/>
      <c r="V70" s="38"/>
      <c r="W70" s="38"/>
      <c r="X70" s="111"/>
    </row>
    <row r="71" spans="14:31" s="93" customFormat="1">
      <c r="N71" s="57" t="s">
        <v>341</v>
      </c>
      <c r="O71" s="57" t="s">
        <v>19</v>
      </c>
      <c r="P71" s="101" t="s">
        <v>5</v>
      </c>
      <c r="Q71" s="101" t="s">
        <v>113</v>
      </c>
      <c r="R71" s="101" t="s">
        <v>132</v>
      </c>
      <c r="S71" s="101" t="s">
        <v>139</v>
      </c>
      <c r="T71" s="164">
        <f t="shared" si="20"/>
        <v>3769552.89</v>
      </c>
      <c r="U71" s="111"/>
      <c r="V71" s="38"/>
      <c r="W71" s="38"/>
      <c r="X71" s="111"/>
    </row>
    <row r="72" spans="14:31" s="93" customFormat="1">
      <c r="N72" s="57" t="s">
        <v>341</v>
      </c>
      <c r="O72" s="57" t="s">
        <v>19</v>
      </c>
      <c r="P72" s="101" t="s">
        <v>5</v>
      </c>
      <c r="Q72" s="101" t="s">
        <v>113</v>
      </c>
      <c r="R72" s="101" t="s">
        <v>132</v>
      </c>
      <c r="S72" s="101" t="s">
        <v>144</v>
      </c>
      <c r="T72" s="164">
        <f t="shared" si="20"/>
        <v>4878295.4782709982</v>
      </c>
      <c r="U72" s="111"/>
      <c r="V72" s="38"/>
      <c r="W72" s="38"/>
      <c r="X72" s="111"/>
    </row>
    <row r="73" spans="14:31" s="93" customFormat="1">
      <c r="N73" s="57" t="s">
        <v>341</v>
      </c>
      <c r="O73" s="57" t="s">
        <v>19</v>
      </c>
      <c r="P73" s="101" t="s">
        <v>5</v>
      </c>
      <c r="Q73" s="101" t="s">
        <v>113</v>
      </c>
      <c r="R73" s="101" t="s">
        <v>132</v>
      </c>
      <c r="S73" s="101" t="s">
        <v>145</v>
      </c>
      <c r="T73" s="164">
        <f t="shared" si="20"/>
        <v>6546902.5589845497</v>
      </c>
      <c r="U73" s="111"/>
      <c r="V73" s="38"/>
      <c r="W73" s="38"/>
      <c r="X73" s="111"/>
    </row>
    <row r="74" spans="14:31" s="93" customFormat="1">
      <c r="N74" s="57" t="s">
        <v>341</v>
      </c>
      <c r="O74" s="57" t="s">
        <v>19</v>
      </c>
      <c r="P74" s="101" t="s">
        <v>5</v>
      </c>
      <c r="Q74" s="101" t="s">
        <v>113</v>
      </c>
      <c r="R74" s="101" t="s">
        <v>132</v>
      </c>
      <c r="S74" s="101" t="s">
        <v>138</v>
      </c>
      <c r="T74" s="164">
        <f t="shared" si="20"/>
        <v>62045.069999999992</v>
      </c>
      <c r="U74" s="111"/>
      <c r="V74" s="38"/>
      <c r="W74" s="38"/>
      <c r="X74" s="111"/>
    </row>
    <row r="75" spans="14:31" s="93" customFormat="1">
      <c r="N75" s="57" t="s">
        <v>341</v>
      </c>
      <c r="O75" s="57" t="s">
        <v>19</v>
      </c>
      <c r="P75" s="101" t="s">
        <v>5</v>
      </c>
      <c r="Q75" s="101" t="s">
        <v>114</v>
      </c>
      <c r="R75" s="101" t="s">
        <v>140</v>
      </c>
      <c r="S75" s="101" t="s">
        <v>271</v>
      </c>
      <c r="T75" s="164">
        <f t="shared" si="20"/>
        <v>16128</v>
      </c>
      <c r="U75" s="111"/>
      <c r="V75" s="38"/>
      <c r="W75" s="38"/>
      <c r="X75" s="111"/>
      <c r="AD75" s="474" t="s">
        <v>509</v>
      </c>
      <c r="AE75" s="287"/>
    </row>
    <row r="76" spans="14:31" s="93" customFormat="1">
      <c r="N76" s="57" t="s">
        <v>341</v>
      </c>
      <c r="O76" s="57" t="s">
        <v>19</v>
      </c>
      <c r="P76" s="101" t="s">
        <v>5</v>
      </c>
      <c r="Q76" s="101" t="s">
        <v>114</v>
      </c>
      <c r="R76" s="101" t="s">
        <v>140</v>
      </c>
      <c r="S76" s="101" t="s">
        <v>217</v>
      </c>
      <c r="T76" s="164">
        <f t="shared" si="20"/>
        <v>658.8</v>
      </c>
      <c r="U76" s="111"/>
      <c r="V76" s="38"/>
      <c r="W76" s="38"/>
      <c r="AD76" s="265" t="s">
        <v>502</v>
      </c>
      <c r="AE76" s="325"/>
    </row>
    <row r="77" spans="14:31" s="93" customFormat="1">
      <c r="N77" s="57" t="s">
        <v>341</v>
      </c>
      <c r="O77" s="57" t="s">
        <v>19</v>
      </c>
      <c r="P77" s="101" t="s">
        <v>5</v>
      </c>
      <c r="Q77" s="101" t="s">
        <v>114</v>
      </c>
      <c r="R77" s="101" t="s">
        <v>132</v>
      </c>
      <c r="S77" s="101" t="s">
        <v>139</v>
      </c>
      <c r="T77" s="164">
        <f>T32*T48</f>
        <v>52799.999999999993</v>
      </c>
      <c r="U77" s="111"/>
      <c r="V77" s="38"/>
      <c r="W77" s="38"/>
      <c r="AD77" s="332" t="s">
        <v>113</v>
      </c>
      <c r="AE77" s="461">
        <f>1.07676-0.03503</f>
        <v>1.04173</v>
      </c>
    </row>
    <row r="78" spans="14:31" s="93" customFormat="1">
      <c r="N78" s="57" t="s">
        <v>341</v>
      </c>
      <c r="O78" s="57" t="s">
        <v>19</v>
      </c>
      <c r="P78" s="101" t="s">
        <v>5</v>
      </c>
      <c r="Q78" s="101" t="s">
        <v>114</v>
      </c>
      <c r="R78" s="101" t="s">
        <v>132</v>
      </c>
      <c r="S78" s="101" t="s">
        <v>144</v>
      </c>
      <c r="T78" s="164">
        <f>T33*T49</f>
        <v>10475.899453994594</v>
      </c>
      <c r="U78" s="111"/>
      <c r="V78" s="38"/>
      <c r="W78" s="38"/>
      <c r="AD78" s="390" t="s">
        <v>114</v>
      </c>
      <c r="AE78" s="462">
        <f>1.06214-0.03503</f>
        <v>1.0271100000000002</v>
      </c>
    </row>
    <row r="79" spans="14:31" s="93" customFormat="1">
      <c r="N79" s="57" t="s">
        <v>341</v>
      </c>
      <c r="O79" s="57" t="s">
        <v>19</v>
      </c>
      <c r="P79" s="101" t="s">
        <v>5</v>
      </c>
      <c r="Q79" s="101" t="s">
        <v>114</v>
      </c>
      <c r="R79" s="101" t="s">
        <v>132</v>
      </c>
      <c r="S79" s="101" t="s">
        <v>145</v>
      </c>
      <c r="T79" s="164">
        <f>T34*T50</f>
        <v>14185.783037788015</v>
      </c>
      <c r="U79" s="111"/>
      <c r="V79" s="38"/>
      <c r="W79" s="38"/>
    </row>
    <row r="80" spans="14:31" s="93" customFormat="1">
      <c r="N80" s="57" t="s">
        <v>341</v>
      </c>
      <c r="O80" s="57" t="s">
        <v>19</v>
      </c>
      <c r="P80" s="101" t="s">
        <v>5</v>
      </c>
      <c r="Q80" s="101" t="s">
        <v>114</v>
      </c>
      <c r="R80" s="101" t="s">
        <v>132</v>
      </c>
      <c r="S80" s="101" t="s">
        <v>138</v>
      </c>
      <c r="T80" s="164">
        <f>T35*T51</f>
        <v>336.56000000000006</v>
      </c>
      <c r="U80" s="111"/>
      <c r="V80" s="38"/>
      <c r="W80" s="38"/>
      <c r="X80" s="357"/>
      <c r="Y80" s="297"/>
      <c r="Z80" s="266"/>
      <c r="AA80" s="447" t="s">
        <v>504</v>
      </c>
      <c r="AB80" s="154"/>
      <c r="AC80" s="286"/>
      <c r="AD80" s="290" t="s">
        <v>4</v>
      </c>
      <c r="AE80" s="465"/>
    </row>
    <row r="81" spans="14:31" s="93" customFormat="1">
      <c r="N81" s="103" t="s">
        <v>341</v>
      </c>
      <c r="O81" s="103" t="s">
        <v>19</v>
      </c>
      <c r="P81" s="105" t="s">
        <v>5</v>
      </c>
      <c r="Q81" s="105" t="s">
        <v>132</v>
      </c>
      <c r="R81" s="105" t="s">
        <v>132</v>
      </c>
      <c r="S81" s="163" t="s">
        <v>105</v>
      </c>
      <c r="T81" s="165">
        <f>Unbilled!E14</f>
        <v>316128.70153986604</v>
      </c>
      <c r="U81" s="111"/>
      <c r="V81" s="38"/>
      <c r="W81" s="38"/>
      <c r="X81" s="330" t="s">
        <v>443</v>
      </c>
      <c r="Y81" s="331"/>
      <c r="Z81" s="341"/>
      <c r="AA81" s="611" t="s">
        <v>503</v>
      </c>
      <c r="AB81" s="367" t="s">
        <v>506</v>
      </c>
      <c r="AC81" s="612" t="s">
        <v>505</v>
      </c>
      <c r="AD81" s="367" t="s">
        <v>507</v>
      </c>
      <c r="AE81" s="367" t="s">
        <v>508</v>
      </c>
    </row>
    <row r="82" spans="14:31">
      <c r="N82" s="294" t="s">
        <v>470</v>
      </c>
      <c r="O82" s="210" t="s">
        <v>19</v>
      </c>
      <c r="P82" s="166" t="s">
        <v>132</v>
      </c>
      <c r="Q82" s="166" t="s">
        <v>132</v>
      </c>
      <c r="R82" s="166" t="s">
        <v>132</v>
      </c>
      <c r="S82" s="435" t="s">
        <v>132</v>
      </c>
      <c r="T82" s="167">
        <f ca="1">'Cost of Service and Proposed $'!O134</f>
        <v>226547.98086113838</v>
      </c>
      <c r="X82" s="357">
        <f ca="1">(T82-AA82-AB82-AC82)*AD82/AE82</f>
        <v>217896.89341214602</v>
      </c>
      <c r="Y82" s="378"/>
      <c r="Z82" s="378"/>
      <c r="AA82" s="221">
        <v>0</v>
      </c>
      <c r="AB82" s="94">
        <v>0</v>
      </c>
      <c r="AC82" s="94">
        <v>0</v>
      </c>
      <c r="AD82" s="94">
        <f t="shared" ref="AD82:AD85" si="21">($T$11+$T$12+$T$27+$T$28)+($T$19+$T$20+$T$33+$T$34)</f>
        <v>374086296.54652476</v>
      </c>
      <c r="AE82" s="94">
        <f>($T$11+$T$12+$T$27+$T$28)*$AE$77+($T$19+$T$20+$T$33+$T$34)*$AE$78</f>
        <v>388938519.60586137</v>
      </c>
    </row>
    <row r="83" spans="14:31">
      <c r="N83" s="174" t="s">
        <v>471</v>
      </c>
      <c r="O83" s="47" t="s">
        <v>19</v>
      </c>
      <c r="P83" s="162" t="s">
        <v>132</v>
      </c>
      <c r="Q83" s="162" t="s">
        <v>132</v>
      </c>
      <c r="R83" s="162" t="s">
        <v>132</v>
      </c>
      <c r="S83" s="436" t="s">
        <v>132</v>
      </c>
      <c r="T83" s="164">
        <f ca="1">'Cost of Service and Proposed $'!O135</f>
        <v>1229586.0769587322</v>
      </c>
      <c r="X83" s="335">
        <f ca="1">(T83-AA83-AB83-AC83)*AD83/AE83</f>
        <v>937273.19097419456</v>
      </c>
      <c r="Y83" s="377"/>
      <c r="Z83" s="377"/>
      <c r="AA83" s="221">
        <f ca="1">'Cost of Service and Proposed $'!O115*T83/(T83+T84)</f>
        <v>65975.296541207252</v>
      </c>
      <c r="AB83" s="94">
        <f ca="1">'Cost of Service and Proposed $'!O116*T83/(T83+T84)</f>
        <v>177480.65202141291</v>
      </c>
      <c r="AC83" s="94">
        <f ca="1">'Cost of Service and Proposed $'!O117*T83/(T83+T84)</f>
        <v>11644.693540234211</v>
      </c>
      <c r="AD83" s="94">
        <f t="shared" si="21"/>
        <v>374086296.54652476</v>
      </c>
      <c r="AE83" s="94">
        <f>($T$11+$T$12+$T$27+$T$28)*$AE$77+($T$19+$T$20+$T$33+$T$34)*$AE$78</f>
        <v>388938519.60586137</v>
      </c>
    </row>
    <row r="84" spans="14:31">
      <c r="N84" s="174" t="s">
        <v>472</v>
      </c>
      <c r="O84" s="47" t="s">
        <v>19</v>
      </c>
      <c r="P84" s="162" t="s">
        <v>132</v>
      </c>
      <c r="Q84" s="162" t="s">
        <v>132</v>
      </c>
      <c r="R84" s="162" t="s">
        <v>132</v>
      </c>
      <c r="S84" s="436" t="s">
        <v>132</v>
      </c>
      <c r="T84" s="164">
        <f ca="1">'Cost of Service and Proposed $'!O136</f>
        <v>12760981.207470072</v>
      </c>
      <c r="X84" s="335">
        <f ca="1">(T84-AA84-AB84-AC84)*AD84/AE84</f>
        <v>9727277.9843689054</v>
      </c>
      <c r="Y84" s="377"/>
      <c r="Z84" s="377"/>
      <c r="AA84" s="221">
        <f ca="1">'Cost of Service and Proposed $'!O115*T84/(T83+T84)</f>
        <v>684709.70442508312</v>
      </c>
      <c r="AB84" s="94">
        <f ca="1">'Cost of Service and Proposed $'!O116*T84/(T83+T84)</f>
        <v>1841942.8355407428</v>
      </c>
      <c r="AC84" s="94">
        <f ca="1">'Cost of Service and Proposed $'!O117*T84/(T83+T84)</f>
        <v>120851.82015172103</v>
      </c>
      <c r="AD84" s="94">
        <f t="shared" si="21"/>
        <v>374086296.54652476</v>
      </c>
      <c r="AE84" s="94">
        <f>($T$11+$T$12+$T$27+$T$28)*$AE$77+($T$19+$T$20+$T$33+$T$34)*$AE$78</f>
        <v>388938519.60586137</v>
      </c>
    </row>
    <row r="85" spans="14:31">
      <c r="N85" s="283" t="s">
        <v>473</v>
      </c>
      <c r="O85" s="211" t="s">
        <v>19</v>
      </c>
      <c r="P85" s="163" t="s">
        <v>132</v>
      </c>
      <c r="Q85" s="163" t="s">
        <v>132</v>
      </c>
      <c r="R85" s="163" t="s">
        <v>132</v>
      </c>
      <c r="S85" s="437" t="s">
        <v>132</v>
      </c>
      <c r="T85" s="165">
        <f ca="1">'Cost of Service and Proposed $'!O137</f>
        <v>18262402.367855452</v>
      </c>
      <c r="U85" s="38"/>
      <c r="V85" s="316"/>
      <c r="W85" s="317"/>
      <c r="X85" s="336">
        <f ca="1">(T85-AA85-AB85-AC85)*AD85/AE85</f>
        <v>17565024.093670603</v>
      </c>
      <c r="Y85" s="466"/>
      <c r="Z85" s="466"/>
      <c r="AA85" s="267">
        <v>0</v>
      </c>
      <c r="AB85" s="95">
        <v>0</v>
      </c>
      <c r="AC85" s="95">
        <v>0</v>
      </c>
      <c r="AD85" s="95">
        <f t="shared" si="21"/>
        <v>374086296.54652476</v>
      </c>
      <c r="AE85" s="95">
        <f>($T$11+$T$12+$T$27+$T$28)*$AE$77+($T$19+$T$20+$T$33+$T$34)*$AE$78</f>
        <v>388938519.60586137</v>
      </c>
    </row>
    <row r="86" spans="14:31">
      <c r="N86" s="389" t="s">
        <v>468</v>
      </c>
      <c r="O86" s="210" t="s">
        <v>19</v>
      </c>
      <c r="P86" s="97" t="s">
        <v>132</v>
      </c>
      <c r="Q86" s="166" t="s">
        <v>132</v>
      </c>
      <c r="R86" s="166" t="s">
        <v>132</v>
      </c>
      <c r="S86" s="98" t="s">
        <v>271</v>
      </c>
      <c r="T86" s="164">
        <f ca="1">(U86*(V86-W86)+W86*100)/100</f>
        <v>998936.36394653679</v>
      </c>
      <c r="U86" s="508">
        <v>10</v>
      </c>
      <c r="V86" s="111">
        <f ca="1">T82*(1-SUM(V90:V91)/SUM(T82,T84,T85))</f>
        <v>222100.72330732874</v>
      </c>
      <c r="W86" s="111" cm="1">
        <f t="array" aca="1" ref="W86" ca="1">SUMIFS(T$52:T$81,S$52:S$81,"Bill")/SUM(SUMIFS(T$52:T$81,S$52:S$81,{"Bill","kW","kWh*"}))*(SUM(T82,T84,T85)-SUM(W$90:W$91))</f>
        <v>1085251.4351286709</v>
      </c>
      <c r="X86" s="167">
        <f ca="1">(U86*(Y86-Z86)+Z86*100)/100</f>
        <v>878803.10061276844</v>
      </c>
      <c r="Y86" s="94">
        <f ca="1">X82*(1-SUM(Y90:Y91)/SUM(X82,X84,X85))</f>
        <v>213037.98779491978</v>
      </c>
      <c r="Z86" s="94" cm="1">
        <f t="array" aca="1" ref="Z86" ca="1">SUMIFS(T$52:T$81,S$52:S$81,"Bill")/SUM(SUMIFS(T$52:T$81,S$52:S$81,{"Bill","kW","kWh*"}))*(SUM(X82,X84,X85)-SUM(Z$90:Z$91))</f>
        <v>952777.00203697383</v>
      </c>
    </row>
    <row r="87" spans="14:31">
      <c r="N87" s="387" t="s">
        <v>468</v>
      </c>
      <c r="O87" s="47" t="s">
        <v>19</v>
      </c>
      <c r="P87" s="55" t="s">
        <v>132</v>
      </c>
      <c r="Q87" s="162" t="s">
        <v>132</v>
      </c>
      <c r="R87" s="162" t="s">
        <v>132</v>
      </c>
      <c r="S87" s="55" t="s">
        <v>217</v>
      </c>
      <c r="T87" s="164">
        <f t="shared" ref="T87:T91" ca="1" si="22">(U87*(V87-W87)+W87*100)/100</f>
        <v>1229586.0769587322</v>
      </c>
      <c r="U87" s="279">
        <f>$U$86</f>
        <v>10</v>
      </c>
      <c r="V87" s="111">
        <f ca="1">T83</f>
        <v>1229586.0769587322</v>
      </c>
      <c r="W87" s="111">
        <f ca="1">T83</f>
        <v>1229586.0769587322</v>
      </c>
      <c r="X87" s="164">
        <f t="shared" ref="X87:X91" ca="1" si="23">(U87*(Y87-Z87)+Z87*100)/100</f>
        <v>937273.19097419456</v>
      </c>
      <c r="Y87" s="94">
        <f ca="1">X83</f>
        <v>937273.19097419456</v>
      </c>
      <c r="Z87" s="94">
        <f ca="1">X83</f>
        <v>937273.19097419456</v>
      </c>
    </row>
    <row r="88" spans="14:31">
      <c r="N88" s="387" t="s">
        <v>468</v>
      </c>
      <c r="O88" s="47" t="s">
        <v>19</v>
      </c>
      <c r="P88" s="55" t="s">
        <v>132</v>
      </c>
      <c r="Q88" s="162" t="s">
        <v>132</v>
      </c>
      <c r="R88" s="55" t="s">
        <v>132</v>
      </c>
      <c r="S88" s="55" t="s">
        <v>139</v>
      </c>
      <c r="T88" s="164">
        <f t="shared" ca="1" si="22"/>
        <v>8065477.0347317299</v>
      </c>
      <c r="U88" s="279">
        <f t="shared" ref="U88:U91" si="24">$U$86</f>
        <v>10</v>
      </c>
      <c r="V88" s="111">
        <f ca="1">T84*(1-SUM(V90:V91)/SUM(T82,T84,T85))</f>
        <v>12510476.348176138</v>
      </c>
      <c r="W88" s="111" cm="1">
        <f t="array" aca="1" ref="W88" ca="1">SUMIFS(T$52:T$81,S$52:S$81,"kW")/SUM(SUMIFS(T$52:T$81,S$52:S$81,{"Bill","kW","kWh*"}))*(SUM(T82,T84,T85)-SUM(W$90:W$91))</f>
        <v>7571588.2221267959</v>
      </c>
      <c r="X88" s="164">
        <f t="shared" ca="1" si="23"/>
        <v>6933642.7169029983</v>
      </c>
      <c r="Y88" s="94">
        <f ca="1">X84*(1-SUM(Y90:Y91)/SUM(X82,X84,X85))</f>
        <v>9510368.3951662146</v>
      </c>
      <c r="Z88" s="94" cm="1">
        <f t="array" aca="1" ref="Z88" ca="1">SUMIFS(T$52:T$81,S$52:S$81,"kW")/SUM(SUMIFS(T$52:T$81,S$52:S$81,{"Bill","kW","kWh*"}))*(SUM(X82,X84,X85)-SUM(Z$90:Z$91))</f>
        <v>6647339.8637626404</v>
      </c>
    </row>
    <row r="89" spans="14:31">
      <c r="N89" s="387" t="s">
        <v>468</v>
      </c>
      <c r="O89" s="47" t="s">
        <v>19</v>
      </c>
      <c r="P89" s="55" t="s">
        <v>132</v>
      </c>
      <c r="Q89" s="162" t="s">
        <v>132</v>
      </c>
      <c r="R89" s="55" t="s">
        <v>132</v>
      </c>
      <c r="S89" s="55" t="s">
        <v>4</v>
      </c>
      <c r="T89" s="164">
        <f t="shared" ca="1" si="22"/>
        <v>21572065.353201695</v>
      </c>
      <c r="U89" s="279">
        <f t="shared" si="24"/>
        <v>10</v>
      </c>
      <c r="V89" s="111">
        <f ca="1">T85*(1-SUM(V90:V91)/SUM(T82,T84,T85))</f>
        <v>17903901.680396497</v>
      </c>
      <c r="W89" s="111" cm="1">
        <f t="array" aca="1" ref="W89" ca="1">SUMIFS(T$52:T$81,S$52:S$81,"kWh*")/SUM(SUMIFS(T$52:T$81,S$52:S$81,{"Bill","kW","kWh*"}))*(SUM(T82,T84,T85)-SUM(W$90:W$91))</f>
        <v>21979639.094624497</v>
      </c>
      <c r="X89" s="164">
        <f t="shared" ca="1" si="23"/>
        <v>19084300.349629194</v>
      </c>
      <c r="Y89" s="94">
        <f ca="1">X85*(1-SUM(Y90:Y91)/SUM(X82,X84,X85))</f>
        <v>17173339.784183826</v>
      </c>
      <c r="Z89" s="94" cm="1">
        <f t="array" aca="1" ref="Z89" ca="1">SUMIFS(T$52:T$81,S$52:S$81,"kWh*")/SUM(SUMIFS(T$52:T$81,S$52:S$81,{"Bill","kW","kWh*"}))*(SUM(X82,X84,X85)-SUM(Z$90:Z$91))</f>
        <v>19296629.301345345</v>
      </c>
    </row>
    <row r="90" spans="14:31">
      <c r="N90" s="387" t="s">
        <v>468</v>
      </c>
      <c r="O90" s="47" t="s">
        <v>19</v>
      </c>
      <c r="P90" s="55" t="s">
        <v>132</v>
      </c>
      <c r="Q90" s="162" t="s">
        <v>132</v>
      </c>
      <c r="R90" s="55" t="s">
        <v>132</v>
      </c>
      <c r="S90" s="55" t="s">
        <v>138</v>
      </c>
      <c r="T90" s="164">
        <f t="shared" si="22"/>
        <v>85500.939999999988</v>
      </c>
      <c r="U90" s="279">
        <f t="shared" si="24"/>
        <v>10</v>
      </c>
      <c r="V90" s="111">
        <f>SUMIFS(T52:T81,S52:S81,S90)</f>
        <v>85500.939999999988</v>
      </c>
      <c r="W90" s="111">
        <f>SUMIFS(T52:T81,S52:S81,S90)</f>
        <v>85500.939999999988</v>
      </c>
      <c r="X90" s="164">
        <f t="shared" si="23"/>
        <v>85500.939999999988</v>
      </c>
      <c r="Y90" s="94">
        <f>SUMIFS(T52:T81,S52:S81,S90)</f>
        <v>85500.939999999988</v>
      </c>
      <c r="Z90" s="94">
        <f>SUMIFS(T52:T81,S52:S81,S90)</f>
        <v>85500.939999999988</v>
      </c>
    </row>
    <row r="91" spans="14:31">
      <c r="N91" s="388" t="s">
        <v>468</v>
      </c>
      <c r="O91" s="211" t="s">
        <v>19</v>
      </c>
      <c r="P91" s="105" t="s">
        <v>132</v>
      </c>
      <c r="Q91" s="163" t="s">
        <v>132</v>
      </c>
      <c r="R91" s="105" t="s">
        <v>132</v>
      </c>
      <c r="S91" s="105" t="s">
        <v>105</v>
      </c>
      <c r="T91" s="165">
        <f t="shared" si="22"/>
        <v>527951.86430669681</v>
      </c>
      <c r="U91" s="279">
        <f t="shared" si="24"/>
        <v>10</v>
      </c>
      <c r="V91" s="111">
        <f>SUMIFS(T52:T81,S52:S81,S91)</f>
        <v>527951.86430669681</v>
      </c>
      <c r="W91" s="111">
        <f>SUMIFS(T52:T81,S52:S81,S91)</f>
        <v>527951.86430669681</v>
      </c>
      <c r="X91" s="165">
        <f t="shared" si="23"/>
        <v>527951.86430669681</v>
      </c>
      <c r="Y91" s="95">
        <f>SUMIFS(T52:T81,S52:S81,S91)</f>
        <v>527951.86430669681</v>
      </c>
      <c r="Z91" s="95">
        <f>SUMIFS(T52:T81,S52:S81,S91)</f>
        <v>527951.86430669681</v>
      </c>
    </row>
    <row r="92" spans="14:31">
      <c r="N92" s="98" t="s">
        <v>439</v>
      </c>
      <c r="O92" s="98" t="s">
        <v>338</v>
      </c>
      <c r="P92" s="97" t="s">
        <v>132</v>
      </c>
      <c r="Q92" s="97" t="s">
        <v>113</v>
      </c>
      <c r="R92" s="97" t="s">
        <v>140</v>
      </c>
      <c r="S92" s="98" t="s">
        <v>271</v>
      </c>
      <c r="T92" s="269">
        <f t="shared" ref="T92:T113" ca="1" si="25">ROUND(U92/100*X92*Y92/Z92/AA92+AB92,V92)</f>
        <v>1229.73</v>
      </c>
      <c r="U92" s="380">
        <f>100+Summary!$P$11</f>
        <v>99.47</v>
      </c>
      <c r="V92" s="38">
        <v>2</v>
      </c>
      <c r="W92" s="281">
        <f t="shared" ref="W92:W107" ca="1" si="26">X92*Y92/Z92/AA92+AB92</f>
        <v>1236.2860170365625</v>
      </c>
      <c r="X92" s="111">
        <f ca="1">SUMIFS(T$86:T$91,S$86:S$91,S92)</f>
        <v>998936.36394653679</v>
      </c>
      <c r="Y92" s="96">
        <f>SUMIFS(T$52:T$81,Q$52:Q$81,Q92,R$52:R$81,R92,S$52:S$81,S92)</f>
        <v>870081.33333333326</v>
      </c>
      <c r="Z92" s="96">
        <f>SUMIFS(T$52:T$81,S$52:S$81,S92)</f>
        <v>1060922.3333333333</v>
      </c>
      <c r="AA92" s="93">
        <f>SUMIFS(T$8:T$35,Q$8:Q$35,Q92,R$8:R$35,R92,S$8:S$35,S92)</f>
        <v>662.66666666666663</v>
      </c>
    </row>
    <row r="93" spans="14:31">
      <c r="N93" s="57" t="s">
        <v>439</v>
      </c>
      <c r="O93" s="57" t="s">
        <v>338</v>
      </c>
      <c r="P93" s="55" t="s">
        <v>132</v>
      </c>
      <c r="Q93" s="55" t="s">
        <v>113</v>
      </c>
      <c r="R93" s="55" t="s">
        <v>141</v>
      </c>
      <c r="S93" s="57" t="s">
        <v>271</v>
      </c>
      <c r="T93" s="270">
        <f t="shared" ca="1" si="25"/>
        <v>1486.36</v>
      </c>
      <c r="U93" s="380">
        <f>100+Summary!$P$11</f>
        <v>99.47</v>
      </c>
      <c r="V93" s="38">
        <v>2</v>
      </c>
      <c r="W93" s="281">
        <f t="shared" ca="1" si="26"/>
        <v>1494.27715844404</v>
      </c>
      <c r="X93" s="111">
        <f ca="1">SUMIFS(T$86:T$91,S$86:S$91,S93)</f>
        <v>998936.36394653679</v>
      </c>
      <c r="Y93" s="96">
        <f>SUMIFS(T$52:T$81,Q$52:Q$81,Q93,R$52:R$81,R93,S$52:S$81,S93)</f>
        <v>42849</v>
      </c>
      <c r="Z93" s="96">
        <f>SUMIFS(T$52:T$81,S$52:S$81,S93)</f>
        <v>1060922.3333333333</v>
      </c>
      <c r="AA93" s="93">
        <f>SUMIFS(T$8:T$35,Q$8:Q$35,Q93,R$8:R$35,R93,S$8:S$35,S93)</f>
        <v>27</v>
      </c>
    </row>
    <row r="94" spans="14:31">
      <c r="N94" s="57" t="s">
        <v>439</v>
      </c>
      <c r="O94" s="57" t="s">
        <v>338</v>
      </c>
      <c r="P94" s="55" t="s">
        <v>132</v>
      </c>
      <c r="Q94" s="55" t="s">
        <v>113</v>
      </c>
      <c r="R94" s="55" t="s">
        <v>140</v>
      </c>
      <c r="S94" s="55" t="s">
        <v>217</v>
      </c>
      <c r="T94" s="270">
        <f t="shared" ca="1" si="25"/>
        <v>1.25</v>
      </c>
      <c r="U94" s="510">
        <f>100</f>
        <v>100</v>
      </c>
      <c r="V94" s="38">
        <v>2</v>
      </c>
      <c r="W94" s="281">
        <f t="shared" ca="1" si="26"/>
        <v>1.2527165781296061</v>
      </c>
      <c r="X94" s="111">
        <f ca="1">SUMIFS(T$86:T$91,S$86:S$91,S94)</f>
        <v>1229586.0769587322</v>
      </c>
      <c r="Y94" s="96">
        <f>SUMIFS(T$52:T$81,Q$52:Q$81,Q94,R$52:R$81,R94,S$52:S$81,S94)</f>
        <v>999140.95666666667</v>
      </c>
      <c r="Z94" s="96">
        <f>SUMIFS(T$52:T$81,S$52:S$81,S94)</f>
        <v>1197473.5866666667</v>
      </c>
      <c r="AA94" s="93">
        <f>SUMIFS(T$8:T$35,Q$8:Q$35,Q94,R$8:R$35,R94,S$8:S$35,S94)</f>
        <v>818967.99726775964</v>
      </c>
    </row>
    <row r="95" spans="14:31">
      <c r="N95" s="57" t="s">
        <v>439</v>
      </c>
      <c r="O95" s="57" t="s">
        <v>338</v>
      </c>
      <c r="P95" s="55" t="s">
        <v>132</v>
      </c>
      <c r="Q95" s="55" t="s">
        <v>113</v>
      </c>
      <c r="R95" s="55" t="s">
        <v>141</v>
      </c>
      <c r="S95" s="55" t="s">
        <v>217</v>
      </c>
      <c r="T95" s="270">
        <f t="shared" ca="1" si="25"/>
        <v>1.1200000000000001</v>
      </c>
      <c r="U95" s="510">
        <f>100</f>
        <v>100</v>
      </c>
      <c r="V95" s="38">
        <v>2</v>
      </c>
      <c r="W95" s="281">
        <f t="shared" ca="1" si="26"/>
        <v>1.1192303853780909</v>
      </c>
      <c r="X95" s="111">
        <f ca="1">SUMIFS(T$86:T$91,S$86:S$91,S95)</f>
        <v>1229586.0769587322</v>
      </c>
      <c r="Y95" s="96">
        <f>SUMIFS(T$52:T$81,Q$52:Q$81,Q95,R$52:R$81,R95,S$52:S$81,S95)</f>
        <v>114671.27</v>
      </c>
      <c r="Z95" s="96">
        <f>SUMIFS(T$52:T$81,S$52:S$81,S95)</f>
        <v>1197473.5866666667</v>
      </c>
      <c r="AA95" s="93">
        <f>SUMIFS(T$8:T$35,Q$8:Q$35,Q95,R$8:R$35,R95,S$8:S$35,S95)</f>
        <v>105203</v>
      </c>
    </row>
    <row r="96" spans="14:31">
      <c r="N96" s="57" t="s">
        <v>439</v>
      </c>
      <c r="O96" s="57" t="s">
        <v>338</v>
      </c>
      <c r="P96" s="55" t="s">
        <v>132</v>
      </c>
      <c r="Q96" s="55" t="s">
        <v>113</v>
      </c>
      <c r="R96" s="55" t="s">
        <v>132</v>
      </c>
      <c r="S96" s="55" t="s">
        <v>139</v>
      </c>
      <c r="T96" s="270">
        <f t="shared" ca="1" si="25"/>
        <v>9.4600000000000009</v>
      </c>
      <c r="U96" s="380">
        <f>100+Summary!$P$11</f>
        <v>99.47</v>
      </c>
      <c r="V96" s="38">
        <v>2</v>
      </c>
      <c r="W96" s="281">
        <f t="shared" ca="1" si="26"/>
        <v>9.5127063954725664</v>
      </c>
      <c r="X96" s="111">
        <f ca="1">SUMIFS(T$86:T$91,S$86:S$91,S96)</f>
        <v>8065477.0347317299</v>
      </c>
      <c r="Y96" s="93">
        <f>SUMIFS(T$52:T$81,Q$52:Q$81,Q96,R$52:R$81,R96,S$52:S$81,S96)</f>
        <v>6317659.4700000007</v>
      </c>
      <c r="Z96" s="93">
        <f>SUMIFS(T$52:T$81,S$52:S$81,S96)</f>
        <v>7401848.8100000005</v>
      </c>
      <c r="AA96" s="93">
        <f>SUMIFS(T$8:T$35,Q$8:Q$35,Q96,R$8:R$35,R96,S$8:S$35,S96)</f>
        <v>723672.33333333337</v>
      </c>
    </row>
    <row r="97" spans="14:31">
      <c r="N97" s="57" t="s">
        <v>439</v>
      </c>
      <c r="O97" s="57" t="s">
        <v>338</v>
      </c>
      <c r="P97" s="55" t="s">
        <v>132</v>
      </c>
      <c r="Q97" s="55" t="s">
        <v>113</v>
      </c>
      <c r="R97" s="55" t="s">
        <v>132</v>
      </c>
      <c r="S97" s="55" t="s">
        <v>144</v>
      </c>
      <c r="T97" s="270">
        <f t="shared" ca="1" si="25"/>
        <v>6.3100000000000003E-2</v>
      </c>
      <c r="U97" s="380">
        <f>100+Summary!$P$11</f>
        <v>99.47</v>
      </c>
      <c r="V97" s="38">
        <v>5</v>
      </c>
      <c r="W97" s="281">
        <f t="shared" ca="1" si="26"/>
        <v>6.3407940279266689E-2</v>
      </c>
      <c r="X97" s="111">
        <f ca="1">SUMIFS(T$86:T$91,S$86:S$91,"kWh")</f>
        <v>21572065.353201695</v>
      </c>
      <c r="Y97" s="93">
        <f>SUMIFS(T$52:T$81,Q$52:Q$81,Q97,S$52:S$81,"kWh*")</f>
        <v>18530126.190567419</v>
      </c>
      <c r="Z97" s="93">
        <f>SUMIFS(T$52:T$81,S$52:S$81,"kWh*")</f>
        <v>21486900.859365221</v>
      </c>
      <c r="AA97" s="93">
        <f>SUMIFS(T$8:T$35,Q$8:Q$35,Q97,S$8:S$35,"kWh*")</f>
        <v>322212281.80302668</v>
      </c>
      <c r="AB97" s="257">
        <f>(T12+T28)/(T11+T12+T27+T28)*(T41-T42)</f>
        <v>5.6709376921418291E-3</v>
      </c>
    </row>
    <row r="98" spans="14:31">
      <c r="N98" s="57" t="s">
        <v>439</v>
      </c>
      <c r="O98" s="57" t="s">
        <v>338</v>
      </c>
      <c r="P98" s="55" t="s">
        <v>132</v>
      </c>
      <c r="Q98" s="55" t="s">
        <v>113</v>
      </c>
      <c r="R98" s="55" t="s">
        <v>132</v>
      </c>
      <c r="S98" s="55" t="s">
        <v>145</v>
      </c>
      <c r="T98" s="270">
        <f t="shared" ca="1" si="25"/>
        <v>5.3769999999999998E-2</v>
      </c>
      <c r="U98" s="380">
        <f>100+Summary!$P$11</f>
        <v>99.47</v>
      </c>
      <c r="V98" s="38">
        <v>5</v>
      </c>
      <c r="W98" s="281">
        <f t="shared" ca="1" si="26"/>
        <v>5.4077940279266684E-2</v>
      </c>
      <c r="X98" s="111">
        <f ca="1">SUMIFS(T$86:T$91,S$86:S$91,"kWh")</f>
        <v>21572065.353201695</v>
      </c>
      <c r="Y98" s="93">
        <f>SUMIFS(T$52:T$81,Q$52:Q$81,Q98,S$52:S$81,"kWh*")</f>
        <v>18530126.190567419</v>
      </c>
      <c r="Z98" s="93">
        <f>SUMIFS(T$52:T$81,S$52:S$81,"kWh*")</f>
        <v>21486900.859365221</v>
      </c>
      <c r="AA98" s="93">
        <f>SUMIFS(T$8:T$35,Q$8:Q$35,Q98,S$8:S$35,"kWh*")</f>
        <v>322212281.80302668</v>
      </c>
      <c r="AB98" s="257">
        <f>(T11+T27)/(T11+T12+T27+T28)*(T42-T41)</f>
        <v>-3.6590623078581706E-3</v>
      </c>
      <c r="AC98" s="257">
        <f ca="1">ROUND(U98/100*X98*Y98/Z98/AA98,V98)</f>
        <v>5.7430000000000002E-2</v>
      </c>
      <c r="AE98" s="258"/>
    </row>
    <row r="99" spans="14:31">
      <c r="N99" s="57" t="s">
        <v>439</v>
      </c>
      <c r="O99" s="57" t="s">
        <v>338</v>
      </c>
      <c r="P99" s="55" t="s">
        <v>132</v>
      </c>
      <c r="Q99" s="55" t="s">
        <v>113</v>
      </c>
      <c r="R99" s="55" t="s">
        <v>132</v>
      </c>
      <c r="S99" s="55" t="s">
        <v>138</v>
      </c>
      <c r="T99" s="270">
        <f t="shared" si="25"/>
        <v>0.56999999999999995</v>
      </c>
      <c r="U99" s="380">
        <f>100+Summary!$P$11</f>
        <v>99.47</v>
      </c>
      <c r="V99" s="38">
        <v>2</v>
      </c>
      <c r="W99" s="281">
        <f t="shared" si="26"/>
        <v>0.56999999999999984</v>
      </c>
      <c r="X99" s="111">
        <f t="shared" ref="X99:X104" si="27">SUMIFS(T$86:T$91,S$86:S$91,S99)</f>
        <v>85500.939999999988</v>
      </c>
      <c r="Y99" s="93">
        <f t="shared" ref="Y99:Y104" si="28">SUMIFS(T$52:T$81,Q$52:Q$81,Q99,R$52:R$81,R99,S$52:S$81,S99)</f>
        <v>79984.299999999988</v>
      </c>
      <c r="Z99" s="93">
        <f t="shared" ref="Z99:Z104" si="29">SUMIFS(T$52:T$81,S$52:S$81,S99)</f>
        <v>85500.939999999988</v>
      </c>
      <c r="AA99" s="93">
        <f t="shared" ref="AA99:AA104" si="30">SUMIFS(T$8:T$35,Q$8:Q$35,Q99,R$8:R$35,R99,S$8:S$35,S99)</f>
        <v>140323.33333333334</v>
      </c>
    </row>
    <row r="100" spans="14:31">
      <c r="N100" s="57" t="s">
        <v>439</v>
      </c>
      <c r="O100" s="57" t="s">
        <v>338</v>
      </c>
      <c r="P100" s="55" t="s">
        <v>132</v>
      </c>
      <c r="Q100" s="55" t="s">
        <v>114</v>
      </c>
      <c r="R100" s="55" t="s">
        <v>140</v>
      </c>
      <c r="S100" s="57" t="s">
        <v>271</v>
      </c>
      <c r="T100" s="270">
        <f t="shared" ca="1" si="25"/>
        <v>1258.77</v>
      </c>
      <c r="U100" s="380">
        <f>100+Summary!$P$11</f>
        <v>99.47</v>
      </c>
      <c r="V100" s="38">
        <v>2</v>
      </c>
      <c r="W100" s="281">
        <f t="shared" ca="1" si="26"/>
        <v>1265.4747958089413</v>
      </c>
      <c r="X100" s="111">
        <f t="shared" ca="1" si="27"/>
        <v>998936.36394653679</v>
      </c>
      <c r="Y100" s="93">
        <f t="shared" si="28"/>
        <v>128576</v>
      </c>
      <c r="Z100" s="93">
        <f t="shared" si="29"/>
        <v>1060922.3333333333</v>
      </c>
      <c r="AA100" s="93">
        <f t="shared" si="30"/>
        <v>95.666666666666671</v>
      </c>
    </row>
    <row r="101" spans="14:31">
      <c r="N101" s="57" t="s">
        <v>439</v>
      </c>
      <c r="O101" s="57" t="s">
        <v>338</v>
      </c>
      <c r="P101" s="55" t="s">
        <v>132</v>
      </c>
      <c r="Q101" s="55" t="s">
        <v>114</v>
      </c>
      <c r="R101" s="55" t="s">
        <v>141</v>
      </c>
      <c r="S101" s="57" t="s">
        <v>271</v>
      </c>
      <c r="T101" s="270">
        <f t="shared" ca="1" si="25"/>
        <v>1515.39</v>
      </c>
      <c r="U101" s="380">
        <f>100+Summary!$P$11</f>
        <v>99.47</v>
      </c>
      <c r="V101" s="38">
        <v>2</v>
      </c>
      <c r="W101" s="281">
        <f t="shared" ca="1" si="26"/>
        <v>1523.465937216419</v>
      </c>
      <c r="X101" s="111">
        <f t="shared" ca="1" si="27"/>
        <v>998936.36394653679</v>
      </c>
      <c r="Y101" s="93">
        <f t="shared" si="28"/>
        <v>19416</v>
      </c>
      <c r="Z101" s="93">
        <f t="shared" si="29"/>
        <v>1060922.3333333333</v>
      </c>
      <c r="AA101" s="93">
        <f t="shared" si="30"/>
        <v>12</v>
      </c>
    </row>
    <row r="102" spans="14:31">
      <c r="N102" s="57" t="s">
        <v>439</v>
      </c>
      <c r="O102" s="57" t="s">
        <v>338</v>
      </c>
      <c r="P102" s="55" t="s">
        <v>132</v>
      </c>
      <c r="Q102" s="55" t="s">
        <v>114</v>
      </c>
      <c r="R102" s="55" t="s">
        <v>140</v>
      </c>
      <c r="S102" s="55" t="s">
        <v>217</v>
      </c>
      <c r="T102" s="270">
        <f t="shared" ca="1" si="25"/>
        <v>0.63</v>
      </c>
      <c r="U102" s="510">
        <f>100</f>
        <v>100</v>
      </c>
      <c r="V102" s="38">
        <v>2</v>
      </c>
      <c r="W102" s="281">
        <f t="shared" ca="1" si="26"/>
        <v>0.62635828906480318</v>
      </c>
      <c r="X102" s="111">
        <f t="shared" ca="1" si="27"/>
        <v>1229586.0769587322</v>
      </c>
      <c r="Y102" s="93">
        <f t="shared" si="28"/>
        <v>56458.36</v>
      </c>
      <c r="Z102" s="93">
        <f t="shared" si="29"/>
        <v>1197473.5866666667</v>
      </c>
      <c r="AA102" s="93">
        <f t="shared" si="30"/>
        <v>92554.688524590165</v>
      </c>
      <c r="AC102" s="257"/>
    </row>
    <row r="103" spans="14:31">
      <c r="N103" s="57" t="s">
        <v>439</v>
      </c>
      <c r="O103" s="57" t="s">
        <v>338</v>
      </c>
      <c r="P103" s="55" t="s">
        <v>132</v>
      </c>
      <c r="Q103" s="55" t="s">
        <v>114</v>
      </c>
      <c r="R103" s="55" t="s">
        <v>141</v>
      </c>
      <c r="S103" s="55" t="s">
        <v>217</v>
      </c>
      <c r="T103" s="270">
        <f t="shared" ca="1" si="25"/>
        <v>0.51</v>
      </c>
      <c r="U103" s="510">
        <f>100</f>
        <v>100</v>
      </c>
      <c r="V103" s="38">
        <v>2</v>
      </c>
      <c r="W103" s="281">
        <f t="shared" ca="1" si="26"/>
        <v>0.5134084336596747</v>
      </c>
      <c r="X103" s="111">
        <f t="shared" ca="1" si="27"/>
        <v>1229586.0769587322</v>
      </c>
      <c r="Y103" s="93">
        <f t="shared" si="28"/>
        <v>27203</v>
      </c>
      <c r="Z103" s="93">
        <f t="shared" si="29"/>
        <v>1197473.5866666667</v>
      </c>
      <c r="AA103" s="93">
        <f t="shared" si="30"/>
        <v>54406</v>
      </c>
    </row>
    <row r="104" spans="14:31">
      <c r="N104" s="57" t="s">
        <v>439</v>
      </c>
      <c r="O104" s="57" t="s">
        <v>338</v>
      </c>
      <c r="P104" s="55" t="s">
        <v>132</v>
      </c>
      <c r="Q104" s="55" t="s">
        <v>114</v>
      </c>
      <c r="R104" s="55" t="s">
        <v>132</v>
      </c>
      <c r="S104" s="55" t="s">
        <v>139</v>
      </c>
      <c r="T104" s="270">
        <f t="shared" ca="1" si="25"/>
        <v>9.5399999999999991</v>
      </c>
      <c r="U104" s="380">
        <f>100+Summary!$P$11</f>
        <v>99.47</v>
      </c>
      <c r="V104" s="38">
        <v>2</v>
      </c>
      <c r="W104" s="281">
        <f t="shared" ca="1" si="26"/>
        <v>9.5889823917707417</v>
      </c>
      <c r="X104" s="111">
        <f t="shared" ca="1" si="27"/>
        <v>8065477.0347317299</v>
      </c>
      <c r="Y104" s="93">
        <f t="shared" si="28"/>
        <v>1084189.3400000001</v>
      </c>
      <c r="Z104" s="93">
        <f t="shared" si="29"/>
        <v>7401848.8100000005</v>
      </c>
      <c r="AA104" s="93">
        <f t="shared" si="30"/>
        <v>123203.33409090909</v>
      </c>
    </row>
    <row r="105" spans="14:31">
      <c r="N105" s="57" t="s">
        <v>439</v>
      </c>
      <c r="O105" s="57" t="s">
        <v>338</v>
      </c>
      <c r="P105" s="55" t="s">
        <v>132</v>
      </c>
      <c r="Q105" s="55" t="s">
        <v>114</v>
      </c>
      <c r="R105" s="55" t="s">
        <v>132</v>
      </c>
      <c r="S105" s="55" t="s">
        <v>144</v>
      </c>
      <c r="T105" s="270">
        <f t="shared" ca="1" si="25"/>
        <v>6.25E-2</v>
      </c>
      <c r="U105" s="380">
        <f>100+Summary!$P$11</f>
        <v>99.47</v>
      </c>
      <c r="V105" s="38">
        <v>5</v>
      </c>
      <c r="W105" s="281">
        <f t="shared" ca="1" si="26"/>
        <v>6.2805919208241162E-2</v>
      </c>
      <c r="X105" s="111">
        <f ca="1">SUMIFS(T$86:T$91,S$86:S$91,"kWh")</f>
        <v>21572065.353201695</v>
      </c>
      <c r="Y105" s="93">
        <f>SUMIFS(T$52:T$81,Q$52:Q$81,Q105,S$52:S$81,"kWh*")</f>
        <v>2956774.6687977989</v>
      </c>
      <c r="Z105" s="93">
        <f>SUMIFS(T$52:T$81,S$52:S$81,"kWh*")</f>
        <v>21486900.859365221</v>
      </c>
      <c r="AA105" s="93">
        <f>SUMIFS(T$8:T$35,Q$8:Q$35,Q105,S$8:S$35,"kWh*")</f>
        <v>51874014.743498094</v>
      </c>
      <c r="AB105" s="257">
        <f>(T20+T34)/(T19+T20+T33+T34)*(T49-T50)</f>
        <v>5.580851516540827E-3</v>
      </c>
    </row>
    <row r="106" spans="14:31">
      <c r="N106" s="57" t="s">
        <v>439</v>
      </c>
      <c r="O106" s="57" t="s">
        <v>338</v>
      </c>
      <c r="P106" s="55" t="s">
        <v>132</v>
      </c>
      <c r="Q106" s="55" t="s">
        <v>114</v>
      </c>
      <c r="R106" s="55" t="s">
        <v>132</v>
      </c>
      <c r="S106" s="55" t="s">
        <v>145</v>
      </c>
      <c r="T106" s="270">
        <f t="shared" ca="1" si="25"/>
        <v>5.3170000000000002E-2</v>
      </c>
      <c r="U106" s="380">
        <f>100+Summary!$P$11</f>
        <v>99.47</v>
      </c>
      <c r="V106" s="38">
        <v>5</v>
      </c>
      <c r="W106" s="281">
        <f t="shared" ca="1" si="26"/>
        <v>5.3475919208241157E-2</v>
      </c>
      <c r="X106" s="111">
        <f ca="1">SUMIFS(T$86:T$91,S$86:S$91,"kWh")</f>
        <v>21572065.353201695</v>
      </c>
      <c r="Y106" s="93">
        <f>SUMIFS(T$52:T$81,Q$52:Q$81,Q106,S$52:S$81,"kWh*")</f>
        <v>2956774.6687977989</v>
      </c>
      <c r="Z106" s="93">
        <f>SUMIFS(T$52:T$81,S$52:S$81,"kWh*")</f>
        <v>21486900.859365221</v>
      </c>
      <c r="AA106" s="93">
        <f>SUMIFS(T$8:T$35,Q$8:Q$35,Q106,S$8:S$35,"kWh*")</f>
        <v>51874014.743498094</v>
      </c>
      <c r="AB106" s="257">
        <f>(T19+T33)/(T19+T20+T33+T34)*(T50-T49)</f>
        <v>-3.7491484834591728E-3</v>
      </c>
      <c r="AC106" s="257">
        <f ca="1">ROUND(U106/100*X106*Y106/Z106/AA106,V106)</f>
        <v>5.6919999999999998E-2</v>
      </c>
      <c r="AE106" s="258"/>
    </row>
    <row r="107" spans="14:31">
      <c r="N107" s="57" t="s">
        <v>439</v>
      </c>
      <c r="O107" s="57" t="s">
        <v>338</v>
      </c>
      <c r="P107" s="55" t="s">
        <v>132</v>
      </c>
      <c r="Q107" s="55" t="s">
        <v>114</v>
      </c>
      <c r="R107" s="55" t="s">
        <v>132</v>
      </c>
      <c r="S107" s="55" t="s">
        <v>138</v>
      </c>
      <c r="T107" s="270">
        <f t="shared" si="25"/>
        <v>0.56000000000000005</v>
      </c>
      <c r="U107" s="659">
        <f>100+Summary!$P$11</f>
        <v>99.47</v>
      </c>
      <c r="V107" s="463">
        <v>2</v>
      </c>
      <c r="W107" s="464">
        <f t="shared" si="26"/>
        <v>0.56000000000000005</v>
      </c>
      <c r="X107" s="114">
        <f>SUMIFS(T$86:T$91,S$86:S$91,S107)</f>
        <v>85500.939999999988</v>
      </c>
      <c r="Y107" s="298">
        <f>SUMIFS(T$52:T$81,Q$52:Q$81,Q107,R$52:R$81,R107,S$52:S$81,S107)</f>
        <v>5516.64</v>
      </c>
      <c r="Z107" s="298">
        <f>SUMIFS(T$52:T$81,S$52:S$81,S107)</f>
        <v>85500.939999999988</v>
      </c>
      <c r="AA107" s="298">
        <f>SUMIFS(T$8:T$35,Q$8:Q$35,Q107,R$8:R$35,R107,S$8:S$35,S107)</f>
        <v>9851.1428571428569</v>
      </c>
      <c r="AB107" s="346"/>
      <c r="AC107" s="346"/>
      <c r="AD107" s="346"/>
      <c r="AE107" s="346"/>
    </row>
    <row r="108" spans="14:31">
      <c r="N108" s="57" t="s">
        <v>439</v>
      </c>
      <c r="O108" s="57" t="s">
        <v>338</v>
      </c>
      <c r="P108" s="55" t="s">
        <v>132</v>
      </c>
      <c r="Q108" s="57" t="s">
        <v>443</v>
      </c>
      <c r="R108" s="57" t="s">
        <v>132</v>
      </c>
      <c r="S108" s="57" t="s">
        <v>271</v>
      </c>
      <c r="T108" s="270">
        <f ca="1">ROUND(U108/100*X108*Y108/Z108/AA108+AB108,V108)</f>
        <v>3446.71</v>
      </c>
      <c r="U108" s="510">
        <v>100</v>
      </c>
      <c r="V108" s="38">
        <v>2</v>
      </c>
      <c r="W108" s="281">
        <f t="shared" ref="W108:W113" ca="1" si="31">X108*Y108/Z108/AA108+AB108</f>
        <v>3446.71</v>
      </c>
      <c r="X108" s="111">
        <f ca="1">'Sch.48T-DF'!O34*AA108</f>
        <v>2748176.773333333</v>
      </c>
      <c r="Y108" s="93">
        <v>1</v>
      </c>
      <c r="Z108" s="93">
        <v>1</v>
      </c>
      <c r="AA108" s="93">
        <f>SUMIFS(T$8:T$35,S$8:S$35,S108)</f>
        <v>797.33333333333326</v>
      </c>
      <c r="AB108" s="477"/>
    </row>
    <row r="109" spans="14:31">
      <c r="N109" s="57" t="s">
        <v>439</v>
      </c>
      <c r="O109" s="57" t="s">
        <v>338</v>
      </c>
      <c r="P109" s="55" t="s">
        <v>132</v>
      </c>
      <c r="Q109" s="57" t="s">
        <v>443</v>
      </c>
      <c r="R109" s="57" t="s">
        <v>132</v>
      </c>
      <c r="S109" s="55" t="s">
        <v>217</v>
      </c>
      <c r="T109" s="270">
        <f ca="1">ROUND(U109/100*X109*Y109/Z109/AA109+AB109,V109)</f>
        <v>0.88</v>
      </c>
      <c r="U109" s="510">
        <f>100</f>
        <v>100</v>
      </c>
      <c r="V109" s="38">
        <v>2</v>
      </c>
      <c r="W109" s="281">
        <f t="shared" ca="1" si="31"/>
        <v>0.87503077670684737</v>
      </c>
      <c r="X109" s="111">
        <f ca="1">X87</f>
        <v>937273.19097419456</v>
      </c>
      <c r="Y109" s="93">
        <v>1</v>
      </c>
      <c r="Z109" s="93">
        <v>1</v>
      </c>
      <c r="AA109" s="93">
        <f>SUMIFS(T$8:T$35,S$8:S$35,S109)</f>
        <v>1071131.6857923497</v>
      </c>
      <c r="AB109" s="477"/>
      <c r="AD109" s="479"/>
    </row>
    <row r="110" spans="14:31">
      <c r="N110" s="57" t="s">
        <v>439</v>
      </c>
      <c r="O110" s="57" t="s">
        <v>338</v>
      </c>
      <c r="P110" s="55" t="s">
        <v>132</v>
      </c>
      <c r="Q110" s="57" t="s">
        <v>443</v>
      </c>
      <c r="R110" s="55" t="s">
        <v>132</v>
      </c>
      <c r="S110" s="55" t="s">
        <v>139</v>
      </c>
      <c r="T110" s="270">
        <f ca="1">ROUND(U110/100*X110*Y110/Z110/AA110+AB110,V110)</f>
        <v>8.14</v>
      </c>
      <c r="U110" s="380">
        <f>100+Summary!$P$11</f>
        <v>99.47</v>
      </c>
      <c r="V110" s="38">
        <v>2</v>
      </c>
      <c r="W110" s="281">
        <f t="shared" ca="1" si="31"/>
        <v>8.187320740943651</v>
      </c>
      <c r="X110" s="111">
        <f ca="1">X88</f>
        <v>6933642.7169029983</v>
      </c>
      <c r="Y110" s="93">
        <v>1</v>
      </c>
      <c r="Z110" s="93">
        <v>1</v>
      </c>
      <c r="AA110" s="93">
        <f>SUMIFS(T$8:T$35,S$8:S$35,S110)</f>
        <v>846875.66742424248</v>
      </c>
      <c r="AB110" s="1"/>
      <c r="AD110" s="479"/>
    </row>
    <row r="111" spans="14:31">
      <c r="N111" s="57" t="s">
        <v>439</v>
      </c>
      <c r="O111" s="57" t="s">
        <v>338</v>
      </c>
      <c r="P111" s="55" t="s">
        <v>132</v>
      </c>
      <c r="Q111" s="57" t="s">
        <v>443</v>
      </c>
      <c r="R111" s="55" t="s">
        <v>132</v>
      </c>
      <c r="S111" s="55" t="s">
        <v>144</v>
      </c>
      <c r="T111" s="270">
        <f ca="1">ROUND(U111/100*X111*Y111/Z111/AA111+AB111,V111)</f>
        <v>5.6399999999999999E-2</v>
      </c>
      <c r="U111" s="380">
        <f>100+Summary!$P$11</f>
        <v>99.47</v>
      </c>
      <c r="V111" s="38">
        <v>5</v>
      </c>
      <c r="W111" s="281">
        <f t="shared" ca="1" si="31"/>
        <v>5.6674215262495067E-2</v>
      </c>
      <c r="X111" s="111">
        <f ca="1">X89</f>
        <v>19084300.349629194</v>
      </c>
      <c r="Y111" s="93">
        <v>1</v>
      </c>
      <c r="Z111" s="93">
        <v>1</v>
      </c>
      <c r="AA111" s="93">
        <f>SUMIFS(T$8:T$35,S$8:S$35,"kWh*")</f>
        <v>374086296.54652482</v>
      </c>
      <c r="AB111" s="257">
        <f>(T$12+T$20+T$28+T$34)/(T$11+T$12+T$19+T$20+T$27+T$28+T$33+T$34)*(T$41-T$42)</f>
        <v>5.6584455702853118E-3</v>
      </c>
      <c r="AD111" s="479"/>
    </row>
    <row r="112" spans="14:31">
      <c r="N112" s="57" t="s">
        <v>439</v>
      </c>
      <c r="O112" s="57" t="s">
        <v>338</v>
      </c>
      <c r="P112" s="55" t="s">
        <v>132</v>
      </c>
      <c r="Q112" s="57" t="s">
        <v>443</v>
      </c>
      <c r="R112" s="55" t="s">
        <v>132</v>
      </c>
      <c r="S112" s="55" t="s">
        <v>145</v>
      </c>
      <c r="T112" s="270">
        <f t="shared" ca="1" si="25"/>
        <v>4.7070000000000001E-2</v>
      </c>
      <c r="U112" s="380">
        <f>100+Summary!$P$11</f>
        <v>99.47</v>
      </c>
      <c r="V112" s="38">
        <v>5</v>
      </c>
      <c r="W112" s="281">
        <f t="shared" ca="1" si="31"/>
        <v>4.7344215262495069E-2</v>
      </c>
      <c r="X112" s="111">
        <f ca="1">X89</f>
        <v>19084300.349629194</v>
      </c>
      <c r="Y112" s="93">
        <v>1</v>
      </c>
      <c r="Z112" s="93">
        <v>1</v>
      </c>
      <c r="AA112" s="93">
        <f>SUMIFS(T$8:T$35,S$8:S$35,"kWh*")</f>
        <v>374086296.54652482</v>
      </c>
      <c r="AB112" s="257">
        <f>(T$11+T$19+T$27+T$33)/(T$11+T$12+T$19+T$20+T$27+T$28+T$33+T$34)*(T$42-T$41)</f>
        <v>-3.6715544297146858E-3</v>
      </c>
      <c r="AC112" s="257">
        <f ca="1">ROUND(U112/100*X112/AA112,5)</f>
        <v>5.0750000000000003E-2</v>
      </c>
    </row>
    <row r="113" spans="14:28">
      <c r="N113" s="103" t="s">
        <v>439</v>
      </c>
      <c r="O113" s="103" t="s">
        <v>338</v>
      </c>
      <c r="P113" s="105" t="s">
        <v>132</v>
      </c>
      <c r="Q113" s="103" t="s">
        <v>443</v>
      </c>
      <c r="R113" s="105" t="s">
        <v>132</v>
      </c>
      <c r="S113" s="105" t="s">
        <v>138</v>
      </c>
      <c r="T113" s="271">
        <f t="shared" si="25"/>
        <v>0.56999999999999995</v>
      </c>
      <c r="U113" s="380">
        <f>100+Summary!$P$11</f>
        <v>99.47</v>
      </c>
      <c r="V113" s="38">
        <v>2</v>
      </c>
      <c r="W113" s="281">
        <f t="shared" si="31"/>
        <v>0.56934402016194485</v>
      </c>
      <c r="X113" s="111">
        <f>X90</f>
        <v>85500.939999999988</v>
      </c>
      <c r="Y113" s="93">
        <v>1</v>
      </c>
      <c r="Z113" s="93">
        <v>1</v>
      </c>
      <c r="AA113" s="93">
        <f>SUMIFS(T$8:T$35,S$8:S$35,S113)</f>
        <v>150174.47619047618</v>
      </c>
      <c r="AB113" s="1"/>
    </row>
    <row r="114" spans="14:28">
      <c r="N114" s="98" t="s">
        <v>439</v>
      </c>
      <c r="O114" s="98" t="s">
        <v>19</v>
      </c>
      <c r="P114" s="97" t="s">
        <v>3</v>
      </c>
      <c r="Q114" s="97" t="s">
        <v>113</v>
      </c>
      <c r="R114" s="97" t="s">
        <v>140</v>
      </c>
      <c r="S114" s="98" t="s">
        <v>271</v>
      </c>
      <c r="T114" s="167">
        <f t="shared" ref="T114:T147" ca="1" si="32">IF(S114="Unbilled",SUMIFS(T$52:T$81,P$52:P$81,P114,S$52:S$81,S114),SUMIFS(T$92:T$107,Q$92:Q$107,Q114,R$92:R$107,R114,S$92:S$107,S114)*V114)</f>
        <v>434914.50999999995</v>
      </c>
      <c r="U114" s="38">
        <f t="shared" ref="U114:U147" ca="1" si="33">IF(S114="Unbilled",SUMIFS(T$52:T$81,P$52:P$81,P114,S$52:S$81,S114),SUMIFS(W$92:W$107,Q$92:Q$107,Q114,R$92:R$107,R114,S$92:S$107,S114)*V114)</f>
        <v>437233.15469193092</v>
      </c>
      <c r="V114" s="93">
        <f t="shared" ref="V114:V147" si="34">SUMIFS(T$8:T$35,P$8:P$35,P114,Q$8:Q$35,Q114,R$8:R$35,R114,S$8:S$35,S114)</f>
        <v>353.66666666666663</v>
      </c>
      <c r="W114" s="38">
        <f ca="1">IF(S114="Unbilled",SUMIFS(T$52:T$81,P$52:P$81,P114,S$52:S$81,S114),SUMIFS(W$108:W$113,S$108:S$113,S114)*V114)</f>
        <v>1218986.4366666665</v>
      </c>
      <c r="Y114" s="93"/>
    </row>
    <row r="115" spans="14:28">
      <c r="N115" s="57" t="s">
        <v>439</v>
      </c>
      <c r="O115" s="57" t="s">
        <v>19</v>
      </c>
      <c r="P115" s="55" t="s">
        <v>3</v>
      </c>
      <c r="Q115" s="55" t="s">
        <v>113</v>
      </c>
      <c r="R115" s="55" t="s">
        <v>141</v>
      </c>
      <c r="S115" s="57" t="s">
        <v>271</v>
      </c>
      <c r="T115" s="164">
        <f t="shared" ca="1" si="32"/>
        <v>0</v>
      </c>
      <c r="U115" s="38">
        <f t="shared" ca="1" si="33"/>
        <v>0</v>
      </c>
      <c r="V115" s="93">
        <f t="shared" si="34"/>
        <v>0</v>
      </c>
      <c r="W115" s="38">
        <f t="shared" ref="W115:W147" ca="1" si="35">IF(S115="Unbilled",SUMIFS(T$52:T$81,P$52:P$81,P115,S$52:S$81,S115),SUMIFS(W$108:W$113,S$108:S$113,S115)*V115)</f>
        <v>0</v>
      </c>
    </row>
    <row r="116" spans="14:28">
      <c r="N116" s="57" t="s">
        <v>439</v>
      </c>
      <c r="O116" s="57" t="s">
        <v>19</v>
      </c>
      <c r="P116" s="55" t="s">
        <v>3</v>
      </c>
      <c r="Q116" s="55" t="s">
        <v>113</v>
      </c>
      <c r="R116" s="55" t="s">
        <v>140</v>
      </c>
      <c r="S116" s="55" t="s">
        <v>217</v>
      </c>
      <c r="T116" s="164">
        <f t="shared" ca="1" si="32"/>
        <v>517468.74658469949</v>
      </c>
      <c r="U116" s="38">
        <f t="shared" ca="1" si="33"/>
        <v>518593.3420084808</v>
      </c>
      <c r="V116" s="93">
        <f t="shared" si="34"/>
        <v>413974.99726775958</v>
      </c>
      <c r="W116" s="38">
        <f t="shared" ca="1" si="35"/>
        <v>362240.8633964227</v>
      </c>
    </row>
    <row r="117" spans="14:28">
      <c r="N117" s="57" t="s">
        <v>439</v>
      </c>
      <c r="O117" s="57" t="s">
        <v>19</v>
      </c>
      <c r="P117" s="55" t="s">
        <v>3</v>
      </c>
      <c r="Q117" s="55" t="s">
        <v>113</v>
      </c>
      <c r="R117" s="55" t="s">
        <v>141</v>
      </c>
      <c r="S117" s="55" t="s">
        <v>217</v>
      </c>
      <c r="T117" s="164">
        <f t="shared" ca="1" si="32"/>
        <v>0</v>
      </c>
      <c r="U117" s="38">
        <f t="shared" ca="1" si="33"/>
        <v>0</v>
      </c>
      <c r="V117" s="93">
        <f t="shared" si="34"/>
        <v>0</v>
      </c>
      <c r="W117" s="38">
        <f t="shared" ca="1" si="35"/>
        <v>0</v>
      </c>
    </row>
    <row r="118" spans="14:28">
      <c r="N118" s="57" t="s">
        <v>439</v>
      </c>
      <c r="O118" s="57" t="s">
        <v>19</v>
      </c>
      <c r="P118" s="55" t="s">
        <v>3</v>
      </c>
      <c r="Q118" s="55" t="s">
        <v>113</v>
      </c>
      <c r="R118" s="55" t="s">
        <v>132</v>
      </c>
      <c r="S118" s="55" t="s">
        <v>139</v>
      </c>
      <c r="T118" s="164">
        <f t="shared" ca="1" si="32"/>
        <v>2761178.4933333341</v>
      </c>
      <c r="U118" s="38">
        <f t="shared" ca="1" si="33"/>
        <v>2776562.4009062694</v>
      </c>
      <c r="V118" s="93">
        <f t="shared" si="34"/>
        <v>291879.33333333337</v>
      </c>
      <c r="W118" s="38">
        <f t="shared" ca="1" si="35"/>
        <v>2389709.7196528059</v>
      </c>
    </row>
    <row r="119" spans="14:28">
      <c r="N119" s="57" t="s">
        <v>439</v>
      </c>
      <c r="O119" s="57" t="s">
        <v>19</v>
      </c>
      <c r="P119" s="55" t="s">
        <v>3</v>
      </c>
      <c r="Q119" s="55" t="s">
        <v>113</v>
      </c>
      <c r="R119" s="55" t="s">
        <v>132</v>
      </c>
      <c r="S119" s="55" t="s">
        <v>144</v>
      </c>
      <c r="T119" s="164">
        <f t="shared" ca="1" si="32"/>
        <v>3101576.3739653402</v>
      </c>
      <c r="U119" s="38">
        <f t="shared" ca="1" si="33"/>
        <v>3116712.6702373819</v>
      </c>
      <c r="V119" s="93">
        <f t="shared" si="34"/>
        <v>49153349.825124249</v>
      </c>
      <c r="W119" s="38">
        <f t="shared" ca="1" si="35"/>
        <v>2785727.528861816</v>
      </c>
      <c r="Y119" s="281"/>
      <c r="Z119" s="1"/>
    </row>
    <row r="120" spans="14:28">
      <c r="N120" s="57" t="s">
        <v>439</v>
      </c>
      <c r="O120" s="57" t="s">
        <v>19</v>
      </c>
      <c r="P120" s="55" t="s">
        <v>3</v>
      </c>
      <c r="Q120" s="55" t="s">
        <v>113</v>
      </c>
      <c r="R120" s="55" t="s">
        <v>132</v>
      </c>
      <c r="S120" s="55" t="s">
        <v>145</v>
      </c>
      <c r="T120" s="164">
        <f t="shared" ca="1" si="32"/>
        <v>3993477.9410558078</v>
      </c>
      <c r="U120" s="38">
        <f t="shared" ca="1" si="33"/>
        <v>4016348.5512922606</v>
      </c>
      <c r="V120" s="93">
        <f t="shared" si="34"/>
        <v>74269628.808923334</v>
      </c>
      <c r="W120" s="38">
        <f t="shared" ca="1" si="35"/>
        <v>3516237.2937952718</v>
      </c>
    </row>
    <row r="121" spans="14:28">
      <c r="N121" s="57" t="s">
        <v>439</v>
      </c>
      <c r="O121" s="57" t="s">
        <v>19</v>
      </c>
      <c r="P121" s="55" t="s">
        <v>3</v>
      </c>
      <c r="Q121" s="55" t="s">
        <v>113</v>
      </c>
      <c r="R121" s="55" t="s">
        <v>132</v>
      </c>
      <c r="S121" s="55" t="s">
        <v>138</v>
      </c>
      <c r="T121" s="164">
        <f t="shared" si="32"/>
        <v>17939.23</v>
      </c>
      <c r="U121" s="38">
        <f t="shared" si="33"/>
        <v>17939.229999999996</v>
      </c>
      <c r="V121" s="93">
        <f t="shared" si="34"/>
        <v>31472.333333333332</v>
      </c>
      <c r="W121" s="38">
        <f t="shared" si="35"/>
        <v>17918.58478387678</v>
      </c>
    </row>
    <row r="122" spans="14:28">
      <c r="N122" s="57" t="s">
        <v>439</v>
      </c>
      <c r="O122" s="57" t="s">
        <v>19</v>
      </c>
      <c r="P122" s="55" t="s">
        <v>3</v>
      </c>
      <c r="Q122" s="55" t="s">
        <v>114</v>
      </c>
      <c r="R122" s="55" t="s">
        <v>140</v>
      </c>
      <c r="S122" s="57" t="s">
        <v>271</v>
      </c>
      <c r="T122" s="164">
        <f t="shared" ca="1" si="32"/>
        <v>105317.09000000001</v>
      </c>
      <c r="U122" s="38">
        <f t="shared" ca="1" si="33"/>
        <v>105878.05791601476</v>
      </c>
      <c r="V122" s="93">
        <f t="shared" si="34"/>
        <v>83.666666666666671</v>
      </c>
      <c r="W122" s="38">
        <f t="shared" ca="1" si="35"/>
        <v>288374.73666666669</v>
      </c>
    </row>
    <row r="123" spans="14:28">
      <c r="N123" s="57" t="s">
        <v>439</v>
      </c>
      <c r="O123" s="57" t="s">
        <v>19</v>
      </c>
      <c r="P123" s="55" t="s">
        <v>3</v>
      </c>
      <c r="Q123" s="55" t="s">
        <v>114</v>
      </c>
      <c r="R123" s="55" t="s">
        <v>141</v>
      </c>
      <c r="S123" s="57" t="s">
        <v>271</v>
      </c>
      <c r="T123" s="164">
        <f t="shared" ca="1" si="32"/>
        <v>18184.68</v>
      </c>
      <c r="U123" s="38">
        <f t="shared" ca="1" si="33"/>
        <v>18281.591246597029</v>
      </c>
      <c r="V123" s="93">
        <f t="shared" si="34"/>
        <v>12</v>
      </c>
      <c r="W123" s="38">
        <f t="shared" ca="1" si="35"/>
        <v>41360.520000000004</v>
      </c>
      <c r="Y123" s="93"/>
    </row>
    <row r="124" spans="14:28">
      <c r="N124" s="57" t="s">
        <v>439</v>
      </c>
      <c r="O124" s="57" t="s">
        <v>19</v>
      </c>
      <c r="P124" s="55" t="s">
        <v>3</v>
      </c>
      <c r="Q124" s="55" t="s">
        <v>114</v>
      </c>
      <c r="R124" s="55" t="s">
        <v>140</v>
      </c>
      <c r="S124" s="55" t="s">
        <v>217</v>
      </c>
      <c r="T124" s="164">
        <f t="shared" ca="1" si="32"/>
        <v>57629.053770491802</v>
      </c>
      <c r="U124" s="38">
        <f t="shared" ca="1" si="33"/>
        <v>57295.929396998079</v>
      </c>
      <c r="V124" s="93">
        <f t="shared" si="34"/>
        <v>91474.688524590165</v>
      </c>
      <c r="W124" s="38">
        <f t="shared" ca="1" si="35"/>
        <v>80043.167748689069</v>
      </c>
      <c r="Y124" s="93"/>
    </row>
    <row r="125" spans="14:28">
      <c r="N125" s="57" t="s">
        <v>439</v>
      </c>
      <c r="O125" s="57" t="s">
        <v>19</v>
      </c>
      <c r="P125" s="55" t="s">
        <v>3</v>
      </c>
      <c r="Q125" s="55" t="s">
        <v>114</v>
      </c>
      <c r="R125" s="55" t="s">
        <v>141</v>
      </c>
      <c r="S125" s="55" t="s">
        <v>217</v>
      </c>
      <c r="T125" s="164">
        <f t="shared" ca="1" si="32"/>
        <v>27747.06</v>
      </c>
      <c r="U125" s="38">
        <f t="shared" ca="1" si="33"/>
        <v>27932.499241688263</v>
      </c>
      <c r="V125" s="93">
        <f t="shared" si="34"/>
        <v>54406</v>
      </c>
      <c r="W125" s="38">
        <f t="shared" ca="1" si="35"/>
        <v>47606.924437512738</v>
      </c>
      <c r="Y125" s="93"/>
    </row>
    <row r="126" spans="14:28">
      <c r="N126" s="57" t="s">
        <v>439</v>
      </c>
      <c r="O126" s="57" t="s">
        <v>19</v>
      </c>
      <c r="P126" s="55" t="s">
        <v>3</v>
      </c>
      <c r="Q126" s="55" t="s">
        <v>114</v>
      </c>
      <c r="R126" s="55" t="s">
        <v>132</v>
      </c>
      <c r="S126" s="55" t="s">
        <v>139</v>
      </c>
      <c r="T126" s="164">
        <f t="shared" ca="1" si="32"/>
        <v>1118119.8072272725</v>
      </c>
      <c r="U126" s="38">
        <f t="shared" ca="1" si="33"/>
        <v>1123860.7068545509</v>
      </c>
      <c r="V126" s="93">
        <f t="shared" si="34"/>
        <v>117203.33409090909</v>
      </c>
      <c r="W126" s="38">
        <f t="shared" ca="1" si="35"/>
        <v>959581.28811024805</v>
      </c>
      <c r="Y126" s="93"/>
    </row>
    <row r="127" spans="14:28">
      <c r="N127" s="57" t="s">
        <v>439</v>
      </c>
      <c r="O127" s="57" t="s">
        <v>19</v>
      </c>
      <c r="P127" s="55" t="s">
        <v>3</v>
      </c>
      <c r="Q127" s="55" t="s">
        <v>114</v>
      </c>
      <c r="R127" s="55" t="s">
        <v>132</v>
      </c>
      <c r="S127" s="55" t="s">
        <v>144</v>
      </c>
      <c r="T127" s="164">
        <f t="shared" ca="1" si="32"/>
        <v>1292346.8689390062</v>
      </c>
      <c r="U127" s="38">
        <f t="shared" ca="1" si="33"/>
        <v>1298672.5286337065</v>
      </c>
      <c r="V127" s="93">
        <f t="shared" si="34"/>
        <v>20677549.9030241</v>
      </c>
      <c r="W127" s="38">
        <f t="shared" ca="1" si="35"/>
        <v>1171883.9143049719</v>
      </c>
      <c r="Y127" s="93"/>
    </row>
    <row r="128" spans="14:28">
      <c r="N128" s="57" t="s">
        <v>439</v>
      </c>
      <c r="O128" s="57" t="s">
        <v>19</v>
      </c>
      <c r="P128" s="55" t="s">
        <v>3</v>
      </c>
      <c r="Q128" s="55" t="s">
        <v>114</v>
      </c>
      <c r="R128" s="55" t="s">
        <v>132</v>
      </c>
      <c r="S128" s="55" t="s">
        <v>145</v>
      </c>
      <c r="T128" s="164">
        <f t="shared" ca="1" si="32"/>
        <v>1635650.9001715758</v>
      </c>
      <c r="U128" s="38">
        <f t="shared" ca="1" si="33"/>
        <v>1645061.7903039705</v>
      </c>
      <c r="V128" s="93">
        <f t="shared" si="34"/>
        <v>30762665.039901745</v>
      </c>
      <c r="W128" s="38">
        <f t="shared" ca="1" si="35"/>
        <v>1456434.2356971398</v>
      </c>
      <c r="Y128" s="93"/>
    </row>
    <row r="129" spans="14:25">
      <c r="N129" s="57" t="s">
        <v>439</v>
      </c>
      <c r="O129" s="57" t="s">
        <v>19</v>
      </c>
      <c r="P129" s="55" t="s">
        <v>3</v>
      </c>
      <c r="Q129" s="55" t="s">
        <v>114</v>
      </c>
      <c r="R129" s="55" t="s">
        <v>132</v>
      </c>
      <c r="S129" s="55" t="s">
        <v>138</v>
      </c>
      <c r="T129" s="164">
        <f t="shared" si="32"/>
        <v>5180.08</v>
      </c>
      <c r="U129" s="38">
        <f t="shared" si="33"/>
        <v>5180.08</v>
      </c>
      <c r="V129" s="93">
        <f t="shared" si="34"/>
        <v>9250.1428571428569</v>
      </c>
      <c r="W129" s="38">
        <f t="shared" si="35"/>
        <v>5266.5135213580124</v>
      </c>
      <c r="Y129" s="93"/>
    </row>
    <row r="130" spans="14:25">
      <c r="N130" s="103" t="s">
        <v>439</v>
      </c>
      <c r="O130" s="103" t="s">
        <v>19</v>
      </c>
      <c r="P130" s="105" t="s">
        <v>3</v>
      </c>
      <c r="Q130" s="105" t="s">
        <v>132</v>
      </c>
      <c r="R130" s="105" t="s">
        <v>132</v>
      </c>
      <c r="S130" s="163" t="s">
        <v>105</v>
      </c>
      <c r="T130" s="165">
        <f t="shared" si="32"/>
        <v>211823.16276683079</v>
      </c>
      <c r="U130" s="38">
        <f t="shared" si="33"/>
        <v>211823.16276683079</v>
      </c>
      <c r="V130" s="93">
        <f t="shared" si="34"/>
        <v>0</v>
      </c>
      <c r="W130" s="38">
        <f t="shared" si="35"/>
        <v>211823.16276683079</v>
      </c>
      <c r="Y130" s="93"/>
    </row>
    <row r="131" spans="14:25">
      <c r="N131" s="98" t="s">
        <v>439</v>
      </c>
      <c r="O131" s="98" t="s">
        <v>19</v>
      </c>
      <c r="P131" s="99" t="s">
        <v>5</v>
      </c>
      <c r="Q131" s="97" t="s">
        <v>113</v>
      </c>
      <c r="R131" s="97" t="s">
        <v>140</v>
      </c>
      <c r="S131" s="98" t="s">
        <v>271</v>
      </c>
      <c r="T131" s="167">
        <f t="shared" ca="1" si="32"/>
        <v>379986.57</v>
      </c>
      <c r="U131" s="38">
        <f t="shared" ca="1" si="33"/>
        <v>382012.37926429784</v>
      </c>
      <c r="V131" s="93">
        <f t="shared" si="34"/>
        <v>309</v>
      </c>
      <c r="W131" s="38">
        <f t="shared" ca="1" si="35"/>
        <v>1065033.3899999999</v>
      </c>
      <c r="Y131" s="93"/>
    </row>
    <row r="132" spans="14:25">
      <c r="N132" s="57" t="s">
        <v>439</v>
      </c>
      <c r="O132" s="57" t="s">
        <v>19</v>
      </c>
      <c r="P132" s="101" t="s">
        <v>5</v>
      </c>
      <c r="Q132" s="55" t="s">
        <v>113</v>
      </c>
      <c r="R132" s="55" t="s">
        <v>141</v>
      </c>
      <c r="S132" s="57" t="s">
        <v>271</v>
      </c>
      <c r="T132" s="164">
        <f t="shared" ca="1" si="32"/>
        <v>40131.719999999994</v>
      </c>
      <c r="U132" s="38">
        <f t="shared" ca="1" si="33"/>
        <v>40345.483277989078</v>
      </c>
      <c r="V132" s="93">
        <f t="shared" si="34"/>
        <v>27</v>
      </c>
      <c r="W132" s="38">
        <f t="shared" ca="1" si="35"/>
        <v>93061.17</v>
      </c>
      <c r="Y132" s="93"/>
    </row>
    <row r="133" spans="14:25">
      <c r="N133" s="57" t="s">
        <v>439</v>
      </c>
      <c r="O133" s="57" t="s">
        <v>19</v>
      </c>
      <c r="P133" s="101" t="s">
        <v>5</v>
      </c>
      <c r="Q133" s="55" t="s">
        <v>113</v>
      </c>
      <c r="R133" s="55" t="s">
        <v>140</v>
      </c>
      <c r="S133" s="55" t="s">
        <v>217</v>
      </c>
      <c r="T133" s="164">
        <f t="shared" ca="1" si="32"/>
        <v>506241.25</v>
      </c>
      <c r="U133" s="38">
        <f t="shared" ca="1" si="33"/>
        <v>507341.44512644358</v>
      </c>
      <c r="V133" s="93">
        <f t="shared" si="34"/>
        <v>404993</v>
      </c>
      <c r="W133" s="38">
        <f t="shared" ca="1" si="35"/>
        <v>354381.33935083624</v>
      </c>
      <c r="Y133" s="93"/>
    </row>
    <row r="134" spans="14:25">
      <c r="N134" s="57" t="s">
        <v>439</v>
      </c>
      <c r="O134" s="57" t="s">
        <v>19</v>
      </c>
      <c r="P134" s="101" t="s">
        <v>5</v>
      </c>
      <c r="Q134" s="55" t="s">
        <v>113</v>
      </c>
      <c r="R134" s="55" t="s">
        <v>141</v>
      </c>
      <c r="S134" s="55" t="s">
        <v>217</v>
      </c>
      <c r="T134" s="164">
        <f t="shared" ca="1" si="32"/>
        <v>117827.36000000002</v>
      </c>
      <c r="U134" s="38">
        <f t="shared" ca="1" si="33"/>
        <v>117746.3942329313</v>
      </c>
      <c r="V134" s="93">
        <f t="shared" si="34"/>
        <v>105203</v>
      </c>
      <c r="W134" s="38">
        <f t="shared" ca="1" si="35"/>
        <v>92055.862801890456</v>
      </c>
      <c r="Y134" s="93"/>
    </row>
    <row r="135" spans="14:25">
      <c r="N135" s="57" t="s">
        <v>439</v>
      </c>
      <c r="O135" s="57" t="s">
        <v>19</v>
      </c>
      <c r="P135" s="101" t="s">
        <v>5</v>
      </c>
      <c r="Q135" s="55" t="s">
        <v>113</v>
      </c>
      <c r="R135" s="55" t="s">
        <v>132</v>
      </c>
      <c r="S135" s="55" t="s">
        <v>139</v>
      </c>
      <c r="T135" s="164">
        <f t="shared" ca="1" si="32"/>
        <v>4084761.7800000003</v>
      </c>
      <c r="U135" s="38">
        <f t="shared" ca="1" si="33"/>
        <v>4107520.0326202856</v>
      </c>
      <c r="V135" s="93">
        <f t="shared" si="34"/>
        <v>431793</v>
      </c>
      <c r="W135" s="38">
        <f t="shared" ca="1" si="35"/>
        <v>3535227.7846942819</v>
      </c>
      <c r="Y135" s="93"/>
    </row>
    <row r="136" spans="14:25">
      <c r="N136" s="57" t="s">
        <v>439</v>
      </c>
      <c r="O136" s="57" t="s">
        <v>19</v>
      </c>
      <c r="P136" s="101" t="s">
        <v>5</v>
      </c>
      <c r="Q136" s="55" t="s">
        <v>113</v>
      </c>
      <c r="R136" s="55" t="s">
        <v>132</v>
      </c>
      <c r="S136" s="55" t="s">
        <v>144</v>
      </c>
      <c r="T136" s="164">
        <f t="shared" ca="1" si="32"/>
        <v>4872118.4659528332</v>
      </c>
      <c r="U136" s="38">
        <f t="shared" ca="1" si="33"/>
        <v>4895895.3521814533</v>
      </c>
      <c r="V136" s="93">
        <f t="shared" si="34"/>
        <v>77212653.977065504</v>
      </c>
      <c r="W136" s="38">
        <f t="shared" ca="1" si="35"/>
        <v>4375966.5724847559</v>
      </c>
      <c r="Y136" s="93"/>
    </row>
    <row r="137" spans="14:25">
      <c r="N137" s="57" t="s">
        <v>439</v>
      </c>
      <c r="O137" s="57" t="s">
        <v>19</v>
      </c>
      <c r="P137" s="101" t="s">
        <v>5</v>
      </c>
      <c r="Q137" s="55" t="s">
        <v>113</v>
      </c>
      <c r="R137" s="55" t="s">
        <v>132</v>
      </c>
      <c r="S137" s="55" t="s">
        <v>145</v>
      </c>
      <c r="T137" s="164">
        <f t="shared" ca="1" si="32"/>
        <v>6537176.4270491963</v>
      </c>
      <c r="U137" s="38">
        <f t="shared" ca="1" si="33"/>
        <v>6574614.7743536616</v>
      </c>
      <c r="V137" s="93">
        <f t="shared" si="34"/>
        <v>121576649.19191363</v>
      </c>
      <c r="W137" s="38">
        <f t="shared" ca="1" si="35"/>
        <v>5755951.0502348067</v>
      </c>
      <c r="Y137" s="93"/>
    </row>
    <row r="138" spans="14:25">
      <c r="N138" s="57" t="s">
        <v>439</v>
      </c>
      <c r="O138" s="57" t="s">
        <v>19</v>
      </c>
      <c r="P138" s="101" t="s">
        <v>5</v>
      </c>
      <c r="Q138" s="55" t="s">
        <v>113</v>
      </c>
      <c r="R138" s="55" t="s">
        <v>132</v>
      </c>
      <c r="S138" s="55" t="s">
        <v>138</v>
      </c>
      <c r="T138" s="164">
        <f t="shared" si="32"/>
        <v>62045.069999999992</v>
      </c>
      <c r="U138" s="38">
        <f t="shared" si="33"/>
        <v>62045.069999999985</v>
      </c>
      <c r="V138" s="93">
        <f t="shared" si="34"/>
        <v>108851</v>
      </c>
      <c r="W138" s="38">
        <f t="shared" si="35"/>
        <v>61973.665938647857</v>
      </c>
      <c r="Y138" s="93"/>
    </row>
    <row r="139" spans="14:25">
      <c r="N139" s="57" t="s">
        <v>439</v>
      </c>
      <c r="O139" s="57" t="s">
        <v>19</v>
      </c>
      <c r="P139" s="101" t="s">
        <v>5</v>
      </c>
      <c r="Q139" s="55" t="s">
        <v>114</v>
      </c>
      <c r="R139" s="55" t="s">
        <v>140</v>
      </c>
      <c r="S139" s="57" t="s">
        <v>271</v>
      </c>
      <c r="T139" s="164">
        <f t="shared" ca="1" si="32"/>
        <v>15105.24</v>
      </c>
      <c r="U139" s="38">
        <f t="shared" ca="1" si="33"/>
        <v>15185.697549707296</v>
      </c>
      <c r="V139" s="93">
        <f t="shared" si="34"/>
        <v>12</v>
      </c>
      <c r="W139" s="38">
        <f t="shared" ca="1" si="35"/>
        <v>41360.520000000004</v>
      </c>
      <c r="Y139" s="93"/>
    </row>
    <row r="140" spans="14:25">
      <c r="N140" s="57" t="s">
        <v>439</v>
      </c>
      <c r="O140" s="57" t="s">
        <v>19</v>
      </c>
      <c r="P140" s="101" t="s">
        <v>5</v>
      </c>
      <c r="Q140" s="55" t="s">
        <v>114</v>
      </c>
      <c r="R140" s="55" t="s">
        <v>141</v>
      </c>
      <c r="S140" s="57" t="s">
        <v>271</v>
      </c>
      <c r="T140" s="164">
        <f t="shared" ca="1" si="32"/>
        <v>0</v>
      </c>
      <c r="U140" s="38">
        <f t="shared" ca="1" si="33"/>
        <v>0</v>
      </c>
      <c r="V140" s="93">
        <f t="shared" si="34"/>
        <v>0</v>
      </c>
      <c r="W140" s="38">
        <f t="shared" ca="1" si="35"/>
        <v>0</v>
      </c>
      <c r="Y140" s="93"/>
    </row>
    <row r="141" spans="14:25">
      <c r="N141" s="57" t="s">
        <v>439</v>
      </c>
      <c r="O141" s="57" t="s">
        <v>19</v>
      </c>
      <c r="P141" s="101" t="s">
        <v>5</v>
      </c>
      <c r="Q141" s="55" t="s">
        <v>114</v>
      </c>
      <c r="R141" s="55" t="s">
        <v>140</v>
      </c>
      <c r="S141" s="55" t="s">
        <v>217</v>
      </c>
      <c r="T141" s="164">
        <f t="shared" ca="1" si="32"/>
        <v>680.4</v>
      </c>
      <c r="U141" s="38">
        <f t="shared" ca="1" si="33"/>
        <v>676.46695218998741</v>
      </c>
      <c r="V141" s="93">
        <f t="shared" si="34"/>
        <v>1080</v>
      </c>
      <c r="W141" s="38">
        <f t="shared" ca="1" si="35"/>
        <v>945.03323884339511</v>
      </c>
      <c r="Y141" s="93"/>
    </row>
    <row r="142" spans="14:25">
      <c r="N142" s="57" t="s">
        <v>439</v>
      </c>
      <c r="O142" s="57" t="s">
        <v>19</v>
      </c>
      <c r="P142" s="101" t="s">
        <v>5</v>
      </c>
      <c r="Q142" s="55" t="s">
        <v>114</v>
      </c>
      <c r="R142" s="55" t="s">
        <v>141</v>
      </c>
      <c r="S142" s="55" t="s">
        <v>217</v>
      </c>
      <c r="T142" s="164">
        <f t="shared" ca="1" si="32"/>
        <v>0</v>
      </c>
      <c r="U142" s="38">
        <f t="shared" ca="1" si="33"/>
        <v>0</v>
      </c>
      <c r="V142" s="93">
        <f t="shared" si="34"/>
        <v>0</v>
      </c>
      <c r="W142" s="38">
        <f t="shared" ca="1" si="35"/>
        <v>0</v>
      </c>
      <c r="Y142" s="93"/>
    </row>
    <row r="143" spans="14:25">
      <c r="N143" s="57" t="s">
        <v>439</v>
      </c>
      <c r="O143" s="57" t="s">
        <v>19</v>
      </c>
      <c r="P143" s="101" t="s">
        <v>5</v>
      </c>
      <c r="Q143" s="55" t="s">
        <v>114</v>
      </c>
      <c r="R143" s="55" t="s">
        <v>132</v>
      </c>
      <c r="S143" s="55" t="s">
        <v>139</v>
      </c>
      <c r="T143" s="164">
        <f t="shared" ca="1" si="32"/>
        <v>57239.999999999985</v>
      </c>
      <c r="U143" s="38">
        <f t="shared" ca="1" si="33"/>
        <v>57533.89435062444</v>
      </c>
      <c r="V143" s="93">
        <f t="shared" si="34"/>
        <v>5999.9999999999991</v>
      </c>
      <c r="W143" s="38">
        <f t="shared" ca="1" si="35"/>
        <v>49123.924445661898</v>
      </c>
      <c r="Y143" s="93"/>
    </row>
    <row r="144" spans="14:25">
      <c r="N144" s="57" t="s">
        <v>439</v>
      </c>
      <c r="O144" s="57" t="s">
        <v>19</v>
      </c>
      <c r="P144" s="101" t="s">
        <v>5</v>
      </c>
      <c r="Q144" s="55" t="s">
        <v>114</v>
      </c>
      <c r="R144" s="55" t="s">
        <v>132</v>
      </c>
      <c r="S144" s="55" t="s">
        <v>144</v>
      </c>
      <c r="T144" s="164">
        <f t="shared" ca="1" si="32"/>
        <v>10462.507444465678</v>
      </c>
      <c r="U144" s="38">
        <f t="shared" ca="1" si="33"/>
        <v>10513.71835636373</v>
      </c>
      <c r="V144" s="93">
        <f t="shared" si="34"/>
        <v>167400.11911145085</v>
      </c>
      <c r="W144" s="38">
        <f t="shared" ca="1" si="35"/>
        <v>9487.2703854896808</v>
      </c>
      <c r="Y144" s="93"/>
    </row>
    <row r="145" spans="14:31">
      <c r="N145" s="57" t="s">
        <v>439</v>
      </c>
      <c r="O145" s="57" t="s">
        <v>19</v>
      </c>
      <c r="P145" s="101" t="s">
        <v>5</v>
      </c>
      <c r="Q145" s="55" t="s">
        <v>114</v>
      </c>
      <c r="R145" s="55" t="s">
        <v>132</v>
      </c>
      <c r="S145" s="55" t="s">
        <v>145</v>
      </c>
      <c r="T145" s="164">
        <f t="shared" ca="1" si="32"/>
        <v>14164.47106327115</v>
      </c>
      <c r="U145" s="38">
        <f t="shared" ca="1" si="33"/>
        <v>14245.967842899337</v>
      </c>
      <c r="V145" s="93">
        <f t="shared" si="34"/>
        <v>266399.6814608078</v>
      </c>
      <c r="W145" s="38">
        <f t="shared" ca="1" si="35"/>
        <v>12612.483864940601</v>
      </c>
      <c r="Y145" s="93"/>
    </row>
    <row r="146" spans="14:31">
      <c r="N146" s="57" t="s">
        <v>439</v>
      </c>
      <c r="O146" s="57" t="s">
        <v>19</v>
      </c>
      <c r="P146" s="101" t="s">
        <v>5</v>
      </c>
      <c r="Q146" s="55" t="s">
        <v>114</v>
      </c>
      <c r="R146" s="55" t="s">
        <v>132</v>
      </c>
      <c r="S146" s="55" t="s">
        <v>138</v>
      </c>
      <c r="T146" s="164">
        <f t="shared" si="32"/>
        <v>336.56000000000006</v>
      </c>
      <c r="U146" s="38">
        <f t="shared" si="33"/>
        <v>336.56000000000006</v>
      </c>
      <c r="V146" s="93">
        <f t="shared" si="34"/>
        <v>601</v>
      </c>
      <c r="W146" s="38">
        <f t="shared" si="35"/>
        <v>342.17575611732883</v>
      </c>
      <c r="X146" s="357"/>
      <c r="Y146" s="297"/>
      <c r="Z146" s="266"/>
      <c r="AA146" s="447" t="s">
        <v>504</v>
      </c>
      <c r="AB146" s="154"/>
      <c r="AC146" s="465"/>
      <c r="AD146" s="290" t="s">
        <v>4</v>
      </c>
      <c r="AE146" s="465"/>
    </row>
    <row r="147" spans="14:31">
      <c r="N147" s="103" t="s">
        <v>439</v>
      </c>
      <c r="O147" s="103" t="s">
        <v>19</v>
      </c>
      <c r="P147" s="104" t="s">
        <v>5</v>
      </c>
      <c r="Q147" s="105" t="s">
        <v>132</v>
      </c>
      <c r="R147" s="105" t="s">
        <v>132</v>
      </c>
      <c r="S147" s="163" t="s">
        <v>105</v>
      </c>
      <c r="T147" s="165">
        <f t="shared" si="32"/>
        <v>316128.70153986604</v>
      </c>
      <c r="U147" s="38">
        <f t="shared" si="33"/>
        <v>316128.70153986604</v>
      </c>
      <c r="V147" s="93">
        <f t="shared" si="34"/>
        <v>0</v>
      </c>
      <c r="W147" s="38">
        <f t="shared" si="35"/>
        <v>316128.70153986604</v>
      </c>
      <c r="X147" s="330" t="s">
        <v>443</v>
      </c>
      <c r="Y147" s="331"/>
      <c r="Z147" s="341"/>
      <c r="AA147" s="611" t="s">
        <v>503</v>
      </c>
      <c r="AB147" s="367" t="s">
        <v>506</v>
      </c>
      <c r="AC147" s="367" t="s">
        <v>505</v>
      </c>
      <c r="AD147" s="367" t="s">
        <v>507</v>
      </c>
      <c r="AE147" s="367" t="s">
        <v>508</v>
      </c>
    </row>
    <row r="148" spans="14:31">
      <c r="N148" s="255" t="s">
        <v>474</v>
      </c>
      <c r="O148" s="210" t="s">
        <v>19</v>
      </c>
      <c r="P148" s="166" t="s">
        <v>132</v>
      </c>
      <c r="Q148" s="166" t="s">
        <v>132</v>
      </c>
      <c r="R148" s="166" t="s">
        <v>132</v>
      </c>
      <c r="S148" s="435" t="s">
        <v>132</v>
      </c>
      <c r="T148" s="167">
        <f ca="1">'Cost of Service and Proposed $'!X134</f>
        <v>226547.28672072419</v>
      </c>
      <c r="X148" s="357">
        <f ca="1">(T148-AA148-AB148-AC148)*AD148/AE148</f>
        <v>217896.22577856452</v>
      </c>
      <c r="Y148" s="378"/>
      <c r="Z148" s="378"/>
      <c r="AA148" s="221">
        <v>0</v>
      </c>
      <c r="AB148" s="94">
        <v>0</v>
      </c>
      <c r="AC148" s="94">
        <v>0</v>
      </c>
      <c r="AD148" s="94">
        <f t="shared" ref="AD148:AD151" si="36">($T$11+$T$12+$T$27+$T$28)+($T$19+$T$20+$T$33+$T$34)</f>
        <v>374086296.54652476</v>
      </c>
      <c r="AE148" s="94">
        <f>($T$11+$T$12+$T$27+$T$28)*$AE$77+($T$19+$T$20+$T$33+$T$34)*$AE$78</f>
        <v>388938519.60586137</v>
      </c>
    </row>
    <row r="149" spans="14:31">
      <c r="N149" s="273" t="s">
        <v>475</v>
      </c>
      <c r="O149" s="47" t="s">
        <v>19</v>
      </c>
      <c r="P149" s="162" t="s">
        <v>132</v>
      </c>
      <c r="Q149" s="162" t="s">
        <v>132</v>
      </c>
      <c r="R149" s="162" t="s">
        <v>132</v>
      </c>
      <c r="S149" s="436" t="s">
        <v>132</v>
      </c>
      <c r="T149" s="164">
        <f ca="1">'Cost of Service and Proposed $'!X135</f>
        <v>1227741.8786664288</v>
      </c>
      <c r="X149" s="335">
        <f ca="1">(T149-AA149-AB149-AC149)*AD149/AE149</f>
        <v>935865.30902308819</v>
      </c>
      <c r="Y149" s="377"/>
      <c r="Z149" s="377"/>
      <c r="AA149" s="221">
        <f ca="1">'Cost of Service and Proposed $'!X115*T149/(T149+T150)</f>
        <v>65876.749356534652</v>
      </c>
      <c r="AB149" s="94">
        <f ca="1">'Cost of Service and Proposed $'!X116*T149/(T149+T150)</f>
        <v>177216.04389669944</v>
      </c>
      <c r="AC149" s="94">
        <f ca="1">'Cost of Service and Proposed $'!X117*T149/(T149+T150)</f>
        <v>11627.429174439088</v>
      </c>
      <c r="AD149" s="94">
        <f t="shared" si="36"/>
        <v>374086296.54652476</v>
      </c>
      <c r="AE149" s="94">
        <f>($T$11+$T$12+$T$27+$T$28)*$AE$77+($T$19+$T$20+$T$33+$T$34)*$AE$78</f>
        <v>388938519.60586137</v>
      </c>
    </row>
    <row r="150" spans="14:31">
      <c r="N150" s="273" t="s">
        <v>476</v>
      </c>
      <c r="O150" s="47" t="s">
        <v>19</v>
      </c>
      <c r="P150" s="162" t="s">
        <v>132</v>
      </c>
      <c r="Q150" s="162" t="s">
        <v>132</v>
      </c>
      <c r="R150" s="162" t="s">
        <v>132</v>
      </c>
      <c r="S150" s="436" t="s">
        <v>132</v>
      </c>
      <c r="T150" s="164">
        <f ca="1">'Cost of Service and Proposed $'!X136</f>
        <v>12762536.095526336</v>
      </c>
      <c r="X150" s="335">
        <f ca="1">(T150-AA150-AB150-AC150)*AD150/AE150</f>
        <v>9728441.2908775564</v>
      </c>
      <c r="Y150" s="377"/>
      <c r="Z150" s="377"/>
      <c r="AA150" s="221">
        <f ca="1">'Cost of Service and Proposed $'!X115*T150/(T149+T150)</f>
        <v>684797.35531375778</v>
      </c>
      <c r="AB150" s="94">
        <f ca="1">'Cost of Service and Proposed $'!X116*T150/(T149+T150)</f>
        <v>1842183.765364988</v>
      </c>
      <c r="AC150" s="94">
        <f ca="1">'Cost of Service and Proposed $'!X117*T150/(T149+T150)</f>
        <v>120868.63461735277</v>
      </c>
      <c r="AD150" s="94">
        <f t="shared" si="36"/>
        <v>374086296.54652476</v>
      </c>
      <c r="AE150" s="94">
        <f>($T$11+$T$12+$T$27+$T$28)*$AE$77+($T$19+$T$20+$T$33+$T$34)*$AE$78</f>
        <v>388938519.60586137</v>
      </c>
    </row>
    <row r="151" spans="14:31">
      <c r="N151" s="256" t="s">
        <v>477</v>
      </c>
      <c r="O151" s="211" t="s">
        <v>19</v>
      </c>
      <c r="P151" s="163" t="s">
        <v>132</v>
      </c>
      <c r="Q151" s="163" t="s">
        <v>132</v>
      </c>
      <c r="R151" s="163" t="s">
        <v>132</v>
      </c>
      <c r="S151" s="437" t="s">
        <v>132</v>
      </c>
      <c r="T151" s="165">
        <f ca="1">'Cost of Service and Proposed $'!X137</f>
        <v>18261995.606042601</v>
      </c>
      <c r="X151" s="336">
        <f ca="1">(T151-AA151-AB151-AC151)*AD151/AE151</f>
        <v>17564632.864691019</v>
      </c>
      <c r="Y151" s="466"/>
      <c r="Z151" s="466"/>
      <c r="AA151" s="267">
        <v>0</v>
      </c>
      <c r="AB151" s="95">
        <v>0</v>
      </c>
      <c r="AC151" s="95">
        <v>0</v>
      </c>
      <c r="AD151" s="95">
        <f t="shared" si="36"/>
        <v>374086296.54652476</v>
      </c>
      <c r="AE151" s="95">
        <f>($T$11+$T$12+$T$27+$T$28)*$AE$77+($T$19+$T$20+$T$33+$T$34)*$AE$78</f>
        <v>388938519.60586137</v>
      </c>
    </row>
    <row r="152" spans="14:31">
      <c r="N152" s="338" t="s">
        <v>469</v>
      </c>
      <c r="O152" s="210" t="s">
        <v>19</v>
      </c>
      <c r="P152" s="97" t="s">
        <v>132</v>
      </c>
      <c r="Q152" s="166" t="s">
        <v>132</v>
      </c>
      <c r="R152" s="166" t="s">
        <v>132</v>
      </c>
      <c r="S152" s="98" t="s">
        <v>271</v>
      </c>
      <c r="T152" s="164">
        <f ca="1">(U152*(V152-W152)+W152*100)/100</f>
        <v>921349.09971413936</v>
      </c>
      <c r="U152" s="279">
        <f>$U$86</f>
        <v>10</v>
      </c>
      <c r="V152" s="111">
        <f ca="1">T148*(1-SUM(V156:V157)/SUM(T148,T150,T151))</f>
        <v>222100.20608075723</v>
      </c>
      <c r="W152" s="38" cm="1">
        <f t="array" aca="1" ref="W152" ca="1">SUMIFS(T$114:T$147,S$114:S$147,"Bill")/SUM(SUMIFS(T$114:T$147,S$114:S$147,{"Bill","kW","kWh*"}))*(SUM(T148,T150,T151)-SUM(W$156:W$157))</f>
        <v>999043.42122895969</v>
      </c>
      <c r="X152" s="167">
        <f ca="1">(U152*(Y152-Z152)+Z152*100)/100</f>
        <v>810679.82474140171</v>
      </c>
      <c r="Y152" s="94">
        <f ca="1">X148*(1-SUM(Y156:Y157)/SUM(X148,X150,X151))</f>
        <v>213037.47129266913</v>
      </c>
      <c r="Z152" s="94" cm="1">
        <f t="array" aca="1" ref="Z152" ca="1">SUMIFS(T$114:T$147,S$114:S$147,"Bill")/SUM(SUMIFS(T$114:T$147,S$114:S$147,{"Bill","kW","kWh*"}))*(SUM(X148,X150,X151)-SUM(Z$156:Z$157))</f>
        <v>877084.53068014979</v>
      </c>
    </row>
    <row r="153" spans="14:31">
      <c r="N153" s="337" t="s">
        <v>469</v>
      </c>
      <c r="O153" s="47" t="s">
        <v>19</v>
      </c>
      <c r="P153" s="55" t="s">
        <v>132</v>
      </c>
      <c r="Q153" s="162" t="s">
        <v>132</v>
      </c>
      <c r="R153" s="162" t="s">
        <v>132</v>
      </c>
      <c r="S153" s="55" t="s">
        <v>217</v>
      </c>
      <c r="T153" s="164">
        <f t="shared" ref="T153:T157" ca="1" si="37">(U153*(V153-W153)+W153*100)/100</f>
        <v>1227741.8786664288</v>
      </c>
      <c r="U153" s="279">
        <f t="shared" ref="U153:U157" si="38">$U$86</f>
        <v>10</v>
      </c>
      <c r="V153" s="38">
        <f ca="1">T149</f>
        <v>1227741.8786664288</v>
      </c>
      <c r="W153" s="38">
        <f ca="1">T149</f>
        <v>1227741.8786664288</v>
      </c>
      <c r="X153" s="164">
        <f t="shared" ref="X153:X157" ca="1" si="39">(U153*(Y153-Z153)+Z153*100)/100</f>
        <v>935865.30902308819</v>
      </c>
      <c r="Y153" s="94">
        <f ca="1">X149</f>
        <v>935865.30902308819</v>
      </c>
      <c r="Z153" s="94">
        <f ca="1">X149</f>
        <v>935865.30902308819</v>
      </c>
    </row>
    <row r="154" spans="14:31">
      <c r="N154" s="337" t="s">
        <v>469</v>
      </c>
      <c r="O154" s="47" t="s">
        <v>19</v>
      </c>
      <c r="P154" s="55" t="s">
        <v>132</v>
      </c>
      <c r="Q154" s="162" t="s">
        <v>132</v>
      </c>
      <c r="R154" s="55" t="s">
        <v>132</v>
      </c>
      <c r="S154" s="55" t="s">
        <v>139</v>
      </c>
      <c r="T154" s="164">
        <f t="shared" ca="1" si="37"/>
        <v>8509630.3486587144</v>
      </c>
      <c r="U154" s="279">
        <f t="shared" si="38"/>
        <v>10</v>
      </c>
      <c r="V154" s="38">
        <f ca="1">T150*(1-SUM(V156:V157)/SUM(T148,T150,T151))</f>
        <v>12512009.911748815</v>
      </c>
      <c r="W154" s="38" cm="1">
        <f t="array" aca="1" ref="W154" ca="1">SUMIFS(T$114:T$147,S$114:S$147,"kW")/SUM(SUMIFS(T$114:T$147,S$114:S$147,{"Bill","kW","kWh*"}))*(SUM(T148,T150,T151)-SUM(W$156:W$157))</f>
        <v>8064921.5083153704</v>
      </c>
      <c r="X154" s="164">
        <f t="shared" ca="1" si="39"/>
        <v>7323502.9472888848</v>
      </c>
      <c r="Y154" s="94">
        <f ca="1">X150*(1-SUM(Y156:Y157)/SUM(X148,X150,X151))</f>
        <v>9511511.8438716363</v>
      </c>
      <c r="Z154" s="94" cm="1">
        <f t="array" aca="1" ref="Z154" ca="1">SUMIFS(T$114:T$147,S$114:S$147,"kW")/SUM(SUMIFS(T$114:T$147,S$114:S$147,{"Bill","kW","kWh*"}))*(SUM(X148,X150,X151)-SUM(Z$156:Z$157))</f>
        <v>7080390.8476685798</v>
      </c>
    </row>
    <row r="155" spans="14:31">
      <c r="N155" s="337" t="s">
        <v>469</v>
      </c>
      <c r="O155" s="47" t="s">
        <v>19</v>
      </c>
      <c r="P155" s="55" t="s">
        <v>132</v>
      </c>
      <c r="Q155" s="162" t="s">
        <v>132</v>
      </c>
      <c r="R155" s="55" t="s">
        <v>132</v>
      </c>
      <c r="S155" s="55" t="s">
        <v>4</v>
      </c>
      <c r="T155" s="164">
        <f t="shared" ca="1" si="37"/>
        <v>21206646.735610113</v>
      </c>
      <c r="U155" s="279">
        <f t="shared" si="38"/>
        <v>10</v>
      </c>
      <c r="V155" s="38">
        <f ca="1">T151*(1-SUM(V156:V157)/SUM(T148,T150,T151))</f>
        <v>17903516.066153392</v>
      </c>
      <c r="W155" s="38" cm="1">
        <f t="array" aca="1" ref="W155" ca="1">SUMIFS(T$114:T$147,S$114:S$147,"kWh*")/SUM(SUMIFS(T$114:T$147,S$114:S$147,{"Bill","kW","kWh*"}))*(SUM(T148,T150,T151)-SUM(W$156:W$157))</f>
        <v>21573661.254438635</v>
      </c>
      <c r="X155" s="164">
        <f t="shared" ca="1" si="39"/>
        <v>18763334.805010162</v>
      </c>
      <c r="Y155" s="94">
        <f ca="1">X151*(1-SUM(Y156:Y157)/SUM(X148,X150,X151))</f>
        <v>17172968.26187614</v>
      </c>
      <c r="Z155" s="94" cm="1">
        <f t="array" aca="1" ref="Z155" ca="1">SUMIFS(T$114:T$147,S$114:S$147,"kWh*")/SUM(SUMIFS(T$114:T$147,S$114:S$147,{"Bill","kW","kWh*"}))*(SUM(X148,X150,X151)-SUM(Z$156:Z$157))</f>
        <v>18940042.198691718</v>
      </c>
    </row>
    <row r="156" spans="14:31">
      <c r="N156" s="337" t="s">
        <v>469</v>
      </c>
      <c r="O156" s="47" t="s">
        <v>19</v>
      </c>
      <c r="P156" s="55" t="s">
        <v>132</v>
      </c>
      <c r="Q156" s="162" t="s">
        <v>132</v>
      </c>
      <c r="R156" s="55" t="s">
        <v>132</v>
      </c>
      <c r="S156" s="55" t="s">
        <v>138</v>
      </c>
      <c r="T156" s="164">
        <f t="shared" si="37"/>
        <v>85500.939999999988</v>
      </c>
      <c r="U156" s="279">
        <f t="shared" si="38"/>
        <v>10</v>
      </c>
      <c r="V156" s="38">
        <f>SUMIFS(T114:T147,S114:S147,S156)</f>
        <v>85500.939999999988</v>
      </c>
      <c r="W156" s="38">
        <f>SUMIFS(T114:T147,S114:S147,S156)</f>
        <v>85500.939999999988</v>
      </c>
      <c r="X156" s="164">
        <f t="shared" si="39"/>
        <v>85500.939999999988</v>
      </c>
      <c r="Y156" s="94">
        <f>SUMIFS(T118:T147,S118:S147,S156)</f>
        <v>85500.939999999988</v>
      </c>
      <c r="Z156" s="94">
        <f>SUMIFS(T118:T147,S118:S147,S156)</f>
        <v>85500.939999999988</v>
      </c>
    </row>
    <row r="157" spans="14:31">
      <c r="N157" s="339" t="s">
        <v>469</v>
      </c>
      <c r="O157" s="211" t="s">
        <v>19</v>
      </c>
      <c r="P157" s="105" t="s">
        <v>132</v>
      </c>
      <c r="Q157" s="163" t="s">
        <v>132</v>
      </c>
      <c r="R157" s="105" t="s">
        <v>132</v>
      </c>
      <c r="S157" s="105" t="s">
        <v>105</v>
      </c>
      <c r="T157" s="165">
        <f t="shared" si="37"/>
        <v>527951.86430669681</v>
      </c>
      <c r="U157" s="279">
        <f t="shared" si="38"/>
        <v>10</v>
      </c>
      <c r="V157" s="38">
        <f>SUMIFS(T114:T147,S114:S147,S157)</f>
        <v>527951.86430669681</v>
      </c>
      <c r="W157" s="38">
        <f>SUMIFS(T114:T147,S114:S147,S157)</f>
        <v>527951.86430669681</v>
      </c>
      <c r="X157" s="165">
        <f t="shared" si="39"/>
        <v>527951.86430669681</v>
      </c>
      <c r="Y157" s="95">
        <f>SUMIFS(T118:T147,S118:S147,S157)</f>
        <v>527951.86430669681</v>
      </c>
      <c r="Z157" s="95">
        <f>SUMIFS(T118:T147,S118:S147,S157)</f>
        <v>527951.86430669681</v>
      </c>
    </row>
    <row r="158" spans="14:31">
      <c r="N158" s="98" t="s">
        <v>440</v>
      </c>
      <c r="O158" s="98" t="s">
        <v>338</v>
      </c>
      <c r="P158" s="97" t="s">
        <v>132</v>
      </c>
      <c r="Q158" s="97" t="s">
        <v>113</v>
      </c>
      <c r="R158" s="97" t="s">
        <v>140</v>
      </c>
      <c r="S158" s="98" t="s">
        <v>271</v>
      </c>
      <c r="T158" s="269">
        <f t="shared" ref="T158:T179" ca="1" si="40">ROUND(X158*Y158/Z158/AA158*U158/100+AB158,V158)</f>
        <v>1133.42</v>
      </c>
      <c r="U158" s="380">
        <f>100+Summary!$Q$11</f>
        <v>99.4</v>
      </c>
      <c r="V158" s="38">
        <v>2</v>
      </c>
      <c r="W158" s="281">
        <f ca="1">X158*Y158/Z158/AA158+AB158</f>
        <v>1140.2629171947817</v>
      </c>
      <c r="X158" s="111">
        <f ca="1">SUMIFS(T$152:T$157,S$152:S$157,S158)</f>
        <v>921349.09971413936</v>
      </c>
      <c r="Y158" s="96">
        <f ca="1">SUMIFS(T$114:T$147,Q$114:Q$147,Q158,R$114:R$147,R158,S$114:S$147,S158)</f>
        <v>814901.08</v>
      </c>
      <c r="Z158" s="96">
        <f ca="1">SUMIFS(T$114:T$147,S$114:S$147,S158)</f>
        <v>993639.81</v>
      </c>
      <c r="AA158" s="93">
        <f>SUMIFS(T$8:T$35,Q$8:Q$35,Q158,R$8:R$35,R158,S$8:S$35,S158)</f>
        <v>662.66666666666663</v>
      </c>
      <c r="AB158" s="257"/>
      <c r="AC158" s="93"/>
    </row>
    <row r="159" spans="14:31">
      <c r="N159" s="57" t="s">
        <v>440</v>
      </c>
      <c r="O159" s="57" t="s">
        <v>338</v>
      </c>
      <c r="P159" s="55" t="s">
        <v>132</v>
      </c>
      <c r="Q159" s="55" t="s">
        <v>113</v>
      </c>
      <c r="R159" s="55" t="s">
        <v>141</v>
      </c>
      <c r="S159" s="57" t="s">
        <v>271</v>
      </c>
      <c r="T159" s="270">
        <f t="shared" ca="1" si="40"/>
        <v>1369.95</v>
      </c>
      <c r="U159" s="380">
        <f>100+Summary!$Q$11</f>
        <v>99.4</v>
      </c>
      <c r="V159" s="38">
        <v>2</v>
      </c>
      <c r="W159" s="281">
        <f t="shared" ref="W159:W179" ca="1" si="41">X159*Y159/Z159/AA159+AB159</f>
        <v>1378.2222029239226</v>
      </c>
      <c r="X159" s="111">
        <f t="shared" ref="X159:X173" ca="1" si="42">SUMIFS(T$152:T$157,S$152:S$157,S159)</f>
        <v>921349.09971413936</v>
      </c>
      <c r="Y159" s="96">
        <f t="shared" ref="Y159:Y173" ca="1" si="43">SUMIFS(T$114:T$147,Q$114:Q$147,Q159,R$114:R$147,R159,S$114:S$147,S159)</f>
        <v>40131.719999999994</v>
      </c>
      <c r="Z159" s="96">
        <f t="shared" ref="Z159:Z173" ca="1" si="44">SUMIFS(T$114:T$147,S$114:S$147,S159)</f>
        <v>993639.81</v>
      </c>
      <c r="AA159" s="93">
        <f t="shared" ref="AA159:AA173" si="45">SUMIFS(T$8:T$35,Q$8:Q$35,Q159,R$8:R$35,R159,S$8:S$35,S159)</f>
        <v>27</v>
      </c>
      <c r="AB159" s="257"/>
      <c r="AC159" s="93"/>
    </row>
    <row r="160" spans="14:31">
      <c r="N160" s="57" t="s">
        <v>440</v>
      </c>
      <c r="O160" s="57" t="s">
        <v>338</v>
      </c>
      <c r="P160" s="55" t="s">
        <v>132</v>
      </c>
      <c r="Q160" s="55" t="s">
        <v>113</v>
      </c>
      <c r="R160" s="55" t="s">
        <v>140</v>
      </c>
      <c r="S160" s="55" t="s">
        <v>217</v>
      </c>
      <c r="T160" s="270">
        <f t="shared" ca="1" si="40"/>
        <v>1.25</v>
      </c>
      <c r="U160" s="510">
        <f>100</f>
        <v>100</v>
      </c>
      <c r="V160" s="38">
        <v>2</v>
      </c>
      <c r="W160" s="281">
        <f t="shared" ca="1" si="41"/>
        <v>1.2501507097693418</v>
      </c>
      <c r="X160" s="111">
        <f t="shared" ca="1" si="42"/>
        <v>1227741.8786664288</v>
      </c>
      <c r="Y160" s="96">
        <f t="shared" ca="1" si="43"/>
        <v>1023709.9965846995</v>
      </c>
      <c r="Z160" s="96">
        <f t="shared" ca="1" si="44"/>
        <v>1227593.8703551914</v>
      </c>
      <c r="AA160" s="93">
        <f t="shared" si="45"/>
        <v>818967.99726775964</v>
      </c>
      <c r="AB160" s="257"/>
      <c r="AC160" s="93"/>
    </row>
    <row r="161" spans="14:31">
      <c r="N161" s="57" t="s">
        <v>440</v>
      </c>
      <c r="O161" s="57" t="s">
        <v>338</v>
      </c>
      <c r="P161" s="55" t="s">
        <v>132</v>
      </c>
      <c r="Q161" s="55" t="s">
        <v>113</v>
      </c>
      <c r="R161" s="55" t="s">
        <v>141</v>
      </c>
      <c r="S161" s="55" t="s">
        <v>217</v>
      </c>
      <c r="T161" s="270">
        <f t="shared" ca="1" si="40"/>
        <v>1.1200000000000001</v>
      </c>
      <c r="U161" s="510">
        <f>100</f>
        <v>100</v>
      </c>
      <c r="V161" s="38">
        <v>2</v>
      </c>
      <c r="W161" s="281">
        <f t="shared" ca="1" si="41"/>
        <v>1.1201350359533306</v>
      </c>
      <c r="X161" s="111">
        <f t="shared" ca="1" si="42"/>
        <v>1227741.8786664288</v>
      </c>
      <c r="Y161" s="96">
        <f t="shared" ca="1" si="43"/>
        <v>117827.36000000002</v>
      </c>
      <c r="Z161" s="96">
        <f t="shared" ca="1" si="44"/>
        <v>1227593.8703551914</v>
      </c>
      <c r="AA161" s="93">
        <f t="shared" si="45"/>
        <v>105203</v>
      </c>
      <c r="AB161" s="257"/>
      <c r="AC161" s="93"/>
    </row>
    <row r="162" spans="14:31">
      <c r="N162" s="57" t="s">
        <v>440</v>
      </c>
      <c r="O162" s="57" t="s">
        <v>338</v>
      </c>
      <c r="P162" s="55" t="s">
        <v>132</v>
      </c>
      <c r="Q162" s="55" t="s">
        <v>113</v>
      </c>
      <c r="R162" s="55" t="s">
        <v>132</v>
      </c>
      <c r="S162" s="55" t="s">
        <v>139</v>
      </c>
      <c r="T162" s="270">
        <f t="shared" ca="1" si="40"/>
        <v>9.98</v>
      </c>
      <c r="U162" s="380">
        <f>100+Summary!$Q$11</f>
        <v>99.4</v>
      </c>
      <c r="V162" s="38">
        <v>2</v>
      </c>
      <c r="W162" s="281">
        <f t="shared" ca="1" si="41"/>
        <v>10.035917156796513</v>
      </c>
      <c r="X162" s="111">
        <f t="shared" ca="1" si="42"/>
        <v>8509630.3486587144</v>
      </c>
      <c r="Y162" s="96">
        <f t="shared" ca="1" si="43"/>
        <v>6845940.2733333344</v>
      </c>
      <c r="Z162" s="96">
        <f t="shared" ca="1" si="44"/>
        <v>8021300.0805606069</v>
      </c>
      <c r="AA162" s="93">
        <f t="shared" si="45"/>
        <v>723672.33333333337</v>
      </c>
      <c r="AB162" s="257"/>
      <c r="AC162" s="93"/>
    </row>
    <row r="163" spans="14:31">
      <c r="N163" s="57" t="s">
        <v>440</v>
      </c>
      <c r="O163" s="57" t="s">
        <v>338</v>
      </c>
      <c r="P163" s="55" t="s">
        <v>132</v>
      </c>
      <c r="Q163" s="55" t="s">
        <v>113</v>
      </c>
      <c r="R163" s="55" t="s">
        <v>132</v>
      </c>
      <c r="S163" s="55" t="s">
        <v>144</v>
      </c>
      <c r="T163" s="270">
        <f t="shared" ca="1" si="40"/>
        <v>6.2089999999999999E-2</v>
      </c>
      <c r="U163" s="380">
        <f>100+Summary!$Q$11</f>
        <v>99.4</v>
      </c>
      <c r="V163" s="38">
        <v>5</v>
      </c>
      <c r="W163" s="281">
        <f t="shared" ca="1" si="41"/>
        <v>6.2430005361135493E-2</v>
      </c>
      <c r="X163" s="111">
        <f ca="1">SUMIFS(T$152:T$157,S$152:S$157,"kWh")</f>
        <v>21206646.735610113</v>
      </c>
      <c r="Y163" s="96">
        <f ca="1">SUMIFS(T$114:T$147,Q$114:Q$147,Q163,R$114:R$147,R163,S$114:S$147,"kWh*")</f>
        <v>18504349.208023179</v>
      </c>
      <c r="Z163" s="96">
        <f ca="1">SUMIFS(T$114:T$147,S$114:S$147,"kWh*")</f>
        <v>21456973.955641501</v>
      </c>
      <c r="AA163" s="93">
        <f>SUMIFS(T$8:T$35,Q$8:Q$35,Q163,R$8:R$35,R163,S$8:S$35,"kWh*")</f>
        <v>322212281.80302668</v>
      </c>
      <c r="AB163" s="257">
        <f ca="1">(T12+T28)/(T11+T12+T27+T28)*(T97-T98)</f>
        <v>5.6709376921418326E-3</v>
      </c>
      <c r="AC163" s="93"/>
      <c r="AD163" s="257"/>
    </row>
    <row r="164" spans="14:31">
      <c r="N164" s="57" t="s">
        <v>440</v>
      </c>
      <c r="O164" s="57" t="s">
        <v>338</v>
      </c>
      <c r="P164" s="55" t="s">
        <v>132</v>
      </c>
      <c r="Q164" s="55" t="s">
        <v>113</v>
      </c>
      <c r="R164" s="55" t="s">
        <v>132</v>
      </c>
      <c r="S164" s="55" t="s">
        <v>145</v>
      </c>
      <c r="T164" s="270">
        <f t="shared" ca="1" si="40"/>
        <v>5.2760000000000001E-2</v>
      </c>
      <c r="U164" s="380">
        <f>100+Summary!$Q$11</f>
        <v>99.4</v>
      </c>
      <c r="V164" s="38">
        <v>5</v>
      </c>
      <c r="W164" s="281">
        <f t="shared" ca="1" si="41"/>
        <v>5.3100005361135488E-2</v>
      </c>
      <c r="X164" s="111">
        <f ca="1">SUMIFS(T$152:T$157,S$152:S$157,"kWh")</f>
        <v>21206646.735610113</v>
      </c>
      <c r="Y164" s="96">
        <f ca="1">SUMIFS(T$114:T$147,Q$114:Q$147,Q164,R$114:R$147,R164,S$114:S$147,"kWh*")</f>
        <v>18504349.208023179</v>
      </c>
      <c r="Z164" s="96">
        <f ca="1">SUMIFS(T$114:T$147,S$114:S$147,"kWh*")</f>
        <v>21456973.955641501</v>
      </c>
      <c r="AA164" s="93">
        <f>SUMIFS(T$8:T$35,Q$8:Q$35,Q164,R$8:R$35,R164,S$8:S$35,"kWh*")</f>
        <v>322212281.80302668</v>
      </c>
      <c r="AB164" s="257">
        <f ca="1">(T11+T27)/(T11+T12+T27+T28)*(T98-T97)</f>
        <v>-3.6590623078581737E-3</v>
      </c>
      <c r="AC164" s="257">
        <f ca="1">X164*Y164/Z164/AA164*U164/100</f>
        <v>5.6418513262979697E-2</v>
      </c>
      <c r="AD164" s="257"/>
    </row>
    <row r="165" spans="14:31">
      <c r="N165" s="57" t="s">
        <v>440</v>
      </c>
      <c r="O165" s="57" t="s">
        <v>338</v>
      </c>
      <c r="P165" s="55" t="s">
        <v>132</v>
      </c>
      <c r="Q165" s="55" t="s">
        <v>113</v>
      </c>
      <c r="R165" s="55" t="s">
        <v>132</v>
      </c>
      <c r="S165" s="55" t="s">
        <v>138</v>
      </c>
      <c r="T165" s="270">
        <f t="shared" si="40"/>
        <v>0.56999999999999995</v>
      </c>
      <c r="U165" s="380">
        <f>100+Summary!$Q$11</f>
        <v>99.4</v>
      </c>
      <c r="V165" s="38">
        <v>2</v>
      </c>
      <c r="W165" s="281">
        <f t="shared" si="41"/>
        <v>0.56999999999999984</v>
      </c>
      <c r="X165" s="111">
        <f t="shared" si="42"/>
        <v>85500.939999999988</v>
      </c>
      <c r="Y165" s="96">
        <f t="shared" si="43"/>
        <v>79984.299999999988</v>
      </c>
      <c r="Z165" s="96">
        <f t="shared" si="44"/>
        <v>85500.939999999988</v>
      </c>
      <c r="AA165" s="93">
        <f t="shared" si="45"/>
        <v>140323.33333333334</v>
      </c>
      <c r="AB165" s="257"/>
    </row>
    <row r="166" spans="14:31">
      <c r="N166" s="57" t="s">
        <v>440</v>
      </c>
      <c r="O166" s="57" t="s">
        <v>338</v>
      </c>
      <c r="P166" s="55" t="s">
        <v>132</v>
      </c>
      <c r="Q166" s="55" t="s">
        <v>114</v>
      </c>
      <c r="R166" s="55" t="s">
        <v>140</v>
      </c>
      <c r="S166" s="57" t="s">
        <v>271</v>
      </c>
      <c r="T166" s="270">
        <f t="shared" ca="1" si="40"/>
        <v>1160.19</v>
      </c>
      <c r="U166" s="380">
        <f>100+Summary!$Q$11</f>
        <v>99.4</v>
      </c>
      <c r="V166" s="38">
        <v>2</v>
      </c>
      <c r="W166" s="281">
        <f t="shared" ca="1" si="41"/>
        <v>1167.1901574144529</v>
      </c>
      <c r="X166" s="111">
        <f t="shared" ca="1" si="42"/>
        <v>921349.09971413936</v>
      </c>
      <c r="Y166" s="96">
        <f t="shared" ca="1" si="43"/>
        <v>120422.33000000002</v>
      </c>
      <c r="Z166" s="96">
        <f t="shared" ca="1" si="44"/>
        <v>993639.81</v>
      </c>
      <c r="AA166" s="93">
        <f t="shared" si="45"/>
        <v>95.666666666666671</v>
      </c>
      <c r="AB166" s="257"/>
    </row>
    <row r="167" spans="14:31">
      <c r="N167" s="57" t="s">
        <v>440</v>
      </c>
      <c r="O167" s="57" t="s">
        <v>338</v>
      </c>
      <c r="P167" s="55" t="s">
        <v>132</v>
      </c>
      <c r="Q167" s="55" t="s">
        <v>114</v>
      </c>
      <c r="R167" s="55" t="s">
        <v>141</v>
      </c>
      <c r="S167" s="57" t="s">
        <v>271</v>
      </c>
      <c r="T167" s="270">
        <f t="shared" ca="1" si="40"/>
        <v>1396.71</v>
      </c>
      <c r="U167" s="380">
        <f>100+Summary!$Q$11</f>
        <v>99.4</v>
      </c>
      <c r="V167" s="38">
        <v>2</v>
      </c>
      <c r="W167" s="281">
        <f t="shared" ca="1" si="41"/>
        <v>1405.1401706779536</v>
      </c>
      <c r="X167" s="111">
        <f t="shared" ca="1" si="42"/>
        <v>921349.09971413936</v>
      </c>
      <c r="Y167" s="96">
        <f t="shared" ca="1" si="43"/>
        <v>18184.68</v>
      </c>
      <c r="Z167" s="96">
        <f t="shared" ca="1" si="44"/>
        <v>993639.81</v>
      </c>
      <c r="AA167" s="93">
        <f t="shared" si="45"/>
        <v>12</v>
      </c>
      <c r="AB167" s="257"/>
    </row>
    <row r="168" spans="14:31">
      <c r="N168" s="57" t="s">
        <v>440</v>
      </c>
      <c r="O168" s="57" t="s">
        <v>338</v>
      </c>
      <c r="P168" s="55" t="s">
        <v>132</v>
      </c>
      <c r="Q168" s="55" t="s">
        <v>114</v>
      </c>
      <c r="R168" s="55" t="s">
        <v>140</v>
      </c>
      <c r="S168" s="55" t="s">
        <v>217</v>
      </c>
      <c r="T168" s="270">
        <f t="shared" ca="1" si="40"/>
        <v>0.63</v>
      </c>
      <c r="U168" s="510">
        <f>100</f>
        <v>100</v>
      </c>
      <c r="V168" s="38">
        <v>2</v>
      </c>
      <c r="W168" s="281">
        <f t="shared" ca="1" si="41"/>
        <v>0.63007595772374825</v>
      </c>
      <c r="X168" s="111">
        <f t="shared" ca="1" si="42"/>
        <v>1227741.8786664288</v>
      </c>
      <c r="Y168" s="96">
        <f t="shared" ca="1" si="43"/>
        <v>58309.453770491804</v>
      </c>
      <c r="Z168" s="96">
        <f t="shared" ca="1" si="44"/>
        <v>1227593.8703551914</v>
      </c>
      <c r="AA168" s="93">
        <f t="shared" si="45"/>
        <v>92554.688524590165</v>
      </c>
      <c r="AB168" s="257"/>
    </row>
    <row r="169" spans="14:31">
      <c r="N169" s="57" t="s">
        <v>440</v>
      </c>
      <c r="O169" s="57" t="s">
        <v>338</v>
      </c>
      <c r="P169" s="55" t="s">
        <v>132</v>
      </c>
      <c r="Q169" s="55" t="s">
        <v>114</v>
      </c>
      <c r="R169" s="55" t="s">
        <v>141</v>
      </c>
      <c r="S169" s="55" t="s">
        <v>217</v>
      </c>
      <c r="T169" s="270">
        <f t="shared" ca="1" si="40"/>
        <v>0.51</v>
      </c>
      <c r="U169" s="510">
        <f>100</f>
        <v>100</v>
      </c>
      <c r="V169" s="38">
        <v>2</v>
      </c>
      <c r="W169" s="281">
        <f t="shared" ca="1" si="41"/>
        <v>0.51006148958589148</v>
      </c>
      <c r="X169" s="111">
        <f t="shared" ca="1" si="42"/>
        <v>1227741.8786664288</v>
      </c>
      <c r="Y169" s="96">
        <f t="shared" ca="1" si="43"/>
        <v>27747.06</v>
      </c>
      <c r="Z169" s="96">
        <f t="shared" ca="1" si="44"/>
        <v>1227593.8703551914</v>
      </c>
      <c r="AA169" s="93">
        <f t="shared" si="45"/>
        <v>54406</v>
      </c>
      <c r="AB169" s="257"/>
    </row>
    <row r="170" spans="14:31">
      <c r="N170" s="57" t="s">
        <v>440</v>
      </c>
      <c r="O170" s="57" t="s">
        <v>338</v>
      </c>
      <c r="P170" s="55" t="s">
        <v>132</v>
      </c>
      <c r="Q170" s="55" t="s">
        <v>114</v>
      </c>
      <c r="R170" s="55" t="s">
        <v>132</v>
      </c>
      <c r="S170" s="55" t="s">
        <v>139</v>
      </c>
      <c r="T170" s="270">
        <f t="shared" ca="1" si="40"/>
        <v>10.06</v>
      </c>
      <c r="U170" s="380">
        <f>100+Summary!$Q$11</f>
        <v>99.4</v>
      </c>
      <c r="V170" s="38">
        <v>2</v>
      </c>
      <c r="W170" s="281">
        <f t="shared" ca="1" si="41"/>
        <v>10.12078749216054</v>
      </c>
      <c r="X170" s="111">
        <f t="shared" ca="1" si="42"/>
        <v>8509630.3486587144</v>
      </c>
      <c r="Y170" s="96">
        <f t="shared" ca="1" si="43"/>
        <v>1175359.8072272725</v>
      </c>
      <c r="Z170" s="96">
        <f t="shared" ca="1" si="44"/>
        <v>8021300.0805606069</v>
      </c>
      <c r="AA170" s="93">
        <f t="shared" si="45"/>
        <v>123203.33409090909</v>
      </c>
      <c r="AB170" s="257"/>
    </row>
    <row r="171" spans="14:31">
      <c r="N171" s="57" t="s">
        <v>440</v>
      </c>
      <c r="O171" s="57" t="s">
        <v>338</v>
      </c>
      <c r="P171" s="55" t="s">
        <v>132</v>
      </c>
      <c r="Q171" s="55" t="s">
        <v>114</v>
      </c>
      <c r="R171" s="55" t="s">
        <v>132</v>
      </c>
      <c r="S171" s="55" t="s">
        <v>144</v>
      </c>
      <c r="T171" s="270">
        <f t="shared" ca="1" si="40"/>
        <v>6.1499999999999999E-2</v>
      </c>
      <c r="U171" s="380">
        <f>100+Summary!$Q$11</f>
        <v>99.4</v>
      </c>
      <c r="V171" s="38">
        <v>5</v>
      </c>
      <c r="W171" s="281">
        <f t="shared" ca="1" si="41"/>
        <v>6.1835954257302359E-2</v>
      </c>
      <c r="X171" s="111">
        <f ca="1">SUMIFS(T$152:T$157,S$152:S$157,"kWh")</f>
        <v>21206646.735610113</v>
      </c>
      <c r="Y171" s="96">
        <f ca="1">SUMIFS(T$114:T$147,Q$114:Q$147,Q171,R$114:R$147,R171,S$114:S$147,"kWh*")</f>
        <v>2952624.7476183185</v>
      </c>
      <c r="Z171" s="96">
        <f ca="1">SUMIFS(T$114:T$147,S$114:S$147,"kWh*")</f>
        <v>21456973.955641501</v>
      </c>
      <c r="AA171" s="93">
        <f>SUMIFS(T$8:T$35,Q$8:Q$35,Q171,R$8:R$35,R171,S$8:S$35,"kWh*")</f>
        <v>51874014.743498094</v>
      </c>
      <c r="AB171" s="257">
        <f ca="1">(T20+T34)/(T19+T20+T33+T34)*(T105-T106)</f>
        <v>5.580851516540827E-3</v>
      </c>
      <c r="AD171" s="257"/>
    </row>
    <row r="172" spans="14:31">
      <c r="N172" s="57" t="s">
        <v>440</v>
      </c>
      <c r="O172" s="57" t="s">
        <v>338</v>
      </c>
      <c r="P172" s="55" t="s">
        <v>132</v>
      </c>
      <c r="Q172" s="55" t="s">
        <v>114</v>
      </c>
      <c r="R172" s="55" t="s">
        <v>132</v>
      </c>
      <c r="S172" s="55" t="s">
        <v>145</v>
      </c>
      <c r="T172" s="270">
        <f t="shared" ca="1" si="40"/>
        <v>5.2170000000000001E-2</v>
      </c>
      <c r="U172" s="380">
        <f>100+Summary!$Q$11</f>
        <v>99.4</v>
      </c>
      <c r="V172" s="38">
        <v>5</v>
      </c>
      <c r="W172" s="281">
        <f t="shared" ca="1" si="41"/>
        <v>5.2505954257302354E-2</v>
      </c>
      <c r="X172" s="111">
        <f ca="1">SUMIFS(T$152:T$157,S$152:S$157,"kWh")</f>
        <v>21206646.735610113</v>
      </c>
      <c r="Y172" s="96">
        <f ca="1">SUMIFS(T$114:T$147,Q$114:Q$147,Q172,R$114:R$147,R172,S$114:S$147,"kWh*")</f>
        <v>2952624.7476183185</v>
      </c>
      <c r="Z172" s="96">
        <f ca="1">SUMIFS(T$114:T$147,S$114:S$147,"kWh*")</f>
        <v>21456973.955641501</v>
      </c>
      <c r="AA172" s="93">
        <f>SUMIFS(T$8:T$35,Q$8:Q$35,Q172,R$8:R$35,R172,S$8:S$35,"kWh*")</f>
        <v>51874014.743498094</v>
      </c>
      <c r="AB172" s="257">
        <f ca="1">(T19+T33)/(T19+T20+T33+T34)*(T106-T105)</f>
        <v>-3.7491484834591728E-3</v>
      </c>
      <c r="AC172" s="257">
        <f ca="1">X172*Y172/Z172/AA172*U172/100</f>
        <v>5.5917572124316965E-2</v>
      </c>
      <c r="AD172" s="257"/>
    </row>
    <row r="173" spans="14:31">
      <c r="N173" s="57" t="s">
        <v>440</v>
      </c>
      <c r="O173" s="57" t="s">
        <v>338</v>
      </c>
      <c r="P173" s="55" t="s">
        <v>132</v>
      </c>
      <c r="Q173" s="55" t="s">
        <v>114</v>
      </c>
      <c r="R173" s="55" t="s">
        <v>132</v>
      </c>
      <c r="S173" s="55" t="s">
        <v>138</v>
      </c>
      <c r="T173" s="270">
        <f t="shared" si="40"/>
        <v>0.56000000000000005</v>
      </c>
      <c r="U173" s="509">
        <f>100+Summary!$Q$11</f>
        <v>99.4</v>
      </c>
      <c r="V173" s="463">
        <v>2</v>
      </c>
      <c r="W173" s="464">
        <f t="shared" si="41"/>
        <v>0.56000000000000005</v>
      </c>
      <c r="X173" s="114">
        <f t="shared" si="42"/>
        <v>85500.939999999988</v>
      </c>
      <c r="Y173" s="298">
        <f t="shared" si="43"/>
        <v>5516.64</v>
      </c>
      <c r="Z173" s="298">
        <f t="shared" si="44"/>
        <v>85500.939999999988</v>
      </c>
      <c r="AA173" s="298">
        <f t="shared" si="45"/>
        <v>9851.1428571428569</v>
      </c>
      <c r="AB173" s="346"/>
      <c r="AC173" s="346"/>
      <c r="AD173" s="346"/>
      <c r="AE173" s="346"/>
    </row>
    <row r="174" spans="14:31">
      <c r="N174" s="57" t="s">
        <v>440</v>
      </c>
      <c r="O174" s="57" t="s">
        <v>338</v>
      </c>
      <c r="P174" s="55" t="s">
        <v>132</v>
      </c>
      <c r="Q174" s="57" t="s">
        <v>443</v>
      </c>
      <c r="R174" s="57" t="s">
        <v>132</v>
      </c>
      <c r="S174" s="57" t="s">
        <v>271</v>
      </c>
      <c r="T174" s="270">
        <f t="shared" ca="1" si="40"/>
        <v>3806.83</v>
      </c>
      <c r="U174" s="559">
        <v>100</v>
      </c>
      <c r="V174" s="38">
        <v>2</v>
      </c>
      <c r="W174" s="281">
        <f t="shared" ca="1" si="41"/>
        <v>3806.83</v>
      </c>
      <c r="X174" s="111">
        <f ca="1">'Sch.48T-DF'!O57*AA174</f>
        <v>3035312.4533333331</v>
      </c>
      <c r="Y174" s="93">
        <v>1</v>
      </c>
      <c r="Z174" s="93">
        <v>1</v>
      </c>
      <c r="AA174" s="93">
        <f>SUMIFS(T$8:T$35,S$8:S$35,S174)</f>
        <v>797.33333333333326</v>
      </c>
      <c r="AB174" s="257"/>
      <c r="AC174" s="93"/>
    </row>
    <row r="175" spans="14:31">
      <c r="N175" s="57" t="s">
        <v>440</v>
      </c>
      <c r="O175" s="57" t="s">
        <v>338</v>
      </c>
      <c r="P175" s="55" t="s">
        <v>132</v>
      </c>
      <c r="Q175" s="57" t="s">
        <v>443</v>
      </c>
      <c r="R175" s="57" t="s">
        <v>132</v>
      </c>
      <c r="S175" s="55" t="s">
        <v>217</v>
      </c>
      <c r="T175" s="270">
        <f t="shared" ca="1" si="40"/>
        <v>0.87</v>
      </c>
      <c r="U175" s="510">
        <f>100</f>
        <v>100</v>
      </c>
      <c r="V175" s="38">
        <v>2</v>
      </c>
      <c r="W175" s="281">
        <f t="shared" ca="1" si="41"/>
        <v>0.87371638934460172</v>
      </c>
      <c r="X175" s="111">
        <f ca="1">X153</f>
        <v>935865.30902308819</v>
      </c>
      <c r="Y175" s="93">
        <v>1</v>
      </c>
      <c r="Z175" s="93">
        <v>1</v>
      </c>
      <c r="AA175" s="93">
        <f>SUMIFS(T$8:T$35,S$8:S$35,S175)</f>
        <v>1071131.6857923497</v>
      </c>
      <c r="AB175" s="257"/>
      <c r="AC175" s="93"/>
      <c r="AD175" s="478"/>
    </row>
    <row r="176" spans="14:31">
      <c r="N176" s="57" t="s">
        <v>440</v>
      </c>
      <c r="O176" s="57" t="s">
        <v>338</v>
      </c>
      <c r="P176" s="55" t="s">
        <v>132</v>
      </c>
      <c r="Q176" s="57" t="s">
        <v>443</v>
      </c>
      <c r="R176" s="55" t="s">
        <v>132</v>
      </c>
      <c r="S176" s="55" t="s">
        <v>139</v>
      </c>
      <c r="T176" s="270">
        <f t="shared" ca="1" si="40"/>
        <v>8.6</v>
      </c>
      <c r="U176" s="380">
        <f>100+Summary!$Q$11</f>
        <v>99.4</v>
      </c>
      <c r="V176" s="38">
        <v>2</v>
      </c>
      <c r="W176" s="281">
        <f t="shared" ca="1" si="41"/>
        <v>8.6476719416950427</v>
      </c>
      <c r="X176" s="111">
        <f ca="1">X154</f>
        <v>7323502.9472888848</v>
      </c>
      <c r="Y176" s="93">
        <v>1</v>
      </c>
      <c r="Z176" s="93">
        <v>1</v>
      </c>
      <c r="AA176" s="93">
        <f>SUMIFS(T$8:T$35,S$8:S$35,S176)</f>
        <v>846875.66742424248</v>
      </c>
      <c r="AB176" s="257"/>
      <c r="AC176" s="93"/>
      <c r="AD176" s="478"/>
    </row>
    <row r="177" spans="14:30">
      <c r="N177" s="57" t="s">
        <v>440</v>
      </c>
      <c r="O177" s="57" t="s">
        <v>338</v>
      </c>
      <c r="P177" s="55" t="s">
        <v>132</v>
      </c>
      <c r="Q177" s="57" t="s">
        <v>443</v>
      </c>
      <c r="R177" s="55" t="s">
        <v>132</v>
      </c>
      <c r="S177" s="55" t="s">
        <v>144</v>
      </c>
      <c r="T177" s="270">
        <f t="shared" ca="1" si="40"/>
        <v>5.552E-2</v>
      </c>
      <c r="U177" s="380">
        <f>100+Summary!$Q$11</f>
        <v>99.4</v>
      </c>
      <c r="V177" s="38">
        <v>5</v>
      </c>
      <c r="W177" s="281">
        <f t="shared" ca="1" si="41"/>
        <v>5.581621659325188E-2</v>
      </c>
      <c r="X177" s="111">
        <f ca="1">X155</f>
        <v>18763334.805010162</v>
      </c>
      <c r="Y177" s="93">
        <v>1</v>
      </c>
      <c r="Z177" s="93">
        <v>1</v>
      </c>
      <c r="AA177" s="93">
        <f>SUMIFS(T$8:T$35,S$8:S$35,"kWh*")</f>
        <v>374086296.54652482</v>
      </c>
      <c r="AB177" s="257">
        <f>(T$12+T$20+T$28+T$34)/(T$11+T$12+T$19+T$20+T$27+T$28+T$33+T$34)*(T$41-T$42)</f>
        <v>5.6584455702853118E-3</v>
      </c>
      <c r="AC177" s="93"/>
      <c r="AD177" s="478"/>
    </row>
    <row r="178" spans="14:30">
      <c r="N178" s="57" t="s">
        <v>440</v>
      </c>
      <c r="O178" s="57" t="s">
        <v>338</v>
      </c>
      <c r="P178" s="55" t="s">
        <v>132</v>
      </c>
      <c r="Q178" s="57" t="s">
        <v>443</v>
      </c>
      <c r="R178" s="55" t="s">
        <v>132</v>
      </c>
      <c r="S178" s="55" t="s">
        <v>145</v>
      </c>
      <c r="T178" s="270">
        <f t="shared" ca="1" si="40"/>
        <v>4.6190000000000002E-2</v>
      </c>
      <c r="U178" s="380">
        <f>100+Summary!$Q$11</f>
        <v>99.4</v>
      </c>
      <c r="V178" s="38">
        <v>5</v>
      </c>
      <c r="W178" s="281">
        <f t="shared" ca="1" si="41"/>
        <v>4.6486216593251882E-2</v>
      </c>
      <c r="X178" s="111">
        <f ca="1">X155</f>
        <v>18763334.805010162</v>
      </c>
      <c r="Y178" s="93">
        <v>1</v>
      </c>
      <c r="Z178" s="93">
        <v>1</v>
      </c>
      <c r="AA178" s="93">
        <f>SUMIFS(T$8:T$35,S$8:S$35,"kWh*")</f>
        <v>374086296.54652482</v>
      </c>
      <c r="AB178" s="257">
        <f>(T$11+T$19+T$27+T$33)/(T$11+T$12+T$19+T$20+T$27+T$28+T$33+T$34)*(T$42-T$41)</f>
        <v>-3.6715544297146858E-3</v>
      </c>
      <c r="AC178" s="257">
        <f ca="1">ROUND(U178/100*X178/AA178,5)</f>
        <v>4.9860000000000002E-2</v>
      </c>
    </row>
    <row r="179" spans="14:30">
      <c r="N179" s="103" t="s">
        <v>440</v>
      </c>
      <c r="O179" s="103" t="s">
        <v>338</v>
      </c>
      <c r="P179" s="105" t="s">
        <v>132</v>
      </c>
      <c r="Q179" s="103" t="s">
        <v>443</v>
      </c>
      <c r="R179" s="105" t="s">
        <v>132</v>
      </c>
      <c r="S179" s="105" t="s">
        <v>138</v>
      </c>
      <c r="T179" s="271">
        <f t="shared" si="40"/>
        <v>0.56999999999999995</v>
      </c>
      <c r="U179" s="380">
        <f>100+Summary!$Q$11</f>
        <v>99.4</v>
      </c>
      <c r="V179" s="38">
        <v>2</v>
      </c>
      <c r="W179" s="281">
        <f t="shared" si="41"/>
        <v>0.56934402016194485</v>
      </c>
      <c r="X179" s="111">
        <f>X156</f>
        <v>85500.939999999988</v>
      </c>
      <c r="Y179" s="93">
        <v>1</v>
      </c>
      <c r="Z179" s="93">
        <v>1</v>
      </c>
      <c r="AA179" s="93">
        <f>SUMIFS(T$8:T$35,S$8:S$35,S179)</f>
        <v>150174.47619047618</v>
      </c>
      <c r="AB179" s="257"/>
      <c r="AC179" s="93"/>
    </row>
    <row r="180" spans="14:30">
      <c r="N180" s="98" t="s">
        <v>440</v>
      </c>
      <c r="O180" s="98" t="s">
        <v>19</v>
      </c>
      <c r="P180" s="97" t="s">
        <v>3</v>
      </c>
      <c r="Q180" s="97" t="s">
        <v>113</v>
      </c>
      <c r="R180" s="97" t="s">
        <v>140</v>
      </c>
      <c r="S180" s="98" t="s">
        <v>271</v>
      </c>
      <c r="T180" s="167">
        <f t="shared" ref="T180:T213" ca="1" si="46">IF(S180="Unbilled",SUMIFS(T$114:T$147,P$114:P$147,P180,S$114:S$147,S180),SUMIFS(T$158:T$173,Q$158:Q$173,Q180,R$158:R$173,R180,S$158:S$173,S180)*V180)</f>
        <v>400852.87333333329</v>
      </c>
      <c r="U180" s="38">
        <f t="shared" ref="U180:U213" ca="1" si="47">IF(S180="Unbilled",SUMIFS(T$114:T$147,P$114:P$147,P180,S$114:S$147,S180),SUMIFS(W$158:W$173,Q$158:Q$173,Q180,R$158:R$173,R180,S$158:S$173,S180)*V180)</f>
        <v>403272.98504788778</v>
      </c>
      <c r="V180" s="93">
        <f t="shared" ref="V180:V213" si="48">SUMIFS(T$8:T$35,P$8:P$35,P180,Q$8:Q$35,Q180,R$8:R$35,R180,S$8:S$35,S180)</f>
        <v>353.66666666666663</v>
      </c>
      <c r="W180" s="38">
        <f t="shared" ref="W180:W213" ca="1" si="49">IF(S180="Unbilled",SUMIFS(T$114:T$147,P$114:P$147,P180,S$114:S$147,S180),SUMIFS(W$174:W$179,S$174:S$179,S180)*V180)</f>
        <v>1346348.8766666665</v>
      </c>
      <c r="Y180" s="93"/>
      <c r="Z180" s="93"/>
    </row>
    <row r="181" spans="14:30">
      <c r="N181" s="57" t="s">
        <v>440</v>
      </c>
      <c r="O181" s="57" t="s">
        <v>19</v>
      </c>
      <c r="P181" s="55" t="s">
        <v>3</v>
      </c>
      <c r="Q181" s="55" t="s">
        <v>113</v>
      </c>
      <c r="R181" s="55" t="s">
        <v>141</v>
      </c>
      <c r="S181" s="57" t="s">
        <v>271</v>
      </c>
      <c r="T181" s="164">
        <f t="shared" ca="1" si="46"/>
        <v>0</v>
      </c>
      <c r="U181" s="38">
        <f t="shared" ca="1" si="47"/>
        <v>0</v>
      </c>
      <c r="V181" s="93">
        <f t="shared" si="48"/>
        <v>0</v>
      </c>
      <c r="W181" s="38">
        <f t="shared" ca="1" si="49"/>
        <v>0</v>
      </c>
      <c r="Y181" s="93"/>
      <c r="Z181" s="93"/>
    </row>
    <row r="182" spans="14:30">
      <c r="N182" s="57" t="s">
        <v>440</v>
      </c>
      <c r="O182" s="57" t="s">
        <v>19</v>
      </c>
      <c r="P182" s="55" t="s">
        <v>3</v>
      </c>
      <c r="Q182" s="55" t="s">
        <v>113</v>
      </c>
      <c r="R182" s="55" t="s">
        <v>140</v>
      </c>
      <c r="S182" s="55" t="s">
        <v>217</v>
      </c>
      <c r="T182" s="164">
        <f t="shared" ca="1" si="46"/>
        <v>517468.74658469949</v>
      </c>
      <c r="U182" s="38">
        <f t="shared" ca="1" si="47"/>
        <v>517531.13666105102</v>
      </c>
      <c r="V182" s="93">
        <f t="shared" si="48"/>
        <v>413974.99726775958</v>
      </c>
      <c r="W182" s="38">
        <f t="shared" ca="1" si="49"/>
        <v>361696.73989172827</v>
      </c>
      <c r="Y182" s="93"/>
      <c r="Z182" s="93"/>
    </row>
    <row r="183" spans="14:30">
      <c r="N183" s="57" t="s">
        <v>440</v>
      </c>
      <c r="O183" s="57" t="s">
        <v>19</v>
      </c>
      <c r="P183" s="55" t="s">
        <v>3</v>
      </c>
      <c r="Q183" s="55" t="s">
        <v>113</v>
      </c>
      <c r="R183" s="55" t="s">
        <v>141</v>
      </c>
      <c r="S183" s="55" t="s">
        <v>217</v>
      </c>
      <c r="T183" s="164">
        <f t="shared" ca="1" si="46"/>
        <v>0</v>
      </c>
      <c r="U183" s="38">
        <f t="shared" ca="1" si="47"/>
        <v>0</v>
      </c>
      <c r="V183" s="93">
        <f t="shared" si="48"/>
        <v>0</v>
      </c>
      <c r="W183" s="38">
        <f t="shared" ca="1" si="49"/>
        <v>0</v>
      </c>
      <c r="Y183" s="257"/>
      <c r="Z183" s="93"/>
    </row>
    <row r="184" spans="14:30">
      <c r="N184" s="57" t="s">
        <v>440</v>
      </c>
      <c r="O184" s="57" t="s">
        <v>19</v>
      </c>
      <c r="P184" s="55" t="s">
        <v>3</v>
      </c>
      <c r="Q184" s="55" t="s">
        <v>113</v>
      </c>
      <c r="R184" s="55" t="s">
        <v>132</v>
      </c>
      <c r="S184" s="55" t="s">
        <v>139</v>
      </c>
      <c r="T184" s="164">
        <f t="shared" ca="1" si="46"/>
        <v>2912955.7466666671</v>
      </c>
      <c r="U184" s="38">
        <f t="shared" ca="1" si="47"/>
        <v>2929276.8091143286</v>
      </c>
      <c r="V184" s="93">
        <f t="shared" si="48"/>
        <v>291879.33333333337</v>
      </c>
      <c r="W184" s="38">
        <f t="shared" ca="1" si="49"/>
        <v>2524076.7212273218</v>
      </c>
      <c r="Y184" s="257"/>
      <c r="Z184" s="93"/>
    </row>
    <row r="185" spans="14:30">
      <c r="N185" s="57" t="s">
        <v>440</v>
      </c>
      <c r="O185" s="57" t="s">
        <v>19</v>
      </c>
      <c r="P185" s="55" t="s">
        <v>3</v>
      </c>
      <c r="Q185" s="55" t="s">
        <v>113</v>
      </c>
      <c r="R185" s="55" t="s">
        <v>132</v>
      </c>
      <c r="S185" s="55" t="s">
        <v>144</v>
      </c>
      <c r="T185" s="164">
        <f t="shared" ca="1" si="46"/>
        <v>3051931.4906419646</v>
      </c>
      <c r="U185" s="38">
        <f t="shared" ca="1" si="47"/>
        <v>3068643.8931002752</v>
      </c>
      <c r="V185" s="93">
        <f t="shared" si="48"/>
        <v>49153349.825124249</v>
      </c>
      <c r="W185" s="38">
        <f t="shared" ca="1" si="49"/>
        <v>2743554.0201230147</v>
      </c>
      <c r="Y185" s="257"/>
      <c r="Z185" s="93"/>
    </row>
    <row r="186" spans="14:30">
      <c r="N186" s="57" t="s">
        <v>440</v>
      </c>
      <c r="O186" s="57" t="s">
        <v>19</v>
      </c>
      <c r="P186" s="55" t="s">
        <v>3</v>
      </c>
      <c r="Q186" s="55" t="s">
        <v>113</v>
      </c>
      <c r="R186" s="55" t="s">
        <v>132</v>
      </c>
      <c r="S186" s="55" t="s">
        <v>145</v>
      </c>
      <c r="T186" s="164">
        <f t="shared" ca="1" si="46"/>
        <v>3918465.6159587954</v>
      </c>
      <c r="U186" s="38">
        <f t="shared" ca="1" si="47"/>
        <v>3943717.6879233718</v>
      </c>
      <c r="V186" s="93">
        <f t="shared" si="48"/>
        <v>74269628.808923334</v>
      </c>
      <c r="W186" s="38">
        <f t="shared" ca="1" si="49"/>
        <v>3452514.0511120297</v>
      </c>
      <c r="Y186" s="257"/>
      <c r="Z186" s="93"/>
    </row>
    <row r="187" spans="14:30">
      <c r="N187" s="57" t="s">
        <v>440</v>
      </c>
      <c r="O187" s="57" t="s">
        <v>19</v>
      </c>
      <c r="P187" s="55" t="s">
        <v>3</v>
      </c>
      <c r="Q187" s="55" t="s">
        <v>113</v>
      </c>
      <c r="R187" s="55" t="s">
        <v>132</v>
      </c>
      <c r="S187" s="55" t="s">
        <v>138</v>
      </c>
      <c r="T187" s="164">
        <f t="shared" si="46"/>
        <v>17939.23</v>
      </c>
      <c r="U187" s="38">
        <f t="shared" si="47"/>
        <v>17939.229999999996</v>
      </c>
      <c r="V187" s="93">
        <f t="shared" si="48"/>
        <v>31472.333333333332</v>
      </c>
      <c r="W187" s="38">
        <f t="shared" si="49"/>
        <v>17918.58478387678</v>
      </c>
      <c r="Y187" s="257"/>
      <c r="Z187" s="93"/>
    </row>
    <row r="188" spans="14:30">
      <c r="N188" s="57" t="s">
        <v>440</v>
      </c>
      <c r="O188" s="57" t="s">
        <v>19</v>
      </c>
      <c r="P188" s="55" t="s">
        <v>3</v>
      </c>
      <c r="Q188" s="55" t="s">
        <v>114</v>
      </c>
      <c r="R188" s="55" t="s">
        <v>140</v>
      </c>
      <c r="S188" s="57" t="s">
        <v>271</v>
      </c>
      <c r="T188" s="164">
        <f t="shared" ca="1" si="46"/>
        <v>97069.23000000001</v>
      </c>
      <c r="U188" s="38">
        <f t="shared" ca="1" si="47"/>
        <v>97654.909837009225</v>
      </c>
      <c r="V188" s="93">
        <f t="shared" si="48"/>
        <v>83.666666666666671</v>
      </c>
      <c r="W188" s="38">
        <f t="shared" ca="1" si="49"/>
        <v>318504.77666666667</v>
      </c>
      <c r="Y188" s="257"/>
      <c r="Z188" s="93"/>
    </row>
    <row r="189" spans="14:30">
      <c r="N189" s="57" t="s">
        <v>440</v>
      </c>
      <c r="O189" s="57" t="s">
        <v>19</v>
      </c>
      <c r="P189" s="55" t="s">
        <v>3</v>
      </c>
      <c r="Q189" s="55" t="s">
        <v>114</v>
      </c>
      <c r="R189" s="55" t="s">
        <v>141</v>
      </c>
      <c r="S189" s="57" t="s">
        <v>271</v>
      </c>
      <c r="T189" s="164">
        <f t="shared" ca="1" si="46"/>
        <v>16760.52</v>
      </c>
      <c r="U189" s="38">
        <f t="shared" ca="1" si="47"/>
        <v>16861.682048135444</v>
      </c>
      <c r="V189" s="93">
        <f t="shared" si="48"/>
        <v>12</v>
      </c>
      <c r="W189" s="38">
        <f t="shared" ca="1" si="49"/>
        <v>45681.96</v>
      </c>
      <c r="Y189" s="93"/>
      <c r="Z189" s="93"/>
    </row>
    <row r="190" spans="14:30">
      <c r="N190" s="57" t="s">
        <v>440</v>
      </c>
      <c r="O190" s="57" t="s">
        <v>19</v>
      </c>
      <c r="P190" s="55" t="s">
        <v>3</v>
      </c>
      <c r="Q190" s="55" t="s">
        <v>114</v>
      </c>
      <c r="R190" s="55" t="s">
        <v>140</v>
      </c>
      <c r="S190" s="55" t="s">
        <v>217</v>
      </c>
      <c r="T190" s="164">
        <f t="shared" ca="1" si="46"/>
        <v>57629.053770491802</v>
      </c>
      <c r="U190" s="38">
        <f t="shared" ca="1" si="47"/>
        <v>57636.001979612709</v>
      </c>
      <c r="V190" s="93">
        <f t="shared" si="48"/>
        <v>91474.688524590165</v>
      </c>
      <c r="W190" s="38">
        <f t="shared" ca="1" si="49"/>
        <v>79922.934574126994</v>
      </c>
      <c r="Y190" s="93"/>
      <c r="Z190" s="93"/>
    </row>
    <row r="191" spans="14:30">
      <c r="N191" s="57" t="s">
        <v>440</v>
      </c>
      <c r="O191" s="57" t="s">
        <v>19</v>
      </c>
      <c r="P191" s="55" t="s">
        <v>3</v>
      </c>
      <c r="Q191" s="55" t="s">
        <v>114</v>
      </c>
      <c r="R191" s="55" t="s">
        <v>141</v>
      </c>
      <c r="S191" s="55" t="s">
        <v>217</v>
      </c>
      <c r="T191" s="164">
        <f t="shared" ca="1" si="46"/>
        <v>27747.06</v>
      </c>
      <c r="U191" s="38">
        <f t="shared" ca="1" si="47"/>
        <v>27750.405402410011</v>
      </c>
      <c r="V191" s="93">
        <f t="shared" si="48"/>
        <v>54406</v>
      </c>
      <c r="W191" s="38">
        <f t="shared" ca="1" si="49"/>
        <v>47535.413878682404</v>
      </c>
      <c r="Y191" s="93"/>
      <c r="Z191" s="93"/>
    </row>
    <row r="192" spans="14:30">
      <c r="N192" s="57" t="s">
        <v>440</v>
      </c>
      <c r="O192" s="57" t="s">
        <v>19</v>
      </c>
      <c r="P192" s="55" t="s">
        <v>3</v>
      </c>
      <c r="Q192" s="55" t="s">
        <v>114</v>
      </c>
      <c r="R192" s="55" t="s">
        <v>132</v>
      </c>
      <c r="S192" s="55" t="s">
        <v>139</v>
      </c>
      <c r="T192" s="164">
        <f t="shared" ca="1" si="46"/>
        <v>1179065.5409545456</v>
      </c>
      <c r="U192" s="38">
        <f t="shared" ca="1" si="47"/>
        <v>1186190.0377067858</v>
      </c>
      <c r="V192" s="93">
        <f t="shared" si="48"/>
        <v>117203.33409090909</v>
      </c>
      <c r="W192" s="38">
        <f t="shared" ca="1" si="49"/>
        <v>1013535.9836910646</v>
      </c>
      <c r="Y192" s="93"/>
      <c r="Z192" s="93"/>
    </row>
    <row r="193" spans="14:26">
      <c r="N193" s="57" t="s">
        <v>440</v>
      </c>
      <c r="O193" s="57" t="s">
        <v>19</v>
      </c>
      <c r="P193" s="55" t="s">
        <v>3</v>
      </c>
      <c r="Q193" s="55" t="s">
        <v>114</v>
      </c>
      <c r="R193" s="55" t="s">
        <v>132</v>
      </c>
      <c r="S193" s="55" t="s">
        <v>144</v>
      </c>
      <c r="T193" s="164">
        <f t="shared" ca="1" si="46"/>
        <v>1271669.319035982</v>
      </c>
      <c r="U193" s="38">
        <f t="shared" ca="1" si="47"/>
        <v>1278616.0299564851</v>
      </c>
      <c r="V193" s="93">
        <f t="shared" si="48"/>
        <v>20677549.9030241</v>
      </c>
      <c r="W193" s="38">
        <f t="shared" ca="1" si="49"/>
        <v>1154142.6040049675</v>
      </c>
      <c r="Y193" s="93"/>
      <c r="Z193" s="93"/>
    </row>
    <row r="194" spans="14:26">
      <c r="N194" s="57" t="s">
        <v>440</v>
      </c>
      <c r="O194" s="57" t="s">
        <v>19</v>
      </c>
      <c r="P194" s="55" t="s">
        <v>3</v>
      </c>
      <c r="Q194" s="55" t="s">
        <v>114</v>
      </c>
      <c r="R194" s="55" t="s">
        <v>132</v>
      </c>
      <c r="S194" s="55" t="s">
        <v>145</v>
      </c>
      <c r="T194" s="164">
        <f t="shared" ca="1" si="46"/>
        <v>1604888.235131674</v>
      </c>
      <c r="U194" s="38">
        <f t="shared" ca="1" si="47"/>
        <v>1615223.0834177954</v>
      </c>
      <c r="V194" s="93">
        <f t="shared" si="48"/>
        <v>30762665.039901745</v>
      </c>
      <c r="W194" s="38">
        <f t="shared" ca="1" si="49"/>
        <v>1430039.9100305301</v>
      </c>
      <c r="Y194" s="93"/>
      <c r="Z194" s="93"/>
    </row>
    <row r="195" spans="14:26">
      <c r="N195" s="57" t="s">
        <v>440</v>
      </c>
      <c r="O195" s="57" t="s">
        <v>19</v>
      </c>
      <c r="P195" s="55" t="s">
        <v>3</v>
      </c>
      <c r="Q195" s="55" t="s">
        <v>114</v>
      </c>
      <c r="R195" s="55" t="s">
        <v>132</v>
      </c>
      <c r="S195" s="55" t="s">
        <v>138</v>
      </c>
      <c r="T195" s="164">
        <f t="shared" si="46"/>
        <v>5180.08</v>
      </c>
      <c r="U195" s="38">
        <f t="shared" si="47"/>
        <v>5180.08</v>
      </c>
      <c r="V195" s="93">
        <f t="shared" si="48"/>
        <v>9250.1428571428569</v>
      </c>
      <c r="W195" s="38">
        <f t="shared" si="49"/>
        <v>5266.5135213580124</v>
      </c>
      <c r="Y195" s="93"/>
      <c r="Z195" s="93"/>
    </row>
    <row r="196" spans="14:26">
      <c r="N196" s="103" t="s">
        <v>440</v>
      </c>
      <c r="O196" s="103" t="s">
        <v>19</v>
      </c>
      <c r="P196" s="105" t="s">
        <v>3</v>
      </c>
      <c r="Q196" s="105" t="s">
        <v>132</v>
      </c>
      <c r="R196" s="105" t="s">
        <v>132</v>
      </c>
      <c r="S196" s="163" t="s">
        <v>105</v>
      </c>
      <c r="T196" s="165">
        <f t="shared" si="46"/>
        <v>211823.16276683079</v>
      </c>
      <c r="U196" s="38">
        <f t="shared" si="47"/>
        <v>211823.16276683079</v>
      </c>
      <c r="V196" s="93">
        <f t="shared" si="48"/>
        <v>0</v>
      </c>
      <c r="W196" s="38">
        <f t="shared" si="49"/>
        <v>211823.16276683079</v>
      </c>
      <c r="Y196" s="93"/>
      <c r="Z196" s="93"/>
    </row>
    <row r="197" spans="14:26">
      <c r="N197" s="98" t="s">
        <v>440</v>
      </c>
      <c r="O197" s="98" t="s">
        <v>19</v>
      </c>
      <c r="P197" s="99" t="s">
        <v>5</v>
      </c>
      <c r="Q197" s="97" t="s">
        <v>113</v>
      </c>
      <c r="R197" s="97" t="s">
        <v>140</v>
      </c>
      <c r="S197" s="98" t="s">
        <v>271</v>
      </c>
      <c r="T197" s="167">
        <f t="shared" ca="1" si="46"/>
        <v>350226.78</v>
      </c>
      <c r="U197" s="38">
        <f t="shared" ca="1" si="47"/>
        <v>352341.24141318753</v>
      </c>
      <c r="V197" s="93">
        <f t="shared" si="48"/>
        <v>309</v>
      </c>
      <c r="W197" s="38">
        <f t="shared" ca="1" si="49"/>
        <v>1176310.47</v>
      </c>
      <c r="Y197" s="93"/>
      <c r="Z197" s="93"/>
    </row>
    <row r="198" spans="14:26">
      <c r="N198" s="57" t="s">
        <v>440</v>
      </c>
      <c r="O198" s="57" t="s">
        <v>19</v>
      </c>
      <c r="P198" s="101" t="s">
        <v>5</v>
      </c>
      <c r="Q198" s="55" t="s">
        <v>113</v>
      </c>
      <c r="R198" s="55" t="s">
        <v>141</v>
      </c>
      <c r="S198" s="57" t="s">
        <v>271</v>
      </c>
      <c r="T198" s="164">
        <f t="shared" ca="1" si="46"/>
        <v>36988.65</v>
      </c>
      <c r="U198" s="38">
        <f t="shared" ca="1" si="47"/>
        <v>37211.999478945909</v>
      </c>
      <c r="V198" s="93">
        <f t="shared" si="48"/>
        <v>27</v>
      </c>
      <c r="W198" s="38">
        <f t="shared" ca="1" si="49"/>
        <v>102784.41</v>
      </c>
      <c r="Y198" s="93"/>
      <c r="Z198" s="93"/>
    </row>
    <row r="199" spans="14:26">
      <c r="N199" s="57" t="s">
        <v>440</v>
      </c>
      <c r="O199" s="57" t="s">
        <v>19</v>
      </c>
      <c r="P199" s="101" t="s">
        <v>5</v>
      </c>
      <c r="Q199" s="55" t="s">
        <v>113</v>
      </c>
      <c r="R199" s="55" t="s">
        <v>140</v>
      </c>
      <c r="S199" s="55" t="s">
        <v>217</v>
      </c>
      <c r="T199" s="164">
        <f t="shared" ca="1" si="46"/>
        <v>506241.25</v>
      </c>
      <c r="U199" s="38">
        <f t="shared" ca="1" si="47"/>
        <v>506302.28640161507</v>
      </c>
      <c r="V199" s="93">
        <f t="shared" si="48"/>
        <v>404993</v>
      </c>
      <c r="W199" s="38">
        <f t="shared" ca="1" si="49"/>
        <v>353849.02166983829</v>
      </c>
      <c r="Y199" s="93"/>
      <c r="Z199" s="93"/>
    </row>
    <row r="200" spans="14:26">
      <c r="N200" s="57" t="s">
        <v>440</v>
      </c>
      <c r="O200" s="57" t="s">
        <v>19</v>
      </c>
      <c r="P200" s="101" t="s">
        <v>5</v>
      </c>
      <c r="Q200" s="55" t="s">
        <v>113</v>
      </c>
      <c r="R200" s="55" t="s">
        <v>141</v>
      </c>
      <c r="S200" s="55" t="s">
        <v>217</v>
      </c>
      <c r="T200" s="164">
        <f t="shared" ca="1" si="46"/>
        <v>117827.36000000002</v>
      </c>
      <c r="U200" s="38">
        <f t="shared" ca="1" si="47"/>
        <v>117841.56618739825</v>
      </c>
      <c r="V200" s="93">
        <f t="shared" si="48"/>
        <v>105203</v>
      </c>
      <c r="W200" s="38">
        <f t="shared" ca="1" si="49"/>
        <v>91917.585308220136</v>
      </c>
      <c r="Y200" s="93"/>
      <c r="Z200" s="93"/>
    </row>
    <row r="201" spans="14:26">
      <c r="N201" s="57" t="s">
        <v>440</v>
      </c>
      <c r="O201" s="57" t="s">
        <v>19</v>
      </c>
      <c r="P201" s="101" t="s">
        <v>5</v>
      </c>
      <c r="Q201" s="55" t="s">
        <v>113</v>
      </c>
      <c r="R201" s="55" t="s">
        <v>132</v>
      </c>
      <c r="S201" s="55" t="s">
        <v>139</v>
      </c>
      <c r="T201" s="164">
        <f t="shared" ca="1" si="46"/>
        <v>4309294.1400000006</v>
      </c>
      <c r="U201" s="38">
        <f t="shared" ca="1" si="47"/>
        <v>4333438.7768846368</v>
      </c>
      <c r="V201" s="93">
        <f t="shared" si="48"/>
        <v>431793</v>
      </c>
      <c r="W201" s="38">
        <f t="shared" ca="1" si="49"/>
        <v>3734004.2107203277</v>
      </c>
      <c r="Y201" s="93"/>
      <c r="Z201" s="93"/>
    </row>
    <row r="202" spans="14:26">
      <c r="N202" s="57" t="s">
        <v>440</v>
      </c>
      <c r="O202" s="57" t="s">
        <v>19</v>
      </c>
      <c r="P202" s="101" t="s">
        <v>5</v>
      </c>
      <c r="Q202" s="55" t="s">
        <v>113</v>
      </c>
      <c r="R202" s="55" t="s">
        <v>132</v>
      </c>
      <c r="S202" s="55" t="s">
        <v>144</v>
      </c>
      <c r="T202" s="164">
        <f t="shared" ca="1" si="46"/>
        <v>4794133.6854359973</v>
      </c>
      <c r="U202" s="38">
        <f t="shared" ca="1" si="47"/>
        <v>4820386.4017356988</v>
      </c>
      <c r="V202" s="93">
        <f t="shared" si="48"/>
        <v>77212653.977065504</v>
      </c>
      <c r="W202" s="38">
        <f t="shared" ca="1" si="49"/>
        <v>4309718.2181236995</v>
      </c>
      <c r="Y202" s="93"/>
      <c r="Z202" s="93"/>
    </row>
    <row r="203" spans="14:26">
      <c r="N203" s="57" t="s">
        <v>440</v>
      </c>
      <c r="O203" s="57" t="s">
        <v>19</v>
      </c>
      <c r="P203" s="101" t="s">
        <v>5</v>
      </c>
      <c r="Q203" s="55" t="s">
        <v>113</v>
      </c>
      <c r="R203" s="55" t="s">
        <v>132</v>
      </c>
      <c r="S203" s="55" t="s">
        <v>145</v>
      </c>
      <c r="T203" s="164">
        <f t="shared" ca="1" si="46"/>
        <v>6414384.0113653634</v>
      </c>
      <c r="U203" s="38">
        <f t="shared" ca="1" si="47"/>
        <v>6455720.7238795022</v>
      </c>
      <c r="V203" s="93">
        <f t="shared" si="48"/>
        <v>121576649.19191363</v>
      </c>
      <c r="W203" s="38">
        <f t="shared" ca="1" si="49"/>
        <v>5651638.4470170988</v>
      </c>
      <c r="Y203" s="93"/>
      <c r="Z203" s="93"/>
    </row>
    <row r="204" spans="14:26">
      <c r="N204" s="57" t="s">
        <v>440</v>
      </c>
      <c r="O204" s="57" t="s">
        <v>19</v>
      </c>
      <c r="P204" s="101" t="s">
        <v>5</v>
      </c>
      <c r="Q204" s="55" t="s">
        <v>113</v>
      </c>
      <c r="R204" s="55" t="s">
        <v>132</v>
      </c>
      <c r="S204" s="55" t="s">
        <v>138</v>
      </c>
      <c r="T204" s="164">
        <f t="shared" si="46"/>
        <v>62045.069999999992</v>
      </c>
      <c r="U204" s="38">
        <f t="shared" si="47"/>
        <v>62045.069999999985</v>
      </c>
      <c r="V204" s="93">
        <f t="shared" si="48"/>
        <v>108851</v>
      </c>
      <c r="W204" s="38">
        <f t="shared" si="49"/>
        <v>61973.665938647857</v>
      </c>
      <c r="Y204" s="93"/>
      <c r="Z204" s="93"/>
    </row>
    <row r="205" spans="14:26">
      <c r="N205" s="57" t="s">
        <v>440</v>
      </c>
      <c r="O205" s="57" t="s">
        <v>19</v>
      </c>
      <c r="P205" s="101" t="s">
        <v>5</v>
      </c>
      <c r="Q205" s="55" t="s">
        <v>114</v>
      </c>
      <c r="R205" s="55" t="s">
        <v>140</v>
      </c>
      <c r="S205" s="57" t="s">
        <v>271</v>
      </c>
      <c r="T205" s="164">
        <f t="shared" ca="1" si="46"/>
        <v>13922.28</v>
      </c>
      <c r="U205" s="38">
        <f t="shared" ca="1" si="47"/>
        <v>14006.281888973434</v>
      </c>
      <c r="V205" s="93">
        <f t="shared" si="48"/>
        <v>12</v>
      </c>
      <c r="W205" s="38">
        <f t="shared" ca="1" si="49"/>
        <v>45681.96</v>
      </c>
      <c r="Y205" s="93"/>
      <c r="Z205" s="93"/>
    </row>
    <row r="206" spans="14:26">
      <c r="N206" s="57" t="s">
        <v>440</v>
      </c>
      <c r="O206" s="57" t="s">
        <v>19</v>
      </c>
      <c r="P206" s="101" t="s">
        <v>5</v>
      </c>
      <c r="Q206" s="55" t="s">
        <v>114</v>
      </c>
      <c r="R206" s="55" t="s">
        <v>141</v>
      </c>
      <c r="S206" s="57" t="s">
        <v>271</v>
      </c>
      <c r="T206" s="164">
        <f t="shared" ca="1" si="46"/>
        <v>0</v>
      </c>
      <c r="U206" s="38">
        <f t="shared" ca="1" si="47"/>
        <v>0</v>
      </c>
      <c r="V206" s="93">
        <f t="shared" si="48"/>
        <v>0</v>
      </c>
      <c r="W206" s="38">
        <f t="shared" ca="1" si="49"/>
        <v>0</v>
      </c>
      <c r="Y206" s="93"/>
      <c r="Z206" s="93"/>
    </row>
    <row r="207" spans="14:26">
      <c r="N207" s="57" t="s">
        <v>440</v>
      </c>
      <c r="O207" s="57" t="s">
        <v>19</v>
      </c>
      <c r="P207" s="101" t="s">
        <v>5</v>
      </c>
      <c r="Q207" s="55" t="s">
        <v>114</v>
      </c>
      <c r="R207" s="55" t="s">
        <v>140</v>
      </c>
      <c r="S207" s="55" t="s">
        <v>217</v>
      </c>
      <c r="T207" s="164">
        <f t="shared" ca="1" si="46"/>
        <v>680.4</v>
      </c>
      <c r="U207" s="38">
        <f t="shared" ca="1" si="47"/>
        <v>680.48203434164816</v>
      </c>
      <c r="V207" s="93">
        <f t="shared" si="48"/>
        <v>1080</v>
      </c>
      <c r="W207" s="38">
        <f t="shared" ca="1" si="49"/>
        <v>943.61370049216987</v>
      </c>
      <c r="Y207" s="93"/>
      <c r="Z207" s="93"/>
    </row>
    <row r="208" spans="14:26">
      <c r="N208" s="57" t="s">
        <v>440</v>
      </c>
      <c r="O208" s="57" t="s">
        <v>19</v>
      </c>
      <c r="P208" s="101" t="s">
        <v>5</v>
      </c>
      <c r="Q208" s="55" t="s">
        <v>114</v>
      </c>
      <c r="R208" s="55" t="s">
        <v>141</v>
      </c>
      <c r="S208" s="55" t="s">
        <v>217</v>
      </c>
      <c r="T208" s="164">
        <f t="shared" ca="1" si="46"/>
        <v>0</v>
      </c>
      <c r="U208" s="38">
        <f t="shared" ca="1" si="47"/>
        <v>0</v>
      </c>
      <c r="V208" s="93">
        <f t="shared" si="48"/>
        <v>0</v>
      </c>
      <c r="W208" s="38">
        <f t="shared" ca="1" si="49"/>
        <v>0</v>
      </c>
      <c r="Y208" s="93"/>
      <c r="Z208" s="93"/>
    </row>
    <row r="209" spans="14:26">
      <c r="N209" s="57" t="s">
        <v>440</v>
      </c>
      <c r="O209" s="57" t="s">
        <v>19</v>
      </c>
      <c r="P209" s="101" t="s">
        <v>5</v>
      </c>
      <c r="Q209" s="55" t="s">
        <v>114</v>
      </c>
      <c r="R209" s="55" t="s">
        <v>132</v>
      </c>
      <c r="S209" s="55" t="s">
        <v>139</v>
      </c>
      <c r="T209" s="164">
        <f t="shared" ca="1" si="46"/>
        <v>60359.999999999993</v>
      </c>
      <c r="U209" s="38">
        <f t="shared" ca="1" si="47"/>
        <v>60724.724952963232</v>
      </c>
      <c r="V209" s="93">
        <f t="shared" si="48"/>
        <v>5999.9999999999991</v>
      </c>
      <c r="W209" s="38">
        <f t="shared" ca="1" si="49"/>
        <v>51886.031650170247</v>
      </c>
      <c r="Y209" s="93"/>
      <c r="Z209" s="93"/>
    </row>
    <row r="210" spans="14:26">
      <c r="N210" s="57" t="s">
        <v>440</v>
      </c>
      <c r="O210" s="57" t="s">
        <v>19</v>
      </c>
      <c r="P210" s="101" t="s">
        <v>5</v>
      </c>
      <c r="Q210" s="55" t="s">
        <v>114</v>
      </c>
      <c r="R210" s="55" t="s">
        <v>132</v>
      </c>
      <c r="S210" s="55" t="s">
        <v>144</v>
      </c>
      <c r="T210" s="164">
        <f t="shared" ca="1" si="46"/>
        <v>10295.107325354227</v>
      </c>
      <c r="U210" s="38">
        <f t="shared" ca="1" si="47"/>
        <v>10351.34610804264</v>
      </c>
      <c r="V210" s="93">
        <f t="shared" si="48"/>
        <v>167400.11911145085</v>
      </c>
      <c r="W210" s="38">
        <f t="shared" ca="1" si="49"/>
        <v>9343.6413060609048</v>
      </c>
      <c r="Y210" s="93"/>
      <c r="Z210" s="93"/>
    </row>
    <row r="211" spans="14:26">
      <c r="N211" s="57" t="s">
        <v>440</v>
      </c>
      <c r="O211" s="57" t="s">
        <v>19</v>
      </c>
      <c r="P211" s="101" t="s">
        <v>5</v>
      </c>
      <c r="Q211" s="55" t="s">
        <v>114</v>
      </c>
      <c r="R211" s="55" t="s">
        <v>132</v>
      </c>
      <c r="S211" s="55" t="s">
        <v>145</v>
      </c>
      <c r="T211" s="164">
        <f t="shared" ca="1" si="46"/>
        <v>13898.071381810343</v>
      </c>
      <c r="U211" s="38">
        <f t="shared" ca="1" si="47"/>
        <v>13987.569488941092</v>
      </c>
      <c r="V211" s="93">
        <f t="shared" si="48"/>
        <v>266399.6814608078</v>
      </c>
      <c r="W211" s="38">
        <f t="shared" ca="1" si="49"/>
        <v>12383.913292760419</v>
      </c>
      <c r="Y211" s="93"/>
      <c r="Z211" s="93"/>
    </row>
    <row r="212" spans="14:26">
      <c r="N212" s="57" t="s">
        <v>440</v>
      </c>
      <c r="O212" s="57" t="s">
        <v>19</v>
      </c>
      <c r="P212" s="101" t="s">
        <v>5</v>
      </c>
      <c r="Q212" s="55" t="s">
        <v>114</v>
      </c>
      <c r="R212" s="55" t="s">
        <v>132</v>
      </c>
      <c r="S212" s="55" t="s">
        <v>138</v>
      </c>
      <c r="T212" s="164">
        <f t="shared" si="46"/>
        <v>336.56000000000006</v>
      </c>
      <c r="U212" s="38">
        <f t="shared" si="47"/>
        <v>336.56000000000006</v>
      </c>
      <c r="V212" s="93">
        <f t="shared" si="48"/>
        <v>601</v>
      </c>
      <c r="W212" s="38">
        <f t="shared" si="49"/>
        <v>342.17575611732883</v>
      </c>
      <c r="Y212" s="93"/>
      <c r="Z212" s="93"/>
    </row>
    <row r="213" spans="14:26">
      <c r="N213" s="103" t="s">
        <v>440</v>
      </c>
      <c r="O213" s="103" t="s">
        <v>19</v>
      </c>
      <c r="P213" s="104" t="s">
        <v>5</v>
      </c>
      <c r="Q213" s="105" t="s">
        <v>132</v>
      </c>
      <c r="R213" s="105" t="s">
        <v>132</v>
      </c>
      <c r="S213" s="163" t="s">
        <v>105</v>
      </c>
      <c r="T213" s="165">
        <f t="shared" si="46"/>
        <v>316128.70153986604</v>
      </c>
      <c r="U213" s="38">
        <f t="shared" si="47"/>
        <v>316128.70153986604</v>
      </c>
      <c r="V213" s="93">
        <f t="shared" si="48"/>
        <v>0</v>
      </c>
      <c r="W213" s="38">
        <f t="shared" si="49"/>
        <v>316128.70153986604</v>
      </c>
      <c r="Y213" s="93"/>
      <c r="Z213" s="93"/>
    </row>
    <row r="215" spans="14:26">
      <c r="T215" s="220" t="s">
        <v>152</v>
      </c>
      <c r="U215" s="154"/>
      <c r="V215" s="170"/>
    </row>
    <row r="216" spans="14:26">
      <c r="T216" s="167"/>
      <c r="U216" s="482" t="s">
        <v>113</v>
      </c>
      <c r="V216" s="210"/>
    </row>
    <row r="217" spans="14:26">
      <c r="T217" s="165"/>
      <c r="U217" s="484" t="s">
        <v>516</v>
      </c>
      <c r="V217" s="47" t="s">
        <v>443</v>
      </c>
    </row>
    <row r="218" spans="14:26">
      <c r="T218" s="484" t="s">
        <v>435</v>
      </c>
      <c r="U218" s="485">
        <f ca="1">SUM(U114:U147)-SUM(T82:T85)</f>
        <v>0</v>
      </c>
      <c r="V218" s="210">
        <f ca="1">ROUND(SUM(W114:W147)-SUM(X82:X85)-X108+X86,7)</f>
        <v>0</v>
      </c>
    </row>
    <row r="219" spans="14:26">
      <c r="T219" s="483" t="s">
        <v>437</v>
      </c>
      <c r="U219" s="486">
        <f ca="1">SUM(U180:U213)-SUM(T148:T151)</f>
        <v>0</v>
      </c>
      <c r="V219" s="211">
        <f ca="1">ROUND(SUM(W180:W213)-SUM(X148:X151)-X174+X152,7)</f>
        <v>0</v>
      </c>
    </row>
  </sheetData>
  <printOptions horizontalCentered="1"/>
  <pageMargins left="0.2" right="0.2" top="0.2" bottom="0.2" header="0" footer="0"/>
  <pageSetup scale="97" fitToHeight="0" orientation="landscape" r:id="rId1"/>
  <rowBreaks count="10" manualBreakCount="10">
    <brk id="20" max="12" man="1"/>
    <brk id="33" max="12" man="1"/>
    <brk id="35" min="13" max="19" man="1"/>
    <brk id="51" min="13" max="19" man="1"/>
    <brk id="81" min="13" max="19" man="1"/>
    <brk id="113" min="13" max="19" man="1"/>
    <brk id="130" min="13" max="19" man="1"/>
    <brk id="147" min="13" max="19" man="1"/>
    <brk id="179" min="13" max="19" man="1"/>
    <brk id="196" min="13" max="19" man="1"/>
  </rowBreaks>
  <ignoredErrors>
    <ignoredError sqref="T67:T80 T58:T65 T8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AAA0-DCCD-48EF-B045-331C06CFA27F}">
  <sheetPr>
    <pageSetUpPr fitToPage="1"/>
  </sheetPr>
  <dimension ref="A1:V73"/>
  <sheetViews>
    <sheetView showGridLines="0" zoomScale="70" zoomScaleNormal="70" zoomScaleSheetLayoutView="75" workbookViewId="0">
      <pane ySplit="4" topLeftCell="A5" activePane="bottomLeft" state="frozen"/>
      <selection activeCell="C2" sqref="C2"/>
      <selection pane="bottomLeft" activeCell="C2" sqref="C2"/>
    </sheetView>
  </sheetViews>
  <sheetFormatPr defaultRowHeight="15.75"/>
  <cols>
    <col min="1" max="1" width="6.75" bestFit="1" customWidth="1"/>
    <col min="2" max="2" width="7.5" bestFit="1" customWidth="1"/>
    <col min="3" max="3" width="8.5" bestFit="1" customWidth="1"/>
    <col min="4" max="7" width="10.25" customWidth="1"/>
    <col min="8" max="11" width="10.25" hidden="1" customWidth="1"/>
    <col min="12" max="12" width="46.25" style="110" bestFit="1" customWidth="1"/>
    <col min="13" max="13" width="7.125" style="110" bestFit="1" customWidth="1"/>
    <col min="14" max="14" width="15.125" style="110" bestFit="1" customWidth="1"/>
    <col min="15" max="16" width="13.375" style="111" customWidth="1"/>
    <col min="17" max="17" width="14.625" bestFit="1" customWidth="1"/>
    <col min="18" max="19" width="13.375" style="93" customWidth="1"/>
    <col min="20" max="22" width="13.375" customWidth="1"/>
  </cols>
  <sheetData>
    <row r="1" spans="12:19">
      <c r="L1" s="207" t="s">
        <v>223</v>
      </c>
      <c r="M1" s="198"/>
      <c r="N1" s="198"/>
      <c r="O1" s="200"/>
      <c r="P1" s="38"/>
    </row>
    <row r="2" spans="12:19">
      <c r="L2" s="222" t="s">
        <v>421</v>
      </c>
      <c r="M2" s="201"/>
      <c r="N2" s="201"/>
      <c r="O2" s="217"/>
      <c r="P2" s="38"/>
    </row>
    <row r="3" spans="12:19">
      <c r="L3" s="202" t="s">
        <v>342</v>
      </c>
      <c r="M3" s="203"/>
      <c r="N3" s="205"/>
      <c r="O3" s="206"/>
      <c r="P3" s="38"/>
      <c r="R3" s="96"/>
      <c r="S3" s="96"/>
    </row>
    <row r="4" spans="12:19">
      <c r="L4" s="180"/>
      <c r="M4" s="180"/>
      <c r="N4" s="181" t="s">
        <v>336</v>
      </c>
      <c r="O4" s="367" t="s">
        <v>143</v>
      </c>
      <c r="R4" s="96"/>
      <c r="S4" s="96"/>
    </row>
    <row r="5" spans="12:19">
      <c r="L5" s="208" t="s">
        <v>154</v>
      </c>
      <c r="M5" s="98" t="s">
        <v>337</v>
      </c>
      <c r="N5" s="97" t="s">
        <v>271</v>
      </c>
      <c r="O5" s="97">
        <f>SUMIFS('Normalized Units'!I:I,'Normalized Units'!B:B,"Normalized Billing Units",'Normalized Units'!C:C,L$1,'Normalized Units'!H:H,N5)</f>
        <v>12</v>
      </c>
      <c r="P5" s="48"/>
      <c r="R5" s="96"/>
      <c r="S5" s="96"/>
    </row>
    <row r="6" spans="12:19">
      <c r="L6" s="184" t="s">
        <v>154</v>
      </c>
      <c r="M6" s="57" t="s">
        <v>337</v>
      </c>
      <c r="N6" s="55" t="s">
        <v>217</v>
      </c>
      <c r="O6" s="55">
        <f>SUMIFS('Normalized Units'!I:I,'Normalized Units'!B:B,"Normalized Billing Units",'Normalized Units'!C:C,L$1,'Normalized Units'!H:H,N6)</f>
        <v>827586</v>
      </c>
      <c r="P6" s="48"/>
      <c r="R6" s="96"/>
      <c r="S6" s="96"/>
    </row>
    <row r="7" spans="12:19">
      <c r="L7" s="184" t="s">
        <v>154</v>
      </c>
      <c r="M7" s="57" t="s">
        <v>337</v>
      </c>
      <c r="N7" s="55" t="s">
        <v>139</v>
      </c>
      <c r="O7" s="55">
        <f>SUMIFS('Normalized Units'!I:I,'Normalized Units'!B:B,"Normalized Billing Units",'Normalized Units'!C:C,L$1,'Normalized Units'!H:H,N7)</f>
        <v>815013</v>
      </c>
      <c r="P7" s="48"/>
      <c r="R7" s="96"/>
      <c r="S7" s="96"/>
    </row>
    <row r="8" spans="12:19">
      <c r="L8" s="184" t="s">
        <v>154</v>
      </c>
      <c r="M8" s="57" t="s">
        <v>337</v>
      </c>
      <c r="N8" s="55" t="s">
        <v>144</v>
      </c>
      <c r="O8" s="55">
        <f>SUMIFS('Normalized Units'!I:I,'Normalized Units'!B:B,"Normalized Billing Units",'Normalized Units'!C:C,L$1,'Normalized Units'!H:H,N8)</f>
        <v>210164400.0636223</v>
      </c>
      <c r="P8" s="48"/>
      <c r="R8" s="96"/>
      <c r="S8" s="96"/>
    </row>
    <row r="9" spans="12:19">
      <c r="L9" s="184" t="s">
        <v>154</v>
      </c>
      <c r="M9" s="57" t="s">
        <v>337</v>
      </c>
      <c r="N9" s="55" t="s">
        <v>145</v>
      </c>
      <c r="O9" s="55">
        <f>SUMIFS('Normalized Units'!I:I,'Normalized Units'!B:B,"Normalized Billing Units",'Normalized Units'!C:C,L$1,'Normalized Units'!H:H,N9)</f>
        <v>330066000</v>
      </c>
      <c r="P9" s="48"/>
      <c r="R9" s="96"/>
      <c r="S9" s="96"/>
    </row>
    <row r="10" spans="12:19">
      <c r="L10" s="209" t="s">
        <v>154</v>
      </c>
      <c r="M10" s="103" t="s">
        <v>337</v>
      </c>
      <c r="N10" s="105" t="s">
        <v>138</v>
      </c>
      <c r="O10" s="105">
        <f>SUMIFS('Normalized Units'!I:I,'Normalized Units'!B:B,"Normalized Billing Units",'Normalized Units'!C:C,L$1,'Normalized Units'!H:H,N10)</f>
        <v>22838.999999999996</v>
      </c>
      <c r="P10" s="48"/>
      <c r="R10" s="96"/>
      <c r="S10" s="96"/>
    </row>
    <row r="11" spans="12:19" s="93" customFormat="1">
      <c r="L11" s="98" t="s">
        <v>341</v>
      </c>
      <c r="M11" s="98" t="s">
        <v>338</v>
      </c>
      <c r="N11" s="98" t="s">
        <v>271</v>
      </c>
      <c r="O11" s="269">
        <v>2999</v>
      </c>
      <c r="P11" s="299"/>
      <c r="Q11"/>
    </row>
    <row r="12" spans="12:19" s="93" customFormat="1">
      <c r="L12" s="57" t="s">
        <v>341</v>
      </c>
      <c r="M12" s="57" t="s">
        <v>338</v>
      </c>
      <c r="N12" s="55" t="s">
        <v>217</v>
      </c>
      <c r="O12" s="270">
        <v>0.26</v>
      </c>
      <c r="P12" s="299"/>
      <c r="Q12"/>
    </row>
    <row r="13" spans="12:19" s="93" customFormat="1">
      <c r="L13" s="57" t="s">
        <v>341</v>
      </c>
      <c r="M13" s="57" t="s">
        <v>338</v>
      </c>
      <c r="N13" s="55" t="s">
        <v>139</v>
      </c>
      <c r="O13" s="270">
        <v>8.93</v>
      </c>
      <c r="P13" s="299"/>
      <c r="Q13"/>
    </row>
    <row r="14" spans="12:19" s="93" customFormat="1">
      <c r="L14" s="57" t="s">
        <v>341</v>
      </c>
      <c r="M14" s="57" t="s">
        <v>338</v>
      </c>
      <c r="N14" s="55" t="s">
        <v>144</v>
      </c>
      <c r="O14" s="270">
        <v>6.1969999999999997E-2</v>
      </c>
      <c r="P14" s="299"/>
      <c r="Q14"/>
    </row>
    <row r="15" spans="12:19" s="93" customFormat="1">
      <c r="L15" s="57" t="s">
        <v>341</v>
      </c>
      <c r="M15" s="57" t="s">
        <v>338</v>
      </c>
      <c r="N15" s="55" t="s">
        <v>145</v>
      </c>
      <c r="O15" s="270">
        <v>5.2639999999999999E-2</v>
      </c>
      <c r="P15" s="299">
        <f>ROUND(26113617.80325/463519192.5,5)</f>
        <v>5.6340000000000001E-2</v>
      </c>
      <c r="Q15"/>
    </row>
    <row r="16" spans="12:19" s="93" customFormat="1">
      <c r="L16" s="103" t="s">
        <v>341</v>
      </c>
      <c r="M16" s="103" t="s">
        <v>338</v>
      </c>
      <c r="N16" s="105" t="s">
        <v>138</v>
      </c>
      <c r="O16" s="271">
        <v>0.55000000000000004</v>
      </c>
      <c r="P16" s="299"/>
      <c r="Q16"/>
    </row>
    <row r="17" spans="1:22" s="93" customForma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8" t="s">
        <v>341</v>
      </c>
      <c r="M17" s="98" t="s">
        <v>19</v>
      </c>
      <c r="N17" s="99" t="s">
        <v>271</v>
      </c>
      <c r="O17" s="167">
        <f t="shared" ref="O17:O22" si="0">O5*O11</f>
        <v>35988</v>
      </c>
      <c r="P17" s="111"/>
    </row>
    <row r="18" spans="1:22" s="93" customFormat="1">
      <c r="A18" s="96"/>
      <c r="L18" s="57" t="s">
        <v>341</v>
      </c>
      <c r="M18" s="57" t="s">
        <v>19</v>
      </c>
      <c r="N18" s="101" t="s">
        <v>217</v>
      </c>
      <c r="O18" s="164">
        <f t="shared" si="0"/>
        <v>215172.36000000002</v>
      </c>
      <c r="P18" s="111"/>
    </row>
    <row r="19" spans="1:22" s="93" customFormat="1">
      <c r="A19" s="96"/>
      <c r="L19" s="57" t="s">
        <v>341</v>
      </c>
      <c r="M19" s="57" t="s">
        <v>19</v>
      </c>
      <c r="N19" s="101" t="s">
        <v>139</v>
      </c>
      <c r="O19" s="164">
        <f t="shared" si="0"/>
        <v>7278066.0899999999</v>
      </c>
      <c r="P19" s="111"/>
    </row>
    <row r="20" spans="1:22" s="93" customFormat="1">
      <c r="A20" s="96"/>
      <c r="L20" s="57" t="s">
        <v>341</v>
      </c>
      <c r="M20" s="57" t="s">
        <v>19</v>
      </c>
      <c r="N20" s="101" t="s">
        <v>144</v>
      </c>
      <c r="O20" s="164">
        <f t="shared" si="0"/>
        <v>13023887.871942673</v>
      </c>
      <c r="P20" s="111"/>
    </row>
    <row r="21" spans="1:22" s="93" customFormat="1">
      <c r="A21" s="96"/>
      <c r="L21" s="57" t="s">
        <v>341</v>
      </c>
      <c r="M21" s="57" t="s">
        <v>19</v>
      </c>
      <c r="N21" s="101" t="s">
        <v>145</v>
      </c>
      <c r="O21" s="164">
        <f t="shared" si="0"/>
        <v>17374674.239999998</v>
      </c>
      <c r="P21" s="111"/>
    </row>
    <row r="22" spans="1:22" s="93" customFormat="1">
      <c r="A22" s="96"/>
      <c r="L22" s="57" t="s">
        <v>341</v>
      </c>
      <c r="M22" s="57" t="s">
        <v>19</v>
      </c>
      <c r="N22" s="101" t="s">
        <v>138</v>
      </c>
      <c r="O22" s="164">
        <f t="shared" si="0"/>
        <v>12561.449999999999</v>
      </c>
      <c r="P22" s="111"/>
    </row>
    <row r="23" spans="1:22" s="93" customFormat="1">
      <c r="A23" s="96"/>
      <c r="L23" s="103" t="s">
        <v>341</v>
      </c>
      <c r="M23" s="103" t="s">
        <v>19</v>
      </c>
      <c r="N23" s="211" t="s">
        <v>105</v>
      </c>
      <c r="O23" s="165">
        <f>Unbilled!E15</f>
        <v>730955.31297389569</v>
      </c>
      <c r="P23" s="111"/>
    </row>
    <row r="24" spans="1:22">
      <c r="A24" s="96"/>
      <c r="L24" s="255" t="s">
        <v>470</v>
      </c>
      <c r="M24" s="98" t="s">
        <v>19</v>
      </c>
      <c r="N24" s="435" t="s">
        <v>132</v>
      </c>
      <c r="O24" s="166">
        <f ca="1">'Cost of Service and Proposed $'!P134</f>
        <v>89886.119891893366</v>
      </c>
      <c r="P24" s="110"/>
    </row>
    <row r="25" spans="1:22">
      <c r="A25" s="96"/>
      <c r="L25" s="273" t="s">
        <v>471</v>
      </c>
      <c r="M25" s="57" t="s">
        <v>19</v>
      </c>
      <c r="N25" s="436" t="s">
        <v>132</v>
      </c>
      <c r="O25" s="162">
        <f ca="1">'Cost of Service and Proposed $'!P135</f>
        <v>220942.60862891132</v>
      </c>
      <c r="P25"/>
    </row>
    <row r="26" spans="1:22">
      <c r="A26" s="96"/>
      <c r="L26" s="273" t="s">
        <v>472</v>
      </c>
      <c r="M26" s="57" t="s">
        <v>19</v>
      </c>
      <c r="N26" s="436" t="s">
        <v>132</v>
      </c>
      <c r="O26" s="162">
        <f ca="1">'Cost of Service and Proposed $'!P136</f>
        <v>15039011.306897812</v>
      </c>
      <c r="P26" s="38"/>
      <c r="Q26" s="93"/>
      <c r="T26" s="93"/>
      <c r="U26" s="93"/>
      <c r="V26" s="93"/>
    </row>
    <row r="27" spans="1:22">
      <c r="A27" s="326" t="s">
        <v>223</v>
      </c>
      <c r="B27" s="327"/>
      <c r="C27" s="327"/>
      <c r="D27" s="321"/>
      <c r="E27" s="321"/>
      <c r="F27" s="321"/>
      <c r="G27" s="322"/>
      <c r="H27" s="321"/>
      <c r="I27" s="321"/>
      <c r="J27" s="321"/>
      <c r="K27" s="322"/>
      <c r="L27" s="256" t="s">
        <v>473</v>
      </c>
      <c r="M27" s="103" t="s">
        <v>19</v>
      </c>
      <c r="N27" s="437" t="s">
        <v>132</v>
      </c>
      <c r="O27" s="163">
        <f ca="1">'Cost of Service and Proposed $'!P137</f>
        <v>25677430.532540374</v>
      </c>
      <c r="P27" s="38"/>
      <c r="Q27" s="93"/>
      <c r="T27" s="93"/>
      <c r="U27" s="93"/>
      <c r="V27" s="93"/>
    </row>
    <row r="28" spans="1:22">
      <c r="A28" s="329" t="s">
        <v>421</v>
      </c>
      <c r="B28" s="288"/>
      <c r="C28" s="288"/>
      <c r="D28" s="319"/>
      <c r="E28" s="319"/>
      <c r="F28" s="319"/>
      <c r="G28" s="323"/>
      <c r="H28" s="319"/>
      <c r="I28" s="319"/>
      <c r="J28" s="319"/>
      <c r="K28" s="323"/>
      <c r="L28" s="338" t="s">
        <v>468</v>
      </c>
      <c r="M28" s="98" t="s">
        <v>19</v>
      </c>
      <c r="N28" s="98" t="s">
        <v>271</v>
      </c>
      <c r="O28" s="94">
        <f ca="1">(P28*(Q28-R28)+100*R28)/100</f>
        <v>43232.481364156309</v>
      </c>
      <c r="P28" s="449">
        <v>10</v>
      </c>
      <c r="Q28" s="111">
        <f ca="1">O24*(1-SUM(Q32:Q33)/SUM(O24,O26,O27))</f>
        <v>88248.338688818389</v>
      </c>
      <c r="R28" s="111" cm="1">
        <f t="array" aca="1" ref="R28" ca="1">SUMIFS(O$17:O$23,N$17:N$23,"Bill")/SUM(SUMIFS(O$17:O$23,N$17:N$23,{"Bill","kW","kWh*"}))*(SUM(O24,O26,O27)-SUM(R$32:R$33))</f>
        <v>38230.719439193846</v>
      </c>
      <c r="T28" s="93"/>
      <c r="U28" s="93"/>
      <c r="V28" s="93"/>
    </row>
    <row r="29" spans="1:22">
      <c r="A29" s="329" t="s">
        <v>442</v>
      </c>
      <c r="B29" s="288"/>
      <c r="C29" s="288"/>
      <c r="D29" s="324"/>
      <c r="E29" s="324"/>
      <c r="F29" s="324"/>
      <c r="G29" s="325"/>
      <c r="H29" s="324"/>
      <c r="I29" s="324"/>
      <c r="J29" s="324"/>
      <c r="K29" s="325"/>
      <c r="L29" s="337" t="s">
        <v>468</v>
      </c>
      <c r="M29" s="57" t="s">
        <v>19</v>
      </c>
      <c r="N29" s="55" t="s">
        <v>217</v>
      </c>
      <c r="O29" s="94">
        <f t="shared" ref="O29:O33" ca="1" si="1">(P29*(Q29-R29)+100*R29)/100</f>
        <v>220942.60862891132</v>
      </c>
      <c r="P29" s="183">
        <f t="shared" ref="P29:P33" si="2">$P$28</f>
        <v>10</v>
      </c>
      <c r="Q29" s="111">
        <f ca="1">O25</f>
        <v>220942.60862891132</v>
      </c>
      <c r="R29" s="111">
        <f ca="1">O25</f>
        <v>220942.60862891132</v>
      </c>
      <c r="T29" s="93"/>
      <c r="U29" s="93"/>
      <c r="V29" s="93"/>
    </row>
    <row r="30" spans="1:22">
      <c r="A30" s="378"/>
      <c r="B30" s="378"/>
      <c r="C30" s="378"/>
      <c r="D30" s="447" t="s">
        <v>553</v>
      </c>
      <c r="E30" s="154"/>
      <c r="F30" s="154"/>
      <c r="G30" s="155"/>
      <c r="H30" s="154"/>
      <c r="I30" s="154"/>
      <c r="J30" s="154"/>
      <c r="K30" s="155"/>
      <c r="L30" s="337" t="s">
        <v>468</v>
      </c>
      <c r="M30" s="57" t="s">
        <v>19</v>
      </c>
      <c r="N30" s="55" t="s">
        <v>139</v>
      </c>
      <c r="O30" s="94">
        <f t="shared" ca="1" si="1"/>
        <v>8434961.1695114356</v>
      </c>
      <c r="P30" s="183">
        <f t="shared" si="2"/>
        <v>10</v>
      </c>
      <c r="Q30" s="111">
        <f ca="1">O26*(1-SUM(Q32:Q33)/SUM(O24,O26,O27))</f>
        <v>14764991.13491917</v>
      </c>
      <c r="R30" s="111" cm="1">
        <f t="array" aca="1" ref="R30" ca="1">SUMIFS(O$17:O$23,N$17:N$23,"kW")/SUM(SUMIFS(O$17:O$23,N$17:N$23,{"Bill","kW","kWh*"}))*(SUM(O24,O26,O27)-SUM(R$32:R$33))</f>
        <v>7731624.5066883555</v>
      </c>
      <c r="T30" s="93"/>
      <c r="U30" s="93"/>
      <c r="V30" s="93"/>
    </row>
    <row r="31" spans="1:22">
      <c r="A31" s="369" t="s">
        <v>424</v>
      </c>
      <c r="B31" s="94" t="s">
        <v>462</v>
      </c>
      <c r="C31" s="370"/>
      <c r="D31" s="328" t="s">
        <v>435</v>
      </c>
      <c r="E31" s="328"/>
      <c r="F31" s="286"/>
      <c r="G31" s="254"/>
      <c r="H31" s="328" t="s">
        <v>437</v>
      </c>
      <c r="I31" s="328"/>
      <c r="J31" s="286"/>
      <c r="K31" s="254"/>
      <c r="L31" s="337" t="s">
        <v>468</v>
      </c>
      <c r="M31" s="57" t="s">
        <v>19</v>
      </c>
      <c r="N31" s="55" t="s">
        <v>4</v>
      </c>
      <c r="O31" s="94">
        <f t="shared" ca="1" si="1"/>
        <v>31584617.545480594</v>
      </c>
      <c r="P31" s="183">
        <f t="shared" si="2"/>
        <v>10</v>
      </c>
      <c r="Q31" s="111">
        <f ca="1">O27*(1-SUM(Q32:Q33)/SUM(O24,O26,O27))</f>
        <v>25209571.722748198</v>
      </c>
      <c r="R31" s="111" cm="1">
        <f t="array" aca="1" ref="R31" ca="1">SUMIFS(O$17:O$23,N$17:N$23,"kWh*")/SUM(SUMIFS(O$17:O$23,N$17:N$23,{"Bill","kW","kWh*"}))*(SUM(O24,O26,O27)-SUM(R$32:R$33))</f>
        <v>32292955.970228638</v>
      </c>
      <c r="T31" s="93"/>
      <c r="U31" s="93"/>
      <c r="V31" s="93"/>
    </row>
    <row r="32" spans="1:22">
      <c r="A32" s="369" t="s">
        <v>461</v>
      </c>
      <c r="B32" s="370" t="s">
        <v>464</v>
      </c>
      <c r="C32" s="369"/>
      <c r="D32" s="549"/>
      <c r="E32" s="334"/>
      <c r="F32" s="334"/>
      <c r="G32" s="167" t="s">
        <v>428</v>
      </c>
      <c r="H32" s="546"/>
      <c r="I32" s="334"/>
      <c r="J32" s="334"/>
      <c r="K32" s="167" t="s">
        <v>428</v>
      </c>
      <c r="L32" s="337" t="s">
        <v>468</v>
      </c>
      <c r="M32" s="57" t="s">
        <v>19</v>
      </c>
      <c r="N32" s="55" t="s">
        <v>138</v>
      </c>
      <c r="O32" s="94">
        <f t="shared" si="1"/>
        <v>12561.45</v>
      </c>
      <c r="P32" s="183">
        <f t="shared" si="2"/>
        <v>10</v>
      </c>
      <c r="Q32" s="111">
        <f>O22</f>
        <v>12561.449999999999</v>
      </c>
      <c r="R32" s="111">
        <f>O22</f>
        <v>12561.449999999999</v>
      </c>
      <c r="T32" s="93"/>
      <c r="U32" s="93"/>
      <c r="V32" s="93"/>
    </row>
    <row r="33" spans="1:22">
      <c r="A33" s="371" t="s">
        <v>463</v>
      </c>
      <c r="B33" s="371" t="s">
        <v>463</v>
      </c>
      <c r="C33" s="371" t="s">
        <v>462</v>
      </c>
      <c r="D33" s="550" t="s">
        <v>341</v>
      </c>
      <c r="E33" s="230" t="s">
        <v>346</v>
      </c>
      <c r="F33" s="165" t="s">
        <v>348</v>
      </c>
      <c r="G33" s="165" t="s">
        <v>348</v>
      </c>
      <c r="H33" s="660" t="s">
        <v>341</v>
      </c>
      <c r="I33" s="230" t="s">
        <v>346</v>
      </c>
      <c r="J33" s="165" t="s">
        <v>348</v>
      </c>
      <c r="K33" s="165" t="s">
        <v>348</v>
      </c>
      <c r="L33" s="339" t="s">
        <v>468</v>
      </c>
      <c r="M33" s="103" t="s">
        <v>19</v>
      </c>
      <c r="N33" s="105" t="s">
        <v>105</v>
      </c>
      <c r="O33" s="95">
        <f t="shared" si="1"/>
        <v>730955.31297389569</v>
      </c>
      <c r="P33" s="183">
        <f t="shared" si="2"/>
        <v>10</v>
      </c>
      <c r="Q33" s="111">
        <f>O23</f>
        <v>730955.31297389569</v>
      </c>
      <c r="R33" s="111">
        <f>O23</f>
        <v>730955.31297389569</v>
      </c>
      <c r="T33" s="93"/>
      <c r="U33" s="93"/>
      <c r="V33" s="93"/>
    </row>
    <row r="34" spans="1:22">
      <c r="A34" s="273">
        <v>30</v>
      </c>
      <c r="B34" s="273">
        <v>300</v>
      </c>
      <c r="C34" s="238">
        <f t="shared" ref="C34:C45" si="3">A34*B34</f>
        <v>9000</v>
      </c>
      <c r="D34" s="357">
        <f t="shared" ref="D34:D45" si="4">O$11/1000+(O$12+O$13)*A34+P$15*C34</f>
        <v>785.75900000000001</v>
      </c>
      <c r="E34" s="214">
        <f t="shared" ref="E34:E45" ca="1" si="5">O$34/1000+(O$35+O$36)*A34+V$38*C34</f>
        <v>811.91670999999997</v>
      </c>
      <c r="F34" s="214">
        <f t="shared" ref="F34:F45" ca="1" si="6">E34-D34</f>
        <v>26.157709999999952</v>
      </c>
      <c r="G34" s="448">
        <f t="shared" ref="G34:G45" ca="1" si="7">IFERROR(F34/D34*100,100)</f>
        <v>3.3289736420454554</v>
      </c>
      <c r="H34" s="266">
        <f t="shared" ref="H34:H45" ca="1" si="8">O$34/1000+(O$35+O$36)*A34+V$38*C34</f>
        <v>811.91670999999997</v>
      </c>
      <c r="I34" s="266">
        <f t="shared" ref="I34:I45" ca="1" si="9">O$57/1000+(O$58+O$59)*A34+V$61*C34</f>
        <v>824.78683000000001</v>
      </c>
      <c r="J34" s="214">
        <f t="shared" ref="J34:J45" ca="1" si="10">I34-H34</f>
        <v>12.870120000000043</v>
      </c>
      <c r="K34" s="448">
        <f t="shared" ref="K34:K45" ca="1" si="11">IFERROR(J34/H34*100,100)</f>
        <v>1.5851527430689343</v>
      </c>
      <c r="L34" s="98" t="s">
        <v>439</v>
      </c>
      <c r="M34" s="98" t="s">
        <v>338</v>
      </c>
      <c r="N34" s="98" t="s">
        <v>271</v>
      </c>
      <c r="O34" s="269">
        <f ca="1">ROUND(P34/100*S34/T34+U34,Q34)</f>
        <v>3446.71</v>
      </c>
      <c r="P34" s="183">
        <f>100+Summary!$P$12</f>
        <v>95.67</v>
      </c>
      <c r="Q34" s="93">
        <v>2</v>
      </c>
      <c r="R34" s="257">
        <f ca="1">S34/T34+U34</f>
        <v>3602.7067803463592</v>
      </c>
      <c r="S34" s="93">
        <f ca="1">SUMIFS(O$28:O$33,N$28:N$33,N34)</f>
        <v>43232.481364156309</v>
      </c>
      <c r="T34" s="93">
        <f>SUMIFS(O$5:O$10,N$5:N$10,N34)</f>
        <v>12</v>
      </c>
      <c r="U34" s="93"/>
      <c r="V34" s="93"/>
    </row>
    <row r="35" spans="1:22">
      <c r="A35" s="273">
        <v>30</v>
      </c>
      <c r="B35" s="94">
        <v>500</v>
      </c>
      <c r="C35" s="238">
        <f t="shared" si="3"/>
        <v>15000</v>
      </c>
      <c r="D35" s="335">
        <f t="shared" si="4"/>
        <v>1123.799</v>
      </c>
      <c r="E35" s="94">
        <f t="shared" ca="1" si="5"/>
        <v>1147.4967100000001</v>
      </c>
      <c r="F35" s="94">
        <f t="shared" ca="1" si="6"/>
        <v>23.697710000000143</v>
      </c>
      <c r="G35" s="444">
        <f t="shared" ca="1" si="7"/>
        <v>2.108714280756625</v>
      </c>
      <c r="H35" s="221">
        <f t="shared" ca="1" si="8"/>
        <v>1147.4967100000001</v>
      </c>
      <c r="I35" s="221">
        <f t="shared" ca="1" si="9"/>
        <v>1153.7068300000001</v>
      </c>
      <c r="J35" s="94">
        <f t="shared" ca="1" si="10"/>
        <v>6.2101199999999608</v>
      </c>
      <c r="K35" s="444">
        <f t="shared" ca="1" si="11"/>
        <v>0.54118847974735895</v>
      </c>
      <c r="L35" s="57" t="s">
        <v>439</v>
      </c>
      <c r="M35" s="57" t="s">
        <v>338</v>
      </c>
      <c r="N35" s="55" t="s">
        <v>217</v>
      </c>
      <c r="O35" s="270">
        <f t="shared" ref="O35:O39" ca="1" si="12">ROUND(P35/100*S35/T35+U35,Q35)</f>
        <v>0.27</v>
      </c>
      <c r="P35" s="449">
        <f>100</f>
        <v>100</v>
      </c>
      <c r="Q35" s="93">
        <v>2</v>
      </c>
      <c r="R35" s="257">
        <f t="shared" ref="R35:R39" ca="1" si="13">S35/T35+U35</f>
        <v>0.26697238550303087</v>
      </c>
      <c r="S35" s="93">
        <f ca="1">SUMIFS(O$28:O$33,N$28:N$33,N35)</f>
        <v>220942.60862891132</v>
      </c>
      <c r="T35" s="93">
        <f>SUMIFS(O$5:O$10,N$5:N$10,N35)</f>
        <v>827586</v>
      </c>
      <c r="U35" s="93"/>
      <c r="V35" s="93"/>
    </row>
    <row r="36" spans="1:22">
      <c r="A36" s="273">
        <v>30</v>
      </c>
      <c r="B36" s="94">
        <v>700</v>
      </c>
      <c r="C36" s="238">
        <f t="shared" si="3"/>
        <v>21000</v>
      </c>
      <c r="D36" s="335">
        <f t="shared" si="4"/>
        <v>1461.8390000000002</v>
      </c>
      <c r="E36" s="94">
        <f t="shared" ca="1" si="5"/>
        <v>1483.07671</v>
      </c>
      <c r="F36" s="94">
        <f t="shared" ca="1" si="6"/>
        <v>21.237709999999879</v>
      </c>
      <c r="G36" s="444">
        <f t="shared" ca="1" si="7"/>
        <v>1.4528077305366649</v>
      </c>
      <c r="H36" s="221">
        <f t="shared" ca="1" si="8"/>
        <v>1483.07671</v>
      </c>
      <c r="I36" s="221">
        <f t="shared" ca="1" si="9"/>
        <v>1482.6268300000002</v>
      </c>
      <c r="J36" s="94">
        <f t="shared" ca="1" si="10"/>
        <v>-0.4498799999998937</v>
      </c>
      <c r="K36" s="444">
        <f t="shared" ca="1" si="11"/>
        <v>-3.0334236723324561E-2</v>
      </c>
      <c r="L36" s="57" t="s">
        <v>439</v>
      </c>
      <c r="M36" s="57" t="s">
        <v>338</v>
      </c>
      <c r="N36" s="55" t="s">
        <v>139</v>
      </c>
      <c r="O36" s="270">
        <f t="shared" ca="1" si="12"/>
        <v>9.9</v>
      </c>
      <c r="P36" s="183">
        <f>100+Summary!$P$12</f>
        <v>95.67</v>
      </c>
      <c r="Q36" s="93">
        <v>2</v>
      </c>
      <c r="R36" s="257">
        <f t="shared" ca="1" si="13"/>
        <v>10.349480523024093</v>
      </c>
      <c r="S36" s="93">
        <f ca="1">SUMIFS(O$28:O$33,N$28:N$33,N36)</f>
        <v>8434961.1695114356</v>
      </c>
      <c r="T36" s="93">
        <f>SUMIFS(O$5:O$10,N$5:N$10,N36)</f>
        <v>815013</v>
      </c>
      <c r="U36" s="93"/>
      <c r="V36" s="93"/>
    </row>
    <row r="37" spans="1:22">
      <c r="A37" s="273">
        <v>40</v>
      </c>
      <c r="B37" s="273">
        <v>300</v>
      </c>
      <c r="C37" s="238">
        <f t="shared" si="3"/>
        <v>12000</v>
      </c>
      <c r="D37" s="335">
        <f t="shared" si="4"/>
        <v>1046.6790000000001</v>
      </c>
      <c r="E37" s="94">
        <f t="shared" ca="1" si="5"/>
        <v>1081.40671</v>
      </c>
      <c r="F37" s="94">
        <f t="shared" ca="1" si="6"/>
        <v>34.727709999999888</v>
      </c>
      <c r="G37" s="444">
        <f t="shared" ca="1" si="7"/>
        <v>3.3178949802183748</v>
      </c>
      <c r="H37" s="221">
        <f t="shared" ca="1" si="8"/>
        <v>1081.40671</v>
      </c>
      <c r="I37" s="221">
        <f t="shared" ca="1" si="9"/>
        <v>1098.4468300000001</v>
      </c>
      <c r="J37" s="94">
        <f t="shared" ca="1" si="10"/>
        <v>17.040120000000115</v>
      </c>
      <c r="K37" s="444">
        <f t="shared" ca="1" si="11"/>
        <v>1.5757364775367555</v>
      </c>
      <c r="L37" s="57" t="s">
        <v>439</v>
      </c>
      <c r="M37" s="57" t="s">
        <v>338</v>
      </c>
      <c r="N37" s="55" t="s">
        <v>144</v>
      </c>
      <c r="O37" s="270">
        <f t="shared" ca="1" si="12"/>
        <v>6.1629999999999997E-2</v>
      </c>
      <c r="P37" s="183">
        <f>100+Summary!$P$12</f>
        <v>95.67</v>
      </c>
      <c r="Q37" s="93">
        <v>5</v>
      </c>
      <c r="R37" s="257">
        <f t="shared" ca="1" si="13"/>
        <v>6.4165462220190206E-2</v>
      </c>
      <c r="S37" s="93">
        <f ca="1">SUMIFS(O$28:O$33,N$28:N$33,"kWh")</f>
        <v>31584617.545480594</v>
      </c>
      <c r="T37" s="93">
        <f>SUMIFS(O$5:O$10,N$5:N$10,"kWh*")</f>
        <v>540230400.06362224</v>
      </c>
      <c r="U37" s="257">
        <f>O9/(O8+O9)*(O14-O15)</f>
        <v>5.7003748393969107E-3</v>
      </c>
      <c r="V37" s="93"/>
    </row>
    <row r="38" spans="1:22">
      <c r="A38" s="273">
        <v>40</v>
      </c>
      <c r="B38" s="94">
        <v>500</v>
      </c>
      <c r="C38" s="238">
        <f t="shared" si="3"/>
        <v>20000</v>
      </c>
      <c r="D38" s="335">
        <f t="shared" si="4"/>
        <v>1497.3989999999999</v>
      </c>
      <c r="E38" s="94">
        <f t="shared" ca="1" si="5"/>
        <v>1528.8467099999998</v>
      </c>
      <c r="F38" s="94">
        <f t="shared" ca="1" si="6"/>
        <v>31.447709999999915</v>
      </c>
      <c r="G38" s="444">
        <f t="shared" ca="1" si="7"/>
        <v>2.1001556699316559</v>
      </c>
      <c r="H38" s="221">
        <f t="shared" ca="1" si="8"/>
        <v>1528.8467099999998</v>
      </c>
      <c r="I38" s="221">
        <f t="shared" ca="1" si="9"/>
        <v>1537.00683</v>
      </c>
      <c r="J38" s="94">
        <f t="shared" ca="1" si="10"/>
        <v>8.1601200000002336</v>
      </c>
      <c r="K38" s="444">
        <f t="shared" ca="1" si="11"/>
        <v>0.53374350395143511</v>
      </c>
      <c r="L38" s="57" t="s">
        <v>439</v>
      </c>
      <c r="M38" s="57" t="s">
        <v>338</v>
      </c>
      <c r="N38" s="55" t="s">
        <v>145</v>
      </c>
      <c r="O38" s="270">
        <f ca="1">ROUND(P38/100*S38/T38+U38,Q38)</f>
        <v>5.2299999999999999E-2</v>
      </c>
      <c r="P38" s="183">
        <f>100+Summary!$P$12</f>
        <v>95.67</v>
      </c>
      <c r="Q38" s="93">
        <v>5</v>
      </c>
      <c r="R38" s="257">
        <f t="shared" ca="1" si="13"/>
        <v>5.4835462220190208E-2</v>
      </c>
      <c r="S38" s="93">
        <f ca="1">SUMIFS(O$28:O$33,N$28:N$33,"kWh")</f>
        <v>31584617.545480594</v>
      </c>
      <c r="T38" s="93">
        <f>SUMIFS(O$5:O$10,N$5:N$10,"kWh*")</f>
        <v>540230400.06362224</v>
      </c>
      <c r="U38" s="257">
        <f>O8/(O8+O9)*(O15-O14)</f>
        <v>-3.6296251606030886E-3</v>
      </c>
      <c r="V38" s="257">
        <f ca="1">ROUND(P38/100*S38/T38,Q38)</f>
        <v>5.5930000000000001E-2</v>
      </c>
    </row>
    <row r="39" spans="1:22">
      <c r="A39" s="273">
        <v>40</v>
      </c>
      <c r="B39" s="94">
        <v>700</v>
      </c>
      <c r="C39" s="238">
        <f t="shared" si="3"/>
        <v>28000</v>
      </c>
      <c r="D39" s="335">
        <f t="shared" si="4"/>
        <v>1948.1189999999999</v>
      </c>
      <c r="E39" s="94">
        <f t="shared" ca="1" si="5"/>
        <v>1976.2867099999999</v>
      </c>
      <c r="F39" s="94">
        <f t="shared" ca="1" si="6"/>
        <v>28.167709999999943</v>
      </c>
      <c r="G39" s="444">
        <f t="shared" ca="1" si="7"/>
        <v>1.4458926790406512</v>
      </c>
      <c r="H39" s="221">
        <f t="shared" ca="1" si="8"/>
        <v>1976.2867099999999</v>
      </c>
      <c r="I39" s="221">
        <f t="shared" ca="1" si="9"/>
        <v>1975.56683</v>
      </c>
      <c r="J39" s="94">
        <f t="shared" ca="1" si="10"/>
        <v>-0.71987999999987551</v>
      </c>
      <c r="K39" s="444">
        <f t="shared" ca="1" si="11"/>
        <v>-3.6425888832692481E-2</v>
      </c>
      <c r="L39" s="103" t="s">
        <v>439</v>
      </c>
      <c r="M39" s="103" t="s">
        <v>338</v>
      </c>
      <c r="N39" s="105" t="s">
        <v>138</v>
      </c>
      <c r="O39" s="271">
        <f t="shared" si="12"/>
        <v>0.53</v>
      </c>
      <c r="P39" s="183">
        <f>100+Summary!$P$12</f>
        <v>95.67</v>
      </c>
      <c r="Q39" s="93">
        <v>2</v>
      </c>
      <c r="R39" s="257">
        <f t="shared" si="13"/>
        <v>0.55000000000000016</v>
      </c>
      <c r="S39" s="93">
        <f>SUMIFS(O$28:O$33,N$28:N$33,N39)</f>
        <v>12561.45</v>
      </c>
      <c r="T39" s="93">
        <f>SUMIFS(O$5:O$10,N$5:N$10,N39)</f>
        <v>22838.999999999996</v>
      </c>
      <c r="U39" s="93"/>
      <c r="V39" s="93"/>
    </row>
    <row r="40" spans="1:22">
      <c r="A40" s="273">
        <v>50</v>
      </c>
      <c r="B40" s="273">
        <v>300</v>
      </c>
      <c r="C40" s="238">
        <f t="shared" si="3"/>
        <v>15000</v>
      </c>
      <c r="D40" s="335">
        <f t="shared" si="4"/>
        <v>1307.5990000000002</v>
      </c>
      <c r="E40" s="94">
        <f t="shared" ca="1" si="5"/>
        <v>1350.89671</v>
      </c>
      <c r="F40" s="94">
        <f t="shared" ca="1" si="6"/>
        <v>43.297709999999825</v>
      </c>
      <c r="G40" s="444">
        <f t="shared" ca="1" si="7"/>
        <v>3.3112376194842468</v>
      </c>
      <c r="H40" s="221">
        <f t="shared" ca="1" si="8"/>
        <v>1350.89671</v>
      </c>
      <c r="I40" s="221">
        <f t="shared" ca="1" si="9"/>
        <v>1372.1068299999999</v>
      </c>
      <c r="J40" s="94">
        <f t="shared" ca="1" si="10"/>
        <v>21.210119999999961</v>
      </c>
      <c r="K40" s="444">
        <f t="shared" ca="1" si="11"/>
        <v>1.5700771082638849</v>
      </c>
      <c r="L40" s="98" t="s">
        <v>439</v>
      </c>
      <c r="M40" s="98" t="s">
        <v>19</v>
      </c>
      <c r="N40" s="98" t="s">
        <v>271</v>
      </c>
      <c r="O40" s="167">
        <f t="shared" ref="O40:O46" ca="1" si="14">IF(N40="Unbilled",SUMIFS(O$17:O$23,N$17:N$23,N40),SUMIFS(O$34:O$39,N$34:N$39,N40)*Q40)</f>
        <v>41360.520000000004</v>
      </c>
      <c r="P40" s="93">
        <f t="shared" ref="P40:P46" ca="1" si="15">IF(N40="Unbilled",SUMIFS(O$17:O$23,N$17:N$23,N40),SUMIFS(R$34:R$39,N$34:N$39,N40)*Q40)</f>
        <v>43232.481364156309</v>
      </c>
      <c r="Q40" s="93">
        <f t="shared" ref="Q40:Q46" si="16">SUMIFS(O$5:O$10,N$5:N$10,N40)</f>
        <v>12</v>
      </c>
      <c r="T40" s="93"/>
      <c r="U40" s="93"/>
      <c r="V40" s="93"/>
    </row>
    <row r="41" spans="1:22">
      <c r="A41" s="273">
        <v>50</v>
      </c>
      <c r="B41" s="94">
        <v>500</v>
      </c>
      <c r="C41" s="238">
        <f t="shared" si="3"/>
        <v>25000</v>
      </c>
      <c r="D41" s="335">
        <f t="shared" si="4"/>
        <v>1870.999</v>
      </c>
      <c r="E41" s="94">
        <f t="shared" ca="1" si="5"/>
        <v>1910.1967099999999</v>
      </c>
      <c r="F41" s="94">
        <f t="shared" ca="1" si="6"/>
        <v>39.197709999999915</v>
      </c>
      <c r="G41" s="444">
        <f t="shared" ca="1" si="7"/>
        <v>2.0950150160422272</v>
      </c>
      <c r="H41" s="221">
        <f t="shared" ca="1" si="8"/>
        <v>1910.1967099999999</v>
      </c>
      <c r="I41" s="221">
        <f t="shared" ca="1" si="9"/>
        <v>1920.30683</v>
      </c>
      <c r="J41" s="94">
        <f t="shared" ca="1" si="10"/>
        <v>10.110120000000052</v>
      </c>
      <c r="K41" s="444">
        <f t="shared" ca="1" si="11"/>
        <v>0.52927114506442918</v>
      </c>
      <c r="L41" s="57" t="s">
        <v>439</v>
      </c>
      <c r="M41" s="57" t="s">
        <v>19</v>
      </c>
      <c r="N41" s="55" t="s">
        <v>217</v>
      </c>
      <c r="O41" s="164">
        <f t="shared" ca="1" si="14"/>
        <v>223448.22</v>
      </c>
      <c r="P41" s="93">
        <f t="shared" ca="1" si="15"/>
        <v>220942.60862891132</v>
      </c>
      <c r="Q41" s="93">
        <f t="shared" si="16"/>
        <v>827586</v>
      </c>
      <c r="T41" s="93"/>
      <c r="U41" s="93"/>
      <c r="V41" s="93"/>
    </row>
    <row r="42" spans="1:22">
      <c r="A42" s="273">
        <v>50</v>
      </c>
      <c r="B42" s="94">
        <v>700</v>
      </c>
      <c r="C42" s="238">
        <f t="shared" si="3"/>
        <v>35000</v>
      </c>
      <c r="D42" s="335">
        <f t="shared" si="4"/>
        <v>2434.3990000000003</v>
      </c>
      <c r="E42" s="94">
        <f t="shared" ca="1" si="5"/>
        <v>2469.4967099999999</v>
      </c>
      <c r="F42" s="94">
        <f t="shared" ca="1" si="6"/>
        <v>35.097709999999552</v>
      </c>
      <c r="G42" s="444">
        <f t="shared" ca="1" si="7"/>
        <v>1.441740240609676</v>
      </c>
      <c r="H42" s="221">
        <f t="shared" ca="1" si="8"/>
        <v>2469.4967099999999</v>
      </c>
      <c r="I42" s="221">
        <f t="shared" ca="1" si="9"/>
        <v>2468.5068300000003</v>
      </c>
      <c r="J42" s="94">
        <f t="shared" ca="1" si="10"/>
        <v>-0.98987999999962994</v>
      </c>
      <c r="K42" s="444">
        <f t="shared" ca="1" si="11"/>
        <v>-4.0084280978840828E-2</v>
      </c>
      <c r="L42" s="57" t="s">
        <v>439</v>
      </c>
      <c r="M42" s="57" t="s">
        <v>19</v>
      </c>
      <c r="N42" s="55" t="s">
        <v>139</v>
      </c>
      <c r="O42" s="164">
        <f t="shared" ca="1" si="14"/>
        <v>8068628.7000000002</v>
      </c>
      <c r="P42" s="93">
        <f t="shared" ca="1" si="15"/>
        <v>8434961.1695114356</v>
      </c>
      <c r="Q42" s="93">
        <f t="shared" si="16"/>
        <v>815013</v>
      </c>
      <c r="T42" s="93"/>
      <c r="U42" s="93"/>
      <c r="V42" s="93"/>
    </row>
    <row r="43" spans="1:22">
      <c r="A43" s="273">
        <v>60</v>
      </c>
      <c r="B43" s="273">
        <v>300</v>
      </c>
      <c r="C43" s="238">
        <f t="shared" si="3"/>
        <v>18000</v>
      </c>
      <c r="D43" s="335">
        <f t="shared" si="4"/>
        <v>1568.519</v>
      </c>
      <c r="E43" s="94">
        <f t="shared" ca="1" si="5"/>
        <v>1620.3867100000002</v>
      </c>
      <c r="F43" s="94">
        <f t="shared" ca="1" si="6"/>
        <v>51.867710000000216</v>
      </c>
      <c r="G43" s="444">
        <f t="shared" ca="1" si="7"/>
        <v>3.3067951360487324</v>
      </c>
      <c r="H43" s="221">
        <f t="shared" ca="1" si="8"/>
        <v>1620.3867100000002</v>
      </c>
      <c r="I43" s="221">
        <f t="shared" ca="1" si="9"/>
        <v>1645.76683</v>
      </c>
      <c r="J43" s="94">
        <f t="shared" ca="1" si="10"/>
        <v>25.380119999999806</v>
      </c>
      <c r="K43" s="444">
        <f t="shared" ca="1" si="11"/>
        <v>1.5663001827508078</v>
      </c>
      <c r="L43" s="57" t="s">
        <v>439</v>
      </c>
      <c r="M43" s="57" t="s">
        <v>19</v>
      </c>
      <c r="N43" s="55" t="s">
        <v>144</v>
      </c>
      <c r="O43" s="164">
        <f t="shared" ca="1" si="14"/>
        <v>12952431.975921042</v>
      </c>
      <c r="P43" s="93">
        <f t="shared" ca="1" si="15"/>
        <v>13485295.872311296</v>
      </c>
      <c r="Q43" s="93">
        <f t="shared" si="16"/>
        <v>210164400.0636223</v>
      </c>
      <c r="T43" s="93"/>
      <c r="U43" s="93"/>
      <c r="V43" s="93"/>
    </row>
    <row r="44" spans="1:22">
      <c r="A44" s="273">
        <v>60</v>
      </c>
      <c r="B44" s="94">
        <v>500</v>
      </c>
      <c r="C44" s="238">
        <f t="shared" si="3"/>
        <v>30000</v>
      </c>
      <c r="D44" s="335">
        <f t="shared" si="4"/>
        <v>2244.5990000000002</v>
      </c>
      <c r="E44" s="94">
        <f t="shared" ca="1" si="5"/>
        <v>2291.5467100000001</v>
      </c>
      <c r="F44" s="94">
        <f t="shared" ca="1" si="6"/>
        <v>46.947709999999915</v>
      </c>
      <c r="G44" s="444">
        <f t="shared" ca="1" si="7"/>
        <v>2.0915856239800479</v>
      </c>
      <c r="H44" s="221">
        <f t="shared" ca="1" si="8"/>
        <v>2291.5467100000001</v>
      </c>
      <c r="I44" s="221">
        <f t="shared" ca="1" si="9"/>
        <v>2303.6068299999997</v>
      </c>
      <c r="J44" s="94">
        <f t="shared" ca="1" si="10"/>
        <v>12.060119999999642</v>
      </c>
      <c r="K44" s="444">
        <f t="shared" ca="1" si="11"/>
        <v>0.5262873301849319</v>
      </c>
      <c r="L44" s="57" t="s">
        <v>439</v>
      </c>
      <c r="M44" s="57" t="s">
        <v>19</v>
      </c>
      <c r="N44" s="55" t="s">
        <v>145</v>
      </c>
      <c r="O44" s="164">
        <f t="shared" ca="1" si="14"/>
        <v>17262451.800000001</v>
      </c>
      <c r="P44" s="93">
        <f t="shared" ca="1" si="15"/>
        <v>18099321.6731693</v>
      </c>
      <c r="Q44" s="93">
        <f t="shared" si="16"/>
        <v>330066000</v>
      </c>
      <c r="T44" s="93"/>
      <c r="U44" s="93"/>
      <c r="V44" s="93"/>
    </row>
    <row r="45" spans="1:22">
      <c r="A45" s="256">
        <v>60</v>
      </c>
      <c r="B45" s="95">
        <v>700</v>
      </c>
      <c r="C45" s="229">
        <f t="shared" si="3"/>
        <v>42000</v>
      </c>
      <c r="D45" s="336">
        <f t="shared" si="4"/>
        <v>2920.6790000000001</v>
      </c>
      <c r="E45" s="95">
        <f t="shared" ca="1" si="5"/>
        <v>2962.7067099999999</v>
      </c>
      <c r="F45" s="95">
        <f t="shared" ca="1" si="6"/>
        <v>42.027709999999843</v>
      </c>
      <c r="G45" s="445">
        <f t="shared" ca="1" si="7"/>
        <v>1.4389705270589421</v>
      </c>
      <c r="H45" s="267">
        <f t="shared" ca="1" si="8"/>
        <v>2962.7067099999999</v>
      </c>
      <c r="I45" s="267">
        <f t="shared" ca="1" si="9"/>
        <v>2961.4468299999999</v>
      </c>
      <c r="J45" s="95">
        <f t="shared" ca="1" si="10"/>
        <v>-1.2598800000000665</v>
      </c>
      <c r="K45" s="445">
        <f t="shared" ca="1" si="11"/>
        <v>-4.2524627758380666E-2</v>
      </c>
      <c r="L45" s="57" t="s">
        <v>439</v>
      </c>
      <c r="M45" s="57" t="s">
        <v>19</v>
      </c>
      <c r="N45" s="55" t="s">
        <v>138</v>
      </c>
      <c r="O45" s="164">
        <f t="shared" si="14"/>
        <v>12104.669999999998</v>
      </c>
      <c r="P45" s="93">
        <f t="shared" si="15"/>
        <v>12561.45</v>
      </c>
      <c r="Q45" s="93">
        <f t="shared" si="16"/>
        <v>22838.999999999996</v>
      </c>
      <c r="T45" s="93"/>
      <c r="U45" s="93"/>
      <c r="V45" s="93"/>
    </row>
    <row r="46" spans="1:22">
      <c r="A46" s="284" t="s">
        <v>444</v>
      </c>
      <c r="B46" s="298"/>
      <c r="C46" s="298"/>
      <c r="D46" s="298"/>
      <c r="E46" s="298"/>
      <c r="F46" s="298"/>
      <c r="G46" s="267"/>
      <c r="H46" s="298"/>
      <c r="I46" s="298"/>
      <c r="J46" s="298"/>
      <c r="K46" s="267"/>
      <c r="L46" s="103" t="s">
        <v>439</v>
      </c>
      <c r="M46" s="103" t="s">
        <v>19</v>
      </c>
      <c r="N46" s="105" t="s">
        <v>105</v>
      </c>
      <c r="O46" s="165">
        <f t="shared" si="14"/>
        <v>730955.31297389569</v>
      </c>
      <c r="P46" s="93">
        <f t="shared" si="15"/>
        <v>730955.31297389569</v>
      </c>
      <c r="Q46" s="93">
        <f t="shared" si="16"/>
        <v>0</v>
      </c>
      <c r="T46" s="93"/>
      <c r="U46" s="93"/>
      <c r="V46" s="93"/>
    </row>
    <row r="47" spans="1:22">
      <c r="L47" s="255" t="s">
        <v>474</v>
      </c>
      <c r="M47" s="98" t="s">
        <v>19</v>
      </c>
      <c r="N47" s="435" t="s">
        <v>132</v>
      </c>
      <c r="O47" s="166">
        <f ca="1">'Cost of Service and Proposed $'!Y134</f>
        <v>89885.910587552426</v>
      </c>
      <c r="P47"/>
      <c r="Q47" s="93"/>
      <c r="T47" s="93"/>
      <c r="U47" s="93"/>
      <c r="V47" s="93"/>
    </row>
    <row r="48" spans="1:22">
      <c r="L48" s="273" t="s">
        <v>475</v>
      </c>
      <c r="M48" s="57" t="s">
        <v>19</v>
      </c>
      <c r="N48" s="436" t="s">
        <v>132</v>
      </c>
      <c r="O48" s="162">
        <f ca="1">'Cost of Service and Proposed $'!Y135</f>
        <v>223475.16066375689</v>
      </c>
      <c r="P48"/>
      <c r="Q48" s="93"/>
      <c r="T48" s="93"/>
      <c r="U48" s="93"/>
      <c r="V48" s="93"/>
    </row>
    <row r="49" spans="12:22">
      <c r="L49" s="273" t="s">
        <v>476</v>
      </c>
      <c r="M49" s="57" t="s">
        <v>19</v>
      </c>
      <c r="N49" s="436" t="s">
        <v>132</v>
      </c>
      <c r="O49" s="162">
        <f ca="1">'Cost of Service and Proposed $'!Y136</f>
        <v>15036135.050683731</v>
      </c>
      <c r="P49"/>
      <c r="Q49" s="93"/>
      <c r="T49" s="93"/>
      <c r="U49" s="93"/>
      <c r="V49" s="93"/>
    </row>
    <row r="50" spans="12:22">
      <c r="L50" s="256" t="s">
        <v>477</v>
      </c>
      <c r="M50" s="103" t="s">
        <v>19</v>
      </c>
      <c r="N50" s="437" t="s">
        <v>132</v>
      </c>
      <c r="O50" s="163">
        <f ca="1">'Cost of Service and Proposed $'!Y137</f>
        <v>25676858.621007975</v>
      </c>
      <c r="P50"/>
      <c r="Q50" s="93"/>
      <c r="T50" s="93"/>
      <c r="U50" s="93"/>
      <c r="V50" s="93"/>
    </row>
    <row r="51" spans="12:22">
      <c r="L51" s="338" t="s">
        <v>469</v>
      </c>
      <c r="M51" s="98" t="s">
        <v>19</v>
      </c>
      <c r="N51" s="98" t="s">
        <v>271</v>
      </c>
      <c r="O51" s="94">
        <f ca="1">(P51*(Q51-R51)+100*R51)/100</f>
        <v>47734.499958787419</v>
      </c>
      <c r="P51" s="183">
        <f>$P$28</f>
        <v>10</v>
      </c>
      <c r="Q51" s="93">
        <f ca="1">O47*(1-SUM(Q55:Q56)/SUM(O47,O49,O50))</f>
        <v>88249.001039144292</v>
      </c>
      <c r="R51" s="93" cm="1">
        <f t="array" aca="1" ref="R51" ca="1">SUMIFS(O$40:O$46,N$40:N$46,"Bill")/SUM(SUMIFS(O$40:O$46,N$40:N$46,{"Bill","kW","kWh*"}))*(SUM(O47,O49,O50)-SUM(R$55:R$56))</f>
        <v>43232.888727636659</v>
      </c>
      <c r="T51" s="93"/>
      <c r="U51" s="93"/>
      <c r="V51" s="93"/>
    </row>
    <row r="52" spans="12:22">
      <c r="L52" s="337" t="s">
        <v>469</v>
      </c>
      <c r="M52" s="57" t="s">
        <v>19</v>
      </c>
      <c r="N52" s="55" t="s">
        <v>217</v>
      </c>
      <c r="O52" s="94">
        <f t="shared" ref="O52:O56" ca="1" si="17">(P52*(Q52-R52)+100*R52)/100</f>
        <v>223475.16066375689</v>
      </c>
      <c r="P52" s="183">
        <f t="shared" ref="P52:P56" si="18">$P$28</f>
        <v>10</v>
      </c>
      <c r="Q52" s="93">
        <f ca="1">O48</f>
        <v>223475.16066375689</v>
      </c>
      <c r="R52" s="93">
        <f ca="1">O48</f>
        <v>223475.16066375689</v>
      </c>
      <c r="T52" s="93"/>
      <c r="U52" s="93"/>
      <c r="V52" s="93"/>
    </row>
    <row r="53" spans="12:22">
      <c r="L53" s="337" t="s">
        <v>469</v>
      </c>
      <c r="M53" s="57" t="s">
        <v>19</v>
      </c>
      <c r="N53" s="55" t="s">
        <v>139</v>
      </c>
      <c r="O53" s="94">
        <f t="shared" ca="1" si="17"/>
        <v>9066733.3501428869</v>
      </c>
      <c r="P53" s="183">
        <f t="shared" si="18"/>
        <v>10</v>
      </c>
      <c r="Q53" s="93">
        <f ca="1">O49*(1-SUM(Q55:Q56)/SUM(O47,O49,O50))</f>
        <v>14762312.458525147</v>
      </c>
      <c r="R53" s="93" cm="1">
        <f t="array" aca="1" ref="R53" ca="1">SUMIFS(O$40:O$46,N$40:N$46,"kW")/SUM(SUMIFS(O$40:O$46,N$40:N$46,{"Bill","kW","kWh*"}))*(SUM(O47,O49,O50)-SUM(R$55:R$56))</f>
        <v>8433891.2269893028</v>
      </c>
      <c r="T53" s="93"/>
      <c r="U53" s="93"/>
      <c r="V53" s="93"/>
    </row>
    <row r="54" spans="12:22">
      <c r="L54" s="337" t="s">
        <v>469</v>
      </c>
      <c r="M54" s="57" t="s">
        <v>19</v>
      </c>
      <c r="N54" s="55" t="s">
        <v>4</v>
      </c>
      <c r="O54" s="94">
        <f t="shared" ca="1" si="17"/>
        <v>30945351.749203682</v>
      </c>
      <c r="P54" s="183">
        <f t="shared" si="18"/>
        <v>10</v>
      </c>
      <c r="Q54" s="93">
        <f ca="1">O50*(1-SUM(Q55:Q56)/SUM(O47,O49,O50))</f>
        <v>25209258.139741071</v>
      </c>
      <c r="R54" s="93" cm="1">
        <f t="array" aca="1" ref="R54" ca="1">SUMIFS(O$40:O$46,N$40:N$46,"kWh*")/SUM(SUMIFS(O$40:O$46,N$40:N$46,{"Bill","kW","kWh*"}))*(SUM(O47,O49,O50)-SUM(R$55:R$56))</f>
        <v>31582695.483588416</v>
      </c>
      <c r="T54" s="93"/>
      <c r="U54" s="93"/>
      <c r="V54" s="93"/>
    </row>
    <row r="55" spans="12:22">
      <c r="L55" s="337" t="s">
        <v>469</v>
      </c>
      <c r="M55" s="57" t="s">
        <v>19</v>
      </c>
      <c r="N55" s="55" t="s">
        <v>138</v>
      </c>
      <c r="O55" s="94">
        <f t="shared" si="17"/>
        <v>12104.669999999998</v>
      </c>
      <c r="P55" s="183">
        <f t="shared" si="18"/>
        <v>10</v>
      </c>
      <c r="Q55" s="93">
        <f>O45</f>
        <v>12104.669999999998</v>
      </c>
      <c r="R55" s="93">
        <f>O45</f>
        <v>12104.669999999998</v>
      </c>
      <c r="T55" s="93"/>
      <c r="U55" s="93"/>
      <c r="V55" s="93"/>
    </row>
    <row r="56" spans="12:22">
      <c r="L56" s="339" t="s">
        <v>469</v>
      </c>
      <c r="M56" s="103" t="s">
        <v>19</v>
      </c>
      <c r="N56" s="105" t="s">
        <v>105</v>
      </c>
      <c r="O56" s="95">
        <f t="shared" si="17"/>
        <v>730955.31297389569</v>
      </c>
      <c r="P56" s="183">
        <f t="shared" si="18"/>
        <v>10</v>
      </c>
      <c r="Q56" s="1">
        <f>O46</f>
        <v>730955.31297389569</v>
      </c>
      <c r="R56" s="93">
        <f>O46</f>
        <v>730955.31297389569</v>
      </c>
    </row>
    <row r="57" spans="12:22">
      <c r="L57" s="98" t="s">
        <v>440</v>
      </c>
      <c r="M57" s="98" t="s">
        <v>338</v>
      </c>
      <c r="N57" s="98" t="s">
        <v>271</v>
      </c>
      <c r="O57" s="269">
        <f ca="1">ROUND(P57/100*S57/T57+U57,Q57)</f>
        <v>3806.83</v>
      </c>
      <c r="P57" s="183">
        <f>100+Summary!$Q$12</f>
        <v>95.7</v>
      </c>
      <c r="Q57" s="93">
        <v>2</v>
      </c>
      <c r="R57" s="257">
        <f ca="1">S57/T57+U57</f>
        <v>3977.8749965656184</v>
      </c>
      <c r="S57" s="93">
        <f ca="1">SUMIFS(O$51:O$56,N$51:N$56,N57)</f>
        <v>47734.499958787419</v>
      </c>
      <c r="T57" s="93">
        <f>SUMIFS(O$5:O$10,N$5:N$10,N57)</f>
        <v>12</v>
      </c>
    </row>
    <row r="58" spans="12:22">
      <c r="L58" s="57" t="s">
        <v>440</v>
      </c>
      <c r="M58" s="57" t="s">
        <v>338</v>
      </c>
      <c r="N58" s="55" t="s">
        <v>217</v>
      </c>
      <c r="O58" s="270">
        <f t="shared" ref="O58:O62" ca="1" si="19">ROUND(P58/100*S58/T58+U58,Q58)</f>
        <v>0.27</v>
      </c>
      <c r="P58" s="449">
        <f>100</f>
        <v>100</v>
      </c>
      <c r="Q58" s="93">
        <v>2</v>
      </c>
      <c r="R58" s="257">
        <f t="shared" ref="R58:R62" ca="1" si="20">S58/T58+U58</f>
        <v>0.27003255331017789</v>
      </c>
      <c r="S58" s="93">
        <f t="shared" ref="S58:S62" ca="1" si="21">SUMIFS(O$51:O$56,N$51:N$56,N58)</f>
        <v>223475.16066375689</v>
      </c>
      <c r="T58" s="93">
        <f>SUMIFS(O$5:O$10,N$5:N$10,N58)</f>
        <v>827586</v>
      </c>
    </row>
    <row r="59" spans="12:22">
      <c r="L59" s="57" t="s">
        <v>440</v>
      </c>
      <c r="M59" s="57" t="s">
        <v>338</v>
      </c>
      <c r="N59" s="55" t="s">
        <v>139</v>
      </c>
      <c r="O59" s="270">
        <f t="shared" ca="1" si="19"/>
        <v>10.65</v>
      </c>
      <c r="P59" s="183">
        <f>100+Summary!$Q$12</f>
        <v>95.7</v>
      </c>
      <c r="Q59" s="93">
        <v>2</v>
      </c>
      <c r="R59" s="257">
        <f t="shared" ca="1" si="20"/>
        <v>11.124648748109401</v>
      </c>
      <c r="S59" s="93">
        <f t="shared" ca="1" si="21"/>
        <v>9066733.3501428869</v>
      </c>
      <c r="T59" s="93">
        <f>SUMIFS(O$5:O$10,N$5:N$10,N59)</f>
        <v>815013</v>
      </c>
    </row>
    <row r="60" spans="12:22">
      <c r="L60" s="57" t="s">
        <v>440</v>
      </c>
      <c r="M60" s="57" t="s">
        <v>338</v>
      </c>
      <c r="N60" s="55" t="s">
        <v>144</v>
      </c>
      <c r="O60" s="270">
        <f t="shared" ca="1" si="19"/>
        <v>6.0519999999999997E-2</v>
      </c>
      <c r="P60" s="183">
        <f>100+Summary!$Q$12</f>
        <v>95.7</v>
      </c>
      <c r="Q60" s="93">
        <v>5</v>
      </c>
      <c r="R60" s="257">
        <f t="shared" ca="1" si="20"/>
        <v>6.2982141555152429E-2</v>
      </c>
      <c r="S60" s="93">
        <f ca="1">SUMIFS(O$51:O$56,N$51:N$56,"kWh")</f>
        <v>30945351.749203682</v>
      </c>
      <c r="T60" s="93">
        <f>SUMIFS(O$5:O$10,N$5:N$10,"kWh*")</f>
        <v>540230400.06362224</v>
      </c>
      <c r="U60" s="257">
        <f ca="1">O9/(O8+O9)*(O37-O38)</f>
        <v>5.7003748393969107E-3</v>
      </c>
    </row>
    <row r="61" spans="12:22">
      <c r="L61" s="57" t="s">
        <v>440</v>
      </c>
      <c r="M61" s="57" t="s">
        <v>338</v>
      </c>
      <c r="N61" s="55" t="s">
        <v>145</v>
      </c>
      <c r="O61" s="270">
        <f t="shared" ca="1" si="19"/>
        <v>5.1189999999999999E-2</v>
      </c>
      <c r="P61" s="183">
        <f>100+Summary!$Q$12</f>
        <v>95.7</v>
      </c>
      <c r="Q61" s="93">
        <v>5</v>
      </c>
      <c r="R61" s="257">
        <f t="shared" ca="1" si="20"/>
        <v>5.3652141555152424E-2</v>
      </c>
      <c r="S61" s="93">
        <f ca="1">SUMIFS(O$51:O$56,N$51:N$56,"kWh")</f>
        <v>30945351.749203682</v>
      </c>
      <c r="T61" s="93">
        <f>SUMIFS(O$5:O$10,N$5:N$10,"kWh*")</f>
        <v>540230400.06362224</v>
      </c>
      <c r="U61" s="257">
        <f ca="1">O8/(O8+O9)*(O38-O37)</f>
        <v>-3.6296251606030886E-3</v>
      </c>
      <c r="V61" s="257">
        <f ca="1">ROUND(P61/100*S61/T61,Q61)</f>
        <v>5.4820000000000001E-2</v>
      </c>
    </row>
    <row r="62" spans="12:22">
      <c r="L62" s="103" t="s">
        <v>440</v>
      </c>
      <c r="M62" s="103" t="s">
        <v>338</v>
      </c>
      <c r="N62" s="105" t="s">
        <v>138</v>
      </c>
      <c r="O62" s="271">
        <f t="shared" si="19"/>
        <v>0.51</v>
      </c>
      <c r="P62" s="183">
        <f>100+Summary!$Q$12</f>
        <v>95.7</v>
      </c>
      <c r="Q62" s="93">
        <v>2</v>
      </c>
      <c r="R62" s="257">
        <f t="shared" si="20"/>
        <v>0.53</v>
      </c>
      <c r="S62" s="93">
        <f t="shared" si="21"/>
        <v>12104.669999999998</v>
      </c>
      <c r="T62" s="93">
        <f>SUMIFS(O$5:O$10,N$5:N$10,N62)</f>
        <v>22838.999999999996</v>
      </c>
    </row>
    <row r="63" spans="12:22">
      <c r="L63" s="98" t="s">
        <v>440</v>
      </c>
      <c r="M63" s="98" t="s">
        <v>19</v>
      </c>
      <c r="N63" s="98" t="s">
        <v>271</v>
      </c>
      <c r="O63" s="167">
        <f t="shared" ref="O63:O69" ca="1" si="22">IF(N63="Unbilled",SUMIFS(O$40:O$46,N$40:N$46,N63),SUMIFS(O$57:O$62,N$57:N$62,N63)*Q63)</f>
        <v>45681.96</v>
      </c>
      <c r="P63" s="93">
        <f t="shared" ref="P63:P69" ca="1" si="23">IF(N63="Unbilled",SUMIFS(O$40:O$46,N$40:N$46,N63),SUMIFS(R$57:R$62,N$57:N$62,N63)*Q63)</f>
        <v>47734.499958787419</v>
      </c>
      <c r="Q63" s="93">
        <f t="shared" ref="Q63:Q69" si="24">SUMIFS(O$5:O$10,N$5:N$10,N63)</f>
        <v>12</v>
      </c>
      <c r="T63" s="93"/>
    </row>
    <row r="64" spans="12:22">
      <c r="L64" s="57" t="s">
        <v>440</v>
      </c>
      <c r="M64" s="57" t="s">
        <v>19</v>
      </c>
      <c r="N64" s="55" t="s">
        <v>217</v>
      </c>
      <c r="O64" s="164">
        <f t="shared" ca="1" si="22"/>
        <v>223448.22</v>
      </c>
      <c r="P64" s="93">
        <f t="shared" ca="1" si="23"/>
        <v>223475.16066375689</v>
      </c>
      <c r="Q64" s="93">
        <f t="shared" si="24"/>
        <v>827586</v>
      </c>
      <c r="T64" s="93"/>
    </row>
    <row r="65" spans="12:20">
      <c r="L65" s="57" t="s">
        <v>440</v>
      </c>
      <c r="M65" s="57" t="s">
        <v>19</v>
      </c>
      <c r="N65" s="55" t="s">
        <v>139</v>
      </c>
      <c r="O65" s="164">
        <f t="shared" ca="1" si="22"/>
        <v>8679888.4500000011</v>
      </c>
      <c r="P65" s="93">
        <f t="shared" ca="1" si="23"/>
        <v>9066733.3501428869</v>
      </c>
      <c r="Q65" s="93">
        <f t="shared" si="24"/>
        <v>815013</v>
      </c>
      <c r="T65" s="93"/>
    </row>
    <row r="66" spans="12:20">
      <c r="L66" s="57" t="s">
        <v>440</v>
      </c>
      <c r="M66" s="57" t="s">
        <v>19</v>
      </c>
      <c r="N66" s="55" t="s">
        <v>144</v>
      </c>
      <c r="O66" s="164">
        <f t="shared" ca="1" si="22"/>
        <v>12719149.491850421</v>
      </c>
      <c r="P66" s="93">
        <f t="shared" ca="1" si="23"/>
        <v>13236603.994660746</v>
      </c>
      <c r="Q66" s="93">
        <f t="shared" si="24"/>
        <v>210164400.0636223</v>
      </c>
      <c r="T66" s="93"/>
    </row>
    <row r="67" spans="12:20">
      <c r="L67" s="57" t="s">
        <v>440</v>
      </c>
      <c r="M67" s="57" t="s">
        <v>19</v>
      </c>
      <c r="N67" s="55" t="s">
        <v>145</v>
      </c>
      <c r="O67" s="164">
        <f t="shared" ca="1" si="22"/>
        <v>16896078.539999999</v>
      </c>
      <c r="P67" s="93">
        <f t="shared" ca="1" si="23"/>
        <v>17708747.754542939</v>
      </c>
      <c r="Q67" s="93">
        <f t="shared" si="24"/>
        <v>330066000</v>
      </c>
      <c r="T67" s="93"/>
    </row>
    <row r="68" spans="12:20">
      <c r="L68" s="57" t="s">
        <v>440</v>
      </c>
      <c r="M68" s="57" t="s">
        <v>19</v>
      </c>
      <c r="N68" s="55" t="s">
        <v>138</v>
      </c>
      <c r="O68" s="164">
        <f t="shared" si="22"/>
        <v>11647.889999999998</v>
      </c>
      <c r="P68" s="93">
        <f t="shared" si="23"/>
        <v>12104.669999999998</v>
      </c>
      <c r="Q68" s="93">
        <f t="shared" si="24"/>
        <v>22838.999999999996</v>
      </c>
      <c r="T68" s="93"/>
    </row>
    <row r="69" spans="12:20">
      <c r="L69" s="103" t="s">
        <v>440</v>
      </c>
      <c r="M69" s="103" t="s">
        <v>19</v>
      </c>
      <c r="N69" s="105" t="s">
        <v>105</v>
      </c>
      <c r="O69" s="165">
        <f t="shared" si="22"/>
        <v>730955.31297389569</v>
      </c>
      <c r="P69" s="93">
        <f t="shared" si="23"/>
        <v>730955.31297389569</v>
      </c>
      <c r="Q69" s="93">
        <f t="shared" si="24"/>
        <v>0</v>
      </c>
      <c r="T69" s="93"/>
    </row>
    <row r="71" spans="12:20">
      <c r="O71" s="481" t="s">
        <v>152</v>
      </c>
      <c r="P71" s="155"/>
    </row>
    <row r="72" spans="12:20">
      <c r="O72" s="482" t="s">
        <v>435</v>
      </c>
      <c r="P72" s="480">
        <f ca="1">SUM(P40:P46)-SUM(O24:O27)</f>
        <v>0</v>
      </c>
    </row>
    <row r="73" spans="12:20">
      <c r="O73" s="483" t="s">
        <v>437</v>
      </c>
      <c r="P73" s="471">
        <f ca="1">SUM(P63:P69)-SUM(O47:O50)</f>
        <v>0</v>
      </c>
    </row>
  </sheetData>
  <printOptions horizontalCentered="1"/>
  <pageMargins left="0.2" right="0.2" top="0.2" bottom="0.2" header="0" footer="0"/>
  <pageSetup fitToHeight="0" orientation="landscape" r:id="rId1"/>
  <rowBreaks count="2" manualBreakCount="2">
    <brk id="23" min="11" max="14" man="1"/>
    <brk id="46" min="1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F208-0E0E-45DF-8D55-29F390C1E793}">
  <sheetPr>
    <pageSetUpPr fitToPage="1"/>
  </sheetPr>
  <dimension ref="A1:H55"/>
  <sheetViews>
    <sheetView showGridLines="0" tabSelected="1" zoomScale="70" zoomScaleNormal="70" zoomScaleSheetLayoutView="75" workbookViewId="0">
      <pane ySplit="4" topLeftCell="A5" activePane="bottomLeft" state="frozen"/>
      <selection activeCell="C2" sqref="C2"/>
      <selection pane="bottomLeft" activeCell="D58" sqref="D58"/>
    </sheetView>
  </sheetViews>
  <sheetFormatPr defaultRowHeight="15.75"/>
  <cols>
    <col min="1" max="1" width="26.375" style="110" bestFit="1" customWidth="1"/>
    <col min="2" max="2" width="7.125" style="110" bestFit="1" customWidth="1"/>
    <col min="3" max="5" width="15.125" style="110" customWidth="1"/>
    <col min="6" max="6" width="13.375" style="111" customWidth="1"/>
    <col min="7" max="7" width="13.375" style="257" bestFit="1" customWidth="1"/>
    <col min="8" max="8" width="13.375" customWidth="1"/>
  </cols>
  <sheetData>
    <row r="1" spans="1:7">
      <c r="A1" s="207" t="s">
        <v>188</v>
      </c>
      <c r="B1" s="198"/>
      <c r="C1" s="198"/>
      <c r="D1" s="198"/>
      <c r="E1" s="198"/>
      <c r="F1" s="200"/>
    </row>
    <row r="2" spans="1:7">
      <c r="A2" s="222" t="s">
        <v>419</v>
      </c>
      <c r="B2" s="201"/>
      <c r="C2" s="201"/>
      <c r="D2" s="201"/>
      <c r="E2" s="201"/>
      <c r="F2" s="217"/>
    </row>
    <row r="3" spans="1:7">
      <c r="A3" s="202" t="s">
        <v>342</v>
      </c>
      <c r="B3" s="203"/>
      <c r="C3" s="203"/>
      <c r="D3" s="204"/>
      <c r="E3" s="205"/>
      <c r="F3" s="206"/>
      <c r="G3" s="224"/>
    </row>
    <row r="4" spans="1:7">
      <c r="A4" s="180"/>
      <c r="B4" s="180"/>
      <c r="C4" s="180" t="s">
        <v>115</v>
      </c>
      <c r="D4" s="181" t="s">
        <v>131</v>
      </c>
      <c r="E4" s="181" t="s">
        <v>336</v>
      </c>
      <c r="F4" s="367" t="s">
        <v>143</v>
      </c>
      <c r="G4" s="224"/>
    </row>
    <row r="5" spans="1:7">
      <c r="A5" s="208" t="s">
        <v>154</v>
      </c>
      <c r="B5" s="98" t="s">
        <v>337</v>
      </c>
      <c r="C5" s="98" t="s">
        <v>113</v>
      </c>
      <c r="D5" s="97" t="s">
        <v>140</v>
      </c>
      <c r="E5" s="97" t="s">
        <v>271</v>
      </c>
      <c r="F5" s="97">
        <f>SUMIFS('Normalized Units'!I:I,'Normalized Units'!B:B,"Normalized Billing Units",'Normalized Units'!C:C,A$1,'Normalized Units'!G:G,D5,'Normalized Units'!H:H,E5)</f>
        <v>12</v>
      </c>
      <c r="G5" s="224"/>
    </row>
    <row r="6" spans="1:7">
      <c r="A6" s="184" t="s">
        <v>154</v>
      </c>
      <c r="B6" s="57" t="s">
        <v>337</v>
      </c>
      <c r="C6" s="57" t="s">
        <v>113</v>
      </c>
      <c r="D6" s="55" t="s">
        <v>140</v>
      </c>
      <c r="E6" s="57" t="s">
        <v>217</v>
      </c>
      <c r="F6" s="55">
        <f>SUMIFS('Normalized Units'!I:I,'Normalized Units'!B:B,"Normalized Billing Units",'Normalized Units'!C:C,A$1,'Normalized Units'!G:G,D6,'Normalized Units'!H:H,E6)</f>
        <v>24249</v>
      </c>
      <c r="G6" s="224"/>
    </row>
    <row r="7" spans="1:7">
      <c r="A7" s="184" t="s">
        <v>154</v>
      </c>
      <c r="B7" s="57" t="s">
        <v>337</v>
      </c>
      <c r="C7" s="57" t="s">
        <v>113</v>
      </c>
      <c r="D7" s="55" t="s">
        <v>132</v>
      </c>
      <c r="E7" s="55" t="s">
        <v>139</v>
      </c>
      <c r="F7" s="55">
        <f>SUMIFS('Normalized Units'!I:I,'Normalized Units'!B:B,"Normalized Billing Units",'Normalized Units'!C:C,A$1,'Normalized Units'!G:G,D7,'Normalized Units'!H:H,E7)</f>
        <v>17900</v>
      </c>
      <c r="G7" s="224"/>
    </row>
    <row r="8" spans="1:7">
      <c r="A8" s="184" t="s">
        <v>154</v>
      </c>
      <c r="B8" s="57" t="s">
        <v>337</v>
      </c>
      <c r="C8" s="57" t="s">
        <v>113</v>
      </c>
      <c r="D8" s="55" t="s">
        <v>132</v>
      </c>
      <c r="E8" s="55" t="s">
        <v>222</v>
      </c>
      <c r="F8" s="55">
        <f>SUMIFS('Normalized Units'!I:I,'Normalized Units'!B:B,"Normalized Billing Units",'Normalized Units'!C:C,A$1,'Normalized Units'!G:G,D8,'Normalized Units'!H:H,E8)</f>
        <v>6100</v>
      </c>
      <c r="G8" s="224"/>
    </row>
    <row r="9" spans="1:7">
      <c r="A9" s="184" t="s">
        <v>154</v>
      </c>
      <c r="B9" s="57" t="s">
        <v>337</v>
      </c>
      <c r="C9" s="57" t="s">
        <v>113</v>
      </c>
      <c r="D9" s="55" t="s">
        <v>132</v>
      </c>
      <c r="E9" s="55" t="s">
        <v>144</v>
      </c>
      <c r="F9" s="55">
        <f>SUMIFS('Normalized Units'!I:I,'Normalized Units'!B:B,"Normalized Billing Units",'Normalized Units'!C:C,A$1,'Normalized Units'!G:G,D9,'Normalized Units'!H:H,E9)</f>
        <v>750000</v>
      </c>
      <c r="G9" s="224"/>
    </row>
    <row r="10" spans="1:7">
      <c r="A10" s="209" t="s">
        <v>154</v>
      </c>
      <c r="B10" s="103" t="s">
        <v>337</v>
      </c>
      <c r="C10" s="103" t="s">
        <v>113</v>
      </c>
      <c r="D10" s="105" t="s">
        <v>132</v>
      </c>
      <c r="E10" s="105" t="s">
        <v>145</v>
      </c>
      <c r="F10" s="105">
        <f>SUMIFS('Normalized Units'!I:I,'Normalized Units'!B:B,"Normalized Billing Units",'Normalized Units'!C:C,A$1,'Normalized Units'!G:G,D10,'Normalized Units'!H:H,E10)</f>
        <v>927000</v>
      </c>
      <c r="G10" s="224"/>
    </row>
    <row r="11" spans="1:7" s="93" customFormat="1">
      <c r="A11" s="98" t="s">
        <v>341</v>
      </c>
      <c r="B11" s="98" t="s">
        <v>338</v>
      </c>
      <c r="C11" s="98" t="s">
        <v>113</v>
      </c>
      <c r="D11" s="97" t="s">
        <v>140</v>
      </c>
      <c r="E11" s="98" t="s">
        <v>271</v>
      </c>
      <c r="F11" s="269">
        <v>1313</v>
      </c>
      <c r="G11" s="257"/>
    </row>
    <row r="12" spans="1:7" s="93" customFormat="1">
      <c r="A12" s="57" t="s">
        <v>341</v>
      </c>
      <c r="B12" s="57" t="s">
        <v>338</v>
      </c>
      <c r="C12" s="57" t="s">
        <v>113</v>
      </c>
      <c r="D12" s="55" t="s">
        <v>140</v>
      </c>
      <c r="E12" s="57" t="s">
        <v>217</v>
      </c>
      <c r="F12" s="270">
        <v>1.22</v>
      </c>
      <c r="G12" s="257"/>
    </row>
    <row r="13" spans="1:7" s="93" customFormat="1">
      <c r="A13" s="57" t="s">
        <v>341</v>
      </c>
      <c r="B13" s="57" t="s">
        <v>338</v>
      </c>
      <c r="C13" s="57" t="s">
        <v>113</v>
      </c>
      <c r="D13" s="55" t="s">
        <v>132</v>
      </c>
      <c r="E13" s="55" t="s">
        <v>139</v>
      </c>
      <c r="F13" s="270">
        <v>8.73</v>
      </c>
      <c r="G13" s="257"/>
    </row>
    <row r="14" spans="1:7" s="93" customFormat="1">
      <c r="A14" s="57" t="s">
        <v>341</v>
      </c>
      <c r="B14" s="57" t="s">
        <v>338</v>
      </c>
      <c r="C14" s="57" t="s">
        <v>113</v>
      </c>
      <c r="D14" s="55" t="s">
        <v>132</v>
      </c>
      <c r="E14" s="55" t="s">
        <v>222</v>
      </c>
      <c r="F14" s="270">
        <v>4.37</v>
      </c>
      <c r="G14" s="257"/>
    </row>
    <row r="15" spans="1:7" s="93" customFormat="1">
      <c r="A15" s="57" t="s">
        <v>341</v>
      </c>
      <c r="B15" s="57" t="s">
        <v>338</v>
      </c>
      <c r="C15" s="57" t="s">
        <v>113</v>
      </c>
      <c r="D15" s="55" t="s">
        <v>132</v>
      </c>
      <c r="E15" s="55" t="s">
        <v>144</v>
      </c>
      <c r="F15" s="270">
        <v>6.318E-2</v>
      </c>
      <c r="G15" s="257"/>
    </row>
    <row r="16" spans="1:7" s="93" customFormat="1">
      <c r="A16" s="103" t="s">
        <v>341</v>
      </c>
      <c r="B16" s="103" t="s">
        <v>338</v>
      </c>
      <c r="C16" s="103" t="s">
        <v>113</v>
      </c>
      <c r="D16" s="105" t="s">
        <v>132</v>
      </c>
      <c r="E16" s="105" t="s">
        <v>145</v>
      </c>
      <c r="F16" s="271">
        <v>5.3850000000000002E-2</v>
      </c>
      <c r="G16" s="257"/>
    </row>
    <row r="17" spans="1:8" s="93" customFormat="1">
      <c r="A17" s="98" t="s">
        <v>341</v>
      </c>
      <c r="B17" s="98" t="s">
        <v>19</v>
      </c>
      <c r="C17" s="98" t="s">
        <v>113</v>
      </c>
      <c r="D17" s="99" t="s">
        <v>140</v>
      </c>
      <c r="E17" s="99" t="s">
        <v>271</v>
      </c>
      <c r="F17" s="167">
        <f t="shared" ref="F17:F22" si="0">F5*F11</f>
        <v>15756</v>
      </c>
      <c r="G17" s="257"/>
    </row>
    <row r="18" spans="1:8" s="93" customFormat="1">
      <c r="A18" s="57" t="s">
        <v>341</v>
      </c>
      <c r="B18" s="57" t="s">
        <v>19</v>
      </c>
      <c r="C18" s="57" t="s">
        <v>113</v>
      </c>
      <c r="D18" s="101" t="s">
        <v>140</v>
      </c>
      <c r="E18" s="23" t="s">
        <v>217</v>
      </c>
      <c r="F18" s="164">
        <f t="shared" si="0"/>
        <v>29583.78</v>
      </c>
      <c r="G18" s="257"/>
    </row>
    <row r="19" spans="1:8" s="93" customFormat="1">
      <c r="A19" s="57" t="s">
        <v>341</v>
      </c>
      <c r="B19" s="57" t="s">
        <v>19</v>
      </c>
      <c r="C19" s="57" t="s">
        <v>113</v>
      </c>
      <c r="D19" s="101" t="s">
        <v>132</v>
      </c>
      <c r="E19" s="101" t="s">
        <v>139</v>
      </c>
      <c r="F19" s="164">
        <f t="shared" si="0"/>
        <v>156267</v>
      </c>
      <c r="G19" s="257"/>
    </row>
    <row r="20" spans="1:8" s="93" customFormat="1">
      <c r="A20" s="57" t="s">
        <v>341</v>
      </c>
      <c r="B20" s="57" t="s">
        <v>19</v>
      </c>
      <c r="C20" s="57" t="s">
        <v>113</v>
      </c>
      <c r="D20" s="101" t="s">
        <v>132</v>
      </c>
      <c r="E20" s="101" t="s">
        <v>222</v>
      </c>
      <c r="F20" s="164">
        <f t="shared" si="0"/>
        <v>26657</v>
      </c>
      <c r="G20" s="257"/>
    </row>
    <row r="21" spans="1:8" s="93" customFormat="1">
      <c r="A21" s="57" t="s">
        <v>341</v>
      </c>
      <c r="B21" s="57" t="s">
        <v>19</v>
      </c>
      <c r="C21" s="57" t="s">
        <v>113</v>
      </c>
      <c r="D21" s="101" t="s">
        <v>132</v>
      </c>
      <c r="E21" s="101" t="s">
        <v>144</v>
      </c>
      <c r="F21" s="164">
        <f t="shared" si="0"/>
        <v>47385</v>
      </c>
      <c r="G21" s="257"/>
    </row>
    <row r="22" spans="1:8" s="93" customFormat="1">
      <c r="A22" s="57" t="s">
        <v>341</v>
      </c>
      <c r="B22" s="57" t="s">
        <v>19</v>
      </c>
      <c r="C22" s="57" t="s">
        <v>113</v>
      </c>
      <c r="D22" s="101" t="s">
        <v>132</v>
      </c>
      <c r="E22" s="101" t="s">
        <v>145</v>
      </c>
      <c r="F22" s="164">
        <f t="shared" si="0"/>
        <v>49918.950000000004</v>
      </c>
      <c r="G22" s="257"/>
    </row>
    <row r="23" spans="1:8" s="93" customFormat="1">
      <c r="A23" s="103" t="s">
        <v>341</v>
      </c>
      <c r="B23" s="103" t="s">
        <v>19</v>
      </c>
      <c r="C23" s="103" t="s">
        <v>113</v>
      </c>
      <c r="D23" s="105" t="s">
        <v>132</v>
      </c>
      <c r="E23" s="163" t="s">
        <v>105</v>
      </c>
      <c r="F23" s="165">
        <f>Unbilled!E12</f>
        <v>6272.3581069083993</v>
      </c>
      <c r="G23" s="257"/>
    </row>
    <row r="24" spans="1:8">
      <c r="A24" s="246" t="s">
        <v>466</v>
      </c>
      <c r="B24" s="367" t="s">
        <v>19</v>
      </c>
      <c r="C24" s="180" t="s">
        <v>132</v>
      </c>
      <c r="D24" s="180" t="s">
        <v>132</v>
      </c>
      <c r="E24" s="180" t="s">
        <v>132</v>
      </c>
      <c r="F24" s="180">
        <f ca="1">SUM(G31:G37)</f>
        <v>348462.31944789249</v>
      </c>
      <c r="G24" s="281"/>
    </row>
    <row r="25" spans="1:8">
      <c r="A25" s="166" t="s">
        <v>439</v>
      </c>
      <c r="B25" s="166" t="s">
        <v>338</v>
      </c>
      <c r="C25" s="98" t="s">
        <v>113</v>
      </c>
      <c r="D25" s="99" t="s">
        <v>140</v>
      </c>
      <c r="E25" s="99" t="s">
        <v>271</v>
      </c>
      <c r="F25" s="472">
        <f ca="1">Sch.48T!T92</f>
        <v>1229.73</v>
      </c>
      <c r="G25" s="257">
        <f ca="1">Sch.48T!W92</f>
        <v>1236.2860170365625</v>
      </c>
      <c r="H25" s="257"/>
    </row>
    <row r="26" spans="1:8">
      <c r="A26" s="162" t="s">
        <v>439</v>
      </c>
      <c r="B26" s="162" t="s">
        <v>338</v>
      </c>
      <c r="C26" s="57" t="s">
        <v>113</v>
      </c>
      <c r="D26" s="101" t="s">
        <v>140</v>
      </c>
      <c r="E26" s="23" t="s">
        <v>217</v>
      </c>
      <c r="F26" s="295">
        <f ca="1">Sch.48T!T94</f>
        <v>1.25</v>
      </c>
      <c r="G26" s="257">
        <f ca="1">Sch.48T!W94</f>
        <v>1.2527165781296061</v>
      </c>
      <c r="H26" s="257"/>
    </row>
    <row r="27" spans="1:8">
      <c r="A27" s="162" t="s">
        <v>439</v>
      </c>
      <c r="B27" s="162" t="s">
        <v>338</v>
      </c>
      <c r="C27" s="57" t="s">
        <v>113</v>
      </c>
      <c r="D27" s="101" t="s">
        <v>132</v>
      </c>
      <c r="E27" s="101" t="s">
        <v>139</v>
      </c>
      <c r="F27" s="295">
        <f ca="1">Sch.48T!T96</f>
        <v>9.4600000000000009</v>
      </c>
      <c r="G27" s="257">
        <f ca="1">Sch.48T!W96</f>
        <v>9.5127063954725664</v>
      </c>
      <c r="H27" s="257"/>
    </row>
    <row r="28" spans="1:8">
      <c r="A28" s="162" t="s">
        <v>439</v>
      </c>
      <c r="B28" s="162" t="s">
        <v>338</v>
      </c>
      <c r="C28" s="57" t="s">
        <v>113</v>
      </c>
      <c r="D28" s="101" t="s">
        <v>132</v>
      </c>
      <c r="E28" s="101" t="s">
        <v>222</v>
      </c>
      <c r="F28" s="295">
        <f ca="1">ROUND(F27/2,2)</f>
        <v>4.7300000000000004</v>
      </c>
      <c r="G28" s="257">
        <f ca="1">G27/2</f>
        <v>4.7563531977362832</v>
      </c>
      <c r="H28" s="257"/>
    </row>
    <row r="29" spans="1:8">
      <c r="A29" s="162" t="s">
        <v>439</v>
      </c>
      <c r="B29" s="162" t="s">
        <v>338</v>
      </c>
      <c r="C29" s="57" t="s">
        <v>113</v>
      </c>
      <c r="D29" s="101" t="s">
        <v>132</v>
      </c>
      <c r="E29" s="101" t="s">
        <v>144</v>
      </c>
      <c r="F29" s="295">
        <f ca="1">Sch.48T!T97</f>
        <v>6.3100000000000003E-2</v>
      </c>
      <c r="G29" s="257">
        <f ca="1">Sch.48T!W97</f>
        <v>6.3407940279266689E-2</v>
      </c>
      <c r="H29" s="257"/>
    </row>
    <row r="30" spans="1:8">
      <c r="A30" s="163" t="s">
        <v>439</v>
      </c>
      <c r="B30" s="163" t="s">
        <v>338</v>
      </c>
      <c r="C30" s="103" t="s">
        <v>113</v>
      </c>
      <c r="D30" s="104" t="s">
        <v>132</v>
      </c>
      <c r="E30" s="104" t="s">
        <v>145</v>
      </c>
      <c r="F30" s="473">
        <f ca="1">Sch.48T!T98</f>
        <v>5.3769999999999998E-2</v>
      </c>
      <c r="G30" s="257">
        <f ca="1">Sch.48T!W98</f>
        <v>5.4077940279266684E-2</v>
      </c>
      <c r="H30" s="257"/>
    </row>
    <row r="31" spans="1:8">
      <c r="A31" s="166" t="s">
        <v>439</v>
      </c>
      <c r="B31" s="166" t="s">
        <v>19</v>
      </c>
      <c r="C31" s="98" t="s">
        <v>113</v>
      </c>
      <c r="D31" s="99" t="s">
        <v>140</v>
      </c>
      <c r="E31" s="99" t="s">
        <v>271</v>
      </c>
      <c r="F31" s="167">
        <f ca="1">SUMIFS(F$25:F$30,E$25:E$30,E31)*H31</f>
        <v>14756.76</v>
      </c>
      <c r="G31" s="93">
        <f t="shared" ref="G31:G36" ca="1" si="1">SUMIFS(G$25:G$30,E$25:E$30,E31)*H31</f>
        <v>14835.43220443875</v>
      </c>
      <c r="H31" s="93">
        <f>SUMIFS(F$5:F$10,E$5:E$10,E31)</f>
        <v>12</v>
      </c>
    </row>
    <row r="32" spans="1:8">
      <c r="A32" s="162" t="s">
        <v>439</v>
      </c>
      <c r="B32" s="162" t="s">
        <v>19</v>
      </c>
      <c r="C32" s="57" t="s">
        <v>113</v>
      </c>
      <c r="D32" s="101" t="s">
        <v>140</v>
      </c>
      <c r="E32" s="23" t="s">
        <v>217</v>
      </c>
      <c r="F32" s="164">
        <f t="shared" ref="F32:F36" ca="1" si="2">SUMIFS(F$25:F$30,E$25:E$30,E32)*H32</f>
        <v>30311.25</v>
      </c>
      <c r="G32" s="93">
        <f t="shared" ca="1" si="1"/>
        <v>30377.124303064818</v>
      </c>
      <c r="H32" s="93">
        <f t="shared" ref="H32:H37" si="3">SUMIFS(F$5:F$10,E$5:E$10,E32)</f>
        <v>24249</v>
      </c>
    </row>
    <row r="33" spans="1:8">
      <c r="A33" s="162" t="s">
        <v>439</v>
      </c>
      <c r="B33" s="162" t="s">
        <v>19</v>
      </c>
      <c r="C33" s="57" t="s">
        <v>113</v>
      </c>
      <c r="D33" s="101" t="s">
        <v>132</v>
      </c>
      <c r="E33" s="101" t="s">
        <v>139</v>
      </c>
      <c r="F33" s="164">
        <f t="shared" ca="1" si="2"/>
        <v>169334.00000000003</v>
      </c>
      <c r="G33" s="93">
        <f t="shared" ca="1" si="1"/>
        <v>170277.44447895893</v>
      </c>
      <c r="H33" s="93">
        <f t="shared" si="3"/>
        <v>17900</v>
      </c>
    </row>
    <row r="34" spans="1:8">
      <c r="A34" s="162" t="s">
        <v>439</v>
      </c>
      <c r="B34" s="162" t="s">
        <v>19</v>
      </c>
      <c r="C34" s="57" t="s">
        <v>113</v>
      </c>
      <c r="D34" s="101" t="s">
        <v>132</v>
      </c>
      <c r="E34" s="101" t="s">
        <v>222</v>
      </c>
      <c r="F34" s="164">
        <f t="shared" ca="1" si="2"/>
        <v>28853.000000000004</v>
      </c>
      <c r="G34" s="93">
        <f t="shared" ca="1" si="1"/>
        <v>29013.754506191326</v>
      </c>
      <c r="H34" s="93">
        <f t="shared" si="3"/>
        <v>6100</v>
      </c>
    </row>
    <row r="35" spans="1:8">
      <c r="A35" s="162" t="s">
        <v>439</v>
      </c>
      <c r="B35" s="162" t="s">
        <v>19</v>
      </c>
      <c r="C35" s="57" t="s">
        <v>113</v>
      </c>
      <c r="D35" s="101" t="s">
        <v>132</v>
      </c>
      <c r="E35" s="101" t="s">
        <v>144</v>
      </c>
      <c r="F35" s="164">
        <f t="shared" ca="1" si="2"/>
        <v>47325</v>
      </c>
      <c r="G35" s="93">
        <f t="shared" ca="1" si="1"/>
        <v>47555.955209450018</v>
      </c>
      <c r="H35" s="93">
        <f t="shared" si="3"/>
        <v>750000</v>
      </c>
    </row>
    <row r="36" spans="1:8">
      <c r="A36" s="162" t="s">
        <v>439</v>
      </c>
      <c r="B36" s="162" t="s">
        <v>19</v>
      </c>
      <c r="C36" s="57" t="s">
        <v>113</v>
      </c>
      <c r="D36" s="101" t="s">
        <v>132</v>
      </c>
      <c r="E36" s="101" t="s">
        <v>145</v>
      </c>
      <c r="F36" s="164">
        <f t="shared" ca="1" si="2"/>
        <v>49844.79</v>
      </c>
      <c r="G36" s="93">
        <f t="shared" ca="1" si="1"/>
        <v>50130.250638880214</v>
      </c>
      <c r="H36" s="93">
        <f t="shared" si="3"/>
        <v>927000</v>
      </c>
    </row>
    <row r="37" spans="1:8">
      <c r="A37" s="163" t="s">
        <v>439</v>
      </c>
      <c r="B37" s="163" t="s">
        <v>19</v>
      </c>
      <c r="C37" s="103" t="s">
        <v>113</v>
      </c>
      <c r="D37" s="105" t="s">
        <v>132</v>
      </c>
      <c r="E37" s="163" t="s">
        <v>105</v>
      </c>
      <c r="F37" s="165">
        <f>F23</f>
        <v>6272.3581069083993</v>
      </c>
      <c r="G37" s="93">
        <f>F23</f>
        <v>6272.3581069083993</v>
      </c>
      <c r="H37" s="93">
        <f t="shared" si="3"/>
        <v>0</v>
      </c>
    </row>
    <row r="38" spans="1:8">
      <c r="A38" s="246" t="s">
        <v>467</v>
      </c>
      <c r="B38" s="367" t="s">
        <v>19</v>
      </c>
      <c r="C38" s="180" t="s">
        <v>132</v>
      </c>
      <c r="D38" s="180" t="s">
        <v>132</v>
      </c>
      <c r="E38" s="180" t="s">
        <v>132</v>
      </c>
      <c r="F38" s="180">
        <f ca="1">SUM(G45:G51)</f>
        <v>356569.09109995369</v>
      </c>
      <c r="G38" s="281"/>
    </row>
    <row r="39" spans="1:8">
      <c r="A39" s="166" t="s">
        <v>440</v>
      </c>
      <c r="B39" s="166" t="s">
        <v>338</v>
      </c>
      <c r="C39" s="98" t="s">
        <v>113</v>
      </c>
      <c r="D39" s="99" t="s">
        <v>140</v>
      </c>
      <c r="E39" s="99" t="s">
        <v>271</v>
      </c>
      <c r="F39" s="472">
        <f ca="1">Sch.48T!T158</f>
        <v>1133.42</v>
      </c>
      <c r="G39" s="257">
        <f ca="1">Sch.48T!W158</f>
        <v>1140.2629171947817</v>
      </c>
      <c r="H39" s="257"/>
    </row>
    <row r="40" spans="1:8">
      <c r="A40" s="162" t="s">
        <v>440</v>
      </c>
      <c r="B40" s="162" t="s">
        <v>338</v>
      </c>
      <c r="C40" s="57" t="s">
        <v>113</v>
      </c>
      <c r="D40" s="101" t="s">
        <v>140</v>
      </c>
      <c r="E40" s="23" t="s">
        <v>217</v>
      </c>
      <c r="F40" s="295">
        <f ca="1">Sch.48T!T160</f>
        <v>1.25</v>
      </c>
      <c r="G40" s="257">
        <f ca="1">Sch.48T!W160</f>
        <v>1.2501507097693418</v>
      </c>
      <c r="H40" s="257"/>
    </row>
    <row r="41" spans="1:8">
      <c r="A41" s="162" t="s">
        <v>440</v>
      </c>
      <c r="B41" s="162" t="s">
        <v>338</v>
      </c>
      <c r="C41" s="57" t="s">
        <v>113</v>
      </c>
      <c r="D41" s="101" t="s">
        <v>132</v>
      </c>
      <c r="E41" s="101" t="s">
        <v>139</v>
      </c>
      <c r="F41" s="295">
        <f ca="1">Sch.48T!T162</f>
        <v>9.98</v>
      </c>
      <c r="G41" s="257">
        <f ca="1">Sch.48T!W162</f>
        <v>10.035917156796513</v>
      </c>
      <c r="H41" s="257"/>
    </row>
    <row r="42" spans="1:8">
      <c r="A42" s="162" t="s">
        <v>440</v>
      </c>
      <c r="B42" s="162" t="s">
        <v>338</v>
      </c>
      <c r="C42" s="57" t="s">
        <v>113</v>
      </c>
      <c r="D42" s="101" t="s">
        <v>132</v>
      </c>
      <c r="E42" s="101" t="s">
        <v>222</v>
      </c>
      <c r="F42" s="295">
        <f ca="1">ROUND(F41/2,2)</f>
        <v>4.99</v>
      </c>
      <c r="G42" s="257">
        <f ca="1">G41/2</f>
        <v>5.0179585783982565</v>
      </c>
      <c r="H42" s="257"/>
    </row>
    <row r="43" spans="1:8">
      <c r="A43" s="162" t="s">
        <v>440</v>
      </c>
      <c r="B43" s="162" t="s">
        <v>338</v>
      </c>
      <c r="C43" s="57" t="s">
        <v>113</v>
      </c>
      <c r="D43" s="101" t="s">
        <v>132</v>
      </c>
      <c r="E43" s="101" t="s">
        <v>144</v>
      </c>
      <c r="F43" s="295">
        <f ca="1">Sch.48T!T163</f>
        <v>6.2089999999999999E-2</v>
      </c>
      <c r="G43" s="257">
        <f ca="1">Sch.48T!W163</f>
        <v>6.2430005361135493E-2</v>
      </c>
      <c r="H43" s="257"/>
    </row>
    <row r="44" spans="1:8">
      <c r="A44" s="163" t="s">
        <v>440</v>
      </c>
      <c r="B44" s="163" t="s">
        <v>338</v>
      </c>
      <c r="C44" s="103" t="s">
        <v>113</v>
      </c>
      <c r="D44" s="104" t="s">
        <v>132</v>
      </c>
      <c r="E44" s="104" t="s">
        <v>145</v>
      </c>
      <c r="F44" s="473">
        <f ca="1">Sch.48T!T164</f>
        <v>5.2760000000000001E-2</v>
      </c>
      <c r="G44" s="257">
        <f ca="1">Sch.48T!W164</f>
        <v>5.3100005361135488E-2</v>
      </c>
      <c r="H44" s="257"/>
    </row>
    <row r="45" spans="1:8">
      <c r="A45" s="166" t="s">
        <v>440</v>
      </c>
      <c r="B45" s="166" t="s">
        <v>19</v>
      </c>
      <c r="C45" s="98" t="s">
        <v>113</v>
      </c>
      <c r="D45" s="99" t="s">
        <v>140</v>
      </c>
      <c r="E45" s="99" t="s">
        <v>271</v>
      </c>
      <c r="F45" s="167">
        <f t="shared" ref="F45:F50" ca="1" si="4">SUMIFS(F$39:F$44,E$39:E$44,E45)*H45</f>
        <v>13601.04</v>
      </c>
      <c r="G45" s="93">
        <f t="shared" ref="G45:G50" ca="1" si="5">SUMIFS(G$39:G$44,E$39:E$44,E45)*H45</f>
        <v>13683.15500633738</v>
      </c>
      <c r="H45" s="93">
        <f>SUMIFS(F$5:F$10,E$5:E$10,E45)</f>
        <v>12</v>
      </c>
    </row>
    <row r="46" spans="1:8">
      <c r="A46" s="162" t="s">
        <v>440</v>
      </c>
      <c r="B46" s="162" t="s">
        <v>19</v>
      </c>
      <c r="C46" s="57" t="s">
        <v>113</v>
      </c>
      <c r="D46" s="101" t="s">
        <v>140</v>
      </c>
      <c r="E46" s="23" t="s">
        <v>217</v>
      </c>
      <c r="F46" s="164">
        <f t="shared" ca="1" si="4"/>
        <v>30311.25</v>
      </c>
      <c r="G46" s="93">
        <f t="shared" ca="1" si="5"/>
        <v>30314.90456119677</v>
      </c>
      <c r="H46" s="93">
        <f t="shared" ref="H46:H51" si="6">SUMIFS(F$5:F$10,E$5:E$10,E46)</f>
        <v>24249</v>
      </c>
    </row>
    <row r="47" spans="1:8">
      <c r="A47" s="162" t="s">
        <v>440</v>
      </c>
      <c r="B47" s="162" t="s">
        <v>19</v>
      </c>
      <c r="C47" s="57" t="s">
        <v>113</v>
      </c>
      <c r="D47" s="101" t="s">
        <v>132</v>
      </c>
      <c r="E47" s="101" t="s">
        <v>139</v>
      </c>
      <c r="F47" s="164">
        <f t="shared" ca="1" si="4"/>
        <v>178642</v>
      </c>
      <c r="G47" s="93">
        <f t="shared" ca="1" si="5"/>
        <v>179642.91710665758</v>
      </c>
      <c r="H47" s="93">
        <f t="shared" si="6"/>
        <v>17900</v>
      </c>
    </row>
    <row r="48" spans="1:8">
      <c r="A48" s="162" t="s">
        <v>440</v>
      </c>
      <c r="B48" s="162" t="s">
        <v>19</v>
      </c>
      <c r="C48" s="57" t="s">
        <v>113</v>
      </c>
      <c r="D48" s="101" t="s">
        <v>132</v>
      </c>
      <c r="E48" s="101" t="s">
        <v>222</v>
      </c>
      <c r="F48" s="164">
        <f t="shared" ca="1" si="4"/>
        <v>30439</v>
      </c>
      <c r="G48" s="93">
        <f t="shared" ca="1" si="5"/>
        <v>30609.547328229364</v>
      </c>
      <c r="H48" s="93">
        <f t="shared" si="6"/>
        <v>6100</v>
      </c>
    </row>
    <row r="49" spans="1:8">
      <c r="A49" s="162" t="s">
        <v>440</v>
      </c>
      <c r="B49" s="162" t="s">
        <v>19</v>
      </c>
      <c r="C49" s="57" t="s">
        <v>113</v>
      </c>
      <c r="D49" s="101" t="s">
        <v>132</v>
      </c>
      <c r="E49" s="101" t="s">
        <v>144</v>
      </c>
      <c r="F49" s="164">
        <f t="shared" ca="1" si="4"/>
        <v>46567.5</v>
      </c>
      <c r="G49" s="93">
        <f t="shared" ca="1" si="5"/>
        <v>46822.504020851622</v>
      </c>
      <c r="H49" s="93">
        <f t="shared" si="6"/>
        <v>750000</v>
      </c>
    </row>
    <row r="50" spans="1:8">
      <c r="A50" s="162" t="s">
        <v>440</v>
      </c>
      <c r="B50" s="162" t="s">
        <v>19</v>
      </c>
      <c r="C50" s="57" t="s">
        <v>113</v>
      </c>
      <c r="D50" s="101" t="s">
        <v>132</v>
      </c>
      <c r="E50" s="101" t="s">
        <v>145</v>
      </c>
      <c r="F50" s="164">
        <f t="shared" ca="1" si="4"/>
        <v>48908.520000000004</v>
      </c>
      <c r="G50" s="93">
        <f t="shared" ca="1" si="5"/>
        <v>49223.704969772596</v>
      </c>
      <c r="H50" s="93">
        <f t="shared" si="6"/>
        <v>927000</v>
      </c>
    </row>
    <row r="51" spans="1:8">
      <c r="A51" s="163" t="s">
        <v>440</v>
      </c>
      <c r="B51" s="163" t="s">
        <v>19</v>
      </c>
      <c r="C51" s="103" t="s">
        <v>113</v>
      </c>
      <c r="D51" s="105" t="s">
        <v>132</v>
      </c>
      <c r="E51" s="163" t="s">
        <v>105</v>
      </c>
      <c r="F51" s="165">
        <f>F23</f>
        <v>6272.3581069083993</v>
      </c>
      <c r="G51" s="93">
        <f>F23</f>
        <v>6272.3581069083993</v>
      </c>
      <c r="H51" s="93">
        <f t="shared" si="6"/>
        <v>0</v>
      </c>
    </row>
    <row r="53" spans="1:8">
      <c r="F53" s="481" t="s">
        <v>152</v>
      </c>
      <c r="G53" s="155"/>
    </row>
    <row r="54" spans="1:8">
      <c r="F54" s="482" t="s">
        <v>435</v>
      </c>
      <c r="G54" s="480">
        <f ca="1">SUM(G31:G37)-F24</f>
        <v>0</v>
      </c>
    </row>
    <row r="55" spans="1:8">
      <c r="F55" s="483" t="s">
        <v>437</v>
      </c>
      <c r="G55" s="95">
        <f ca="1">SUM(G45:G51)-F38</f>
        <v>0</v>
      </c>
    </row>
  </sheetData>
  <phoneticPr fontId="19" type="noConversion"/>
  <printOptions horizontalCentered="1"/>
  <pageMargins left="0.2" right="0.2" top="0.2" bottom="0.2" header="0" footer="0"/>
  <pageSetup fitToHeight="0" orientation="landscape" r:id="rId1"/>
  <rowBreaks count="1" manualBreakCount="1">
    <brk id="23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2A7-730B-4035-B76C-3BC73463C7F2}">
  <sheetPr>
    <pageSetUpPr fitToPage="1"/>
  </sheetPr>
  <dimension ref="A1:AA133"/>
  <sheetViews>
    <sheetView showGridLines="0" zoomScale="70" zoomScaleNormal="70" zoomScaleSheetLayoutView="75" workbookViewId="0">
      <pane ySplit="4" topLeftCell="A44" activePane="bottomLeft" state="frozen"/>
      <selection activeCell="C2" sqref="C2"/>
      <selection pane="bottomLeft" activeCell="C2" sqref="C2"/>
    </sheetView>
  </sheetViews>
  <sheetFormatPr defaultRowHeight="15.75"/>
  <cols>
    <col min="1" max="1" width="7.625" style="183" bestFit="1" customWidth="1"/>
    <col min="2" max="2" width="9.25" style="183" bestFit="1" customWidth="1"/>
    <col min="3" max="3" width="6.75" style="183" bestFit="1" customWidth="1"/>
    <col min="4" max="4" width="7.5" style="183" bestFit="1" customWidth="1"/>
    <col min="5" max="5" width="11.25" style="183" bestFit="1" customWidth="1"/>
    <col min="6" max="9" width="10.25" customWidth="1"/>
    <col min="10" max="13" width="10.25" hidden="1" customWidth="1"/>
    <col min="14" max="14" width="46.25" style="110" bestFit="1" customWidth="1"/>
    <col min="15" max="15" width="7.125" style="110" bestFit="1" customWidth="1"/>
    <col min="16" max="16" width="7.625" style="110" bestFit="1" customWidth="1"/>
    <col min="17" max="17" width="10.5" style="110" bestFit="1" customWidth="1"/>
    <col min="18" max="18" width="41" style="110" bestFit="1" customWidth="1"/>
    <col min="19" max="19" width="13.375" style="111" bestFit="1" customWidth="1"/>
    <col min="20" max="27" width="13.375" customWidth="1"/>
  </cols>
  <sheetData>
    <row r="1" spans="14:20">
      <c r="N1" s="207" t="s">
        <v>89</v>
      </c>
      <c r="O1" s="198"/>
      <c r="P1" s="198"/>
      <c r="Q1" s="198"/>
      <c r="R1" s="198"/>
      <c r="S1" s="200"/>
    </row>
    <row r="2" spans="14:20">
      <c r="N2" s="222" t="s">
        <v>420</v>
      </c>
      <c r="O2" s="201"/>
      <c r="P2" s="201"/>
      <c r="Q2" s="201"/>
      <c r="R2" s="201"/>
      <c r="S2" s="217"/>
    </row>
    <row r="3" spans="14:20" customFormat="1">
      <c r="N3" s="202" t="s">
        <v>342</v>
      </c>
      <c r="O3" s="203"/>
      <c r="P3" s="204"/>
      <c r="Q3" s="204"/>
      <c r="R3" s="205"/>
      <c r="S3" s="206"/>
    </row>
    <row r="4" spans="14:20" customFormat="1">
      <c r="N4" s="180"/>
      <c r="O4" s="180"/>
      <c r="P4" s="181" t="s">
        <v>130</v>
      </c>
      <c r="Q4" s="181" t="s">
        <v>131</v>
      </c>
      <c r="R4" s="181" t="s">
        <v>336</v>
      </c>
      <c r="S4" s="367" t="s">
        <v>143</v>
      </c>
    </row>
    <row r="5" spans="14:20" customFormat="1">
      <c r="N5" s="208" t="s">
        <v>154</v>
      </c>
      <c r="O5" s="98" t="s">
        <v>337</v>
      </c>
      <c r="P5" s="97" t="s">
        <v>136</v>
      </c>
      <c r="Q5" s="97" t="s">
        <v>132</v>
      </c>
      <c r="R5" s="97" t="s">
        <v>221</v>
      </c>
      <c r="S5" s="97">
        <f>SUMIFS('Normalized Units'!I:I,'Normalized Units'!B:B,"Normalized Billing Units",'Normalized Units'!C:C,N$1,'Normalized Units'!F:F,P5,'Normalized Units'!G:G,Q5,'Normalized Units'!H:H,R5)</f>
        <v>508.93495414173873</v>
      </c>
    </row>
    <row r="6" spans="14:20" customFormat="1">
      <c r="N6" s="184" t="s">
        <v>154</v>
      </c>
      <c r="O6" s="57" t="s">
        <v>337</v>
      </c>
      <c r="P6" s="55" t="s">
        <v>136</v>
      </c>
      <c r="Q6" s="55" t="s">
        <v>132</v>
      </c>
      <c r="R6" s="55" t="s">
        <v>131</v>
      </c>
      <c r="S6" s="55">
        <f>SUMIFS('Normalized Units'!I:I,'Normalized Units'!B:B,"Normalized Billing Units",'Normalized Units'!C:C,N$1,'Normalized Units'!F:F,P6,'Normalized Units'!G:G,Q6,'Normalized Units'!H:H,R6)</f>
        <v>495.84657534246583</v>
      </c>
    </row>
    <row r="7" spans="14:20" customFormat="1">
      <c r="N7" s="184" t="s">
        <v>154</v>
      </c>
      <c r="O7" s="57" t="s">
        <v>337</v>
      </c>
      <c r="P7" s="55" t="s">
        <v>137</v>
      </c>
      <c r="Q7" s="55" t="s">
        <v>140</v>
      </c>
      <c r="R7" s="55" t="s">
        <v>221</v>
      </c>
      <c r="S7" s="55">
        <f>SUMIFS('Normalized Units'!I:I,'Normalized Units'!B:B,"Normalized Billing Units",'Normalized Units'!C:C,N$1,'Normalized Units'!F:F,P7,'Normalized Units'!G:G,Q7,'Normalized Units'!H:H,R7)</f>
        <v>983.23536988517992</v>
      </c>
    </row>
    <row r="8" spans="14:20" customFormat="1">
      <c r="N8" s="184" t="s">
        <v>154</v>
      </c>
      <c r="O8" s="57" t="s">
        <v>337</v>
      </c>
      <c r="P8" s="55" t="s">
        <v>137</v>
      </c>
      <c r="Q8" s="55" t="s">
        <v>140</v>
      </c>
      <c r="R8" s="55" t="s">
        <v>131</v>
      </c>
      <c r="S8" s="55">
        <f>SUMIFS('Normalized Units'!I:I,'Normalized Units'!B:B,"Normalized Billing Units",'Normalized Units'!C:C,N$1,'Normalized Units'!F:F,P8,'Normalized Units'!G:G,Q8,'Normalized Units'!H:H,R8)</f>
        <v>2698.3863013698633</v>
      </c>
    </row>
    <row r="9" spans="14:20" customFormat="1">
      <c r="N9" s="184" t="s">
        <v>154</v>
      </c>
      <c r="O9" s="57" t="s">
        <v>337</v>
      </c>
      <c r="P9" s="55" t="s">
        <v>137</v>
      </c>
      <c r="Q9" s="55" t="s">
        <v>220</v>
      </c>
      <c r="R9" s="55" t="s">
        <v>131</v>
      </c>
      <c r="S9" s="55">
        <f>SUMIFS('Normalized Units'!I:I,'Normalized Units'!B:B,"Normalized Billing Units",'Normalized Units'!C:C,N$1,'Normalized Units'!F:F,P9,'Normalized Units'!G:G,Q9,'Normalized Units'!H:H,R9)</f>
        <v>441.46027397260241</v>
      </c>
    </row>
    <row r="10" spans="14:20" customFormat="1">
      <c r="N10" s="184" t="s">
        <v>154</v>
      </c>
      <c r="O10" s="57" t="s">
        <v>337</v>
      </c>
      <c r="P10" s="55" t="s">
        <v>137</v>
      </c>
      <c r="Q10" s="55" t="s">
        <v>141</v>
      </c>
      <c r="R10" s="55" t="s">
        <v>131</v>
      </c>
      <c r="S10" s="55">
        <f>SUMIFS('Normalized Units'!I:I,'Normalized Units'!B:B,"Normalized Billing Units",'Normalized Units'!C:C,N$1,'Normalized Units'!F:F,P10,'Normalized Units'!G:G,Q10,'Normalized Units'!H:H,R10)</f>
        <v>12.999999999999996</v>
      </c>
    </row>
    <row r="11" spans="14:20" customFormat="1">
      <c r="N11" s="184" t="s">
        <v>154</v>
      </c>
      <c r="O11" s="57" t="s">
        <v>337</v>
      </c>
      <c r="P11" s="55" t="s">
        <v>137</v>
      </c>
      <c r="Q11" s="55" t="s">
        <v>220</v>
      </c>
      <c r="R11" s="55" t="s">
        <v>217</v>
      </c>
      <c r="S11" s="55">
        <f>SUMIFS('Normalized Units'!I:I,'Normalized Units'!B:B,"Normalized Billing Units",'Normalized Units'!C:C,N$1,'Normalized Units'!F:F,P11,'Normalized Units'!G:G,Q11,'Normalized Units'!H:H,R11)</f>
        <v>42806.539309357671</v>
      </c>
    </row>
    <row r="12" spans="14:20" customFormat="1">
      <c r="N12" s="184" t="s">
        <v>154</v>
      </c>
      <c r="O12" s="57" t="s">
        <v>337</v>
      </c>
      <c r="P12" s="55" t="s">
        <v>137</v>
      </c>
      <c r="Q12" s="55" t="s">
        <v>141</v>
      </c>
      <c r="R12" s="55" t="s">
        <v>217</v>
      </c>
      <c r="S12" s="55">
        <f>SUMIFS('Normalized Units'!I:I,'Normalized Units'!B:B,"Normalized Billing Units",'Normalized Units'!C:C,N$1,'Normalized Units'!F:F,P12,'Normalized Units'!G:G,Q12,'Normalized Units'!H:H,R12)</f>
        <v>5726.0005996812115</v>
      </c>
    </row>
    <row r="13" spans="14:20" customFormat="1">
      <c r="N13" s="184" t="s">
        <v>154</v>
      </c>
      <c r="O13" s="57" t="s">
        <v>337</v>
      </c>
      <c r="P13" s="55" t="s">
        <v>132</v>
      </c>
      <c r="Q13" s="55" t="s">
        <v>140</v>
      </c>
      <c r="R13" s="55" t="s">
        <v>217</v>
      </c>
      <c r="S13" s="55">
        <f>SUMIFS('Normalized Units'!I:I,'Normalized Units'!B:B,"Normalized Billing Units",'Normalized Units'!C:C,N$1,'Normalized Units'!F:F,P13,'Normalized Units'!G:G,Q13,'Normalized Units'!H:H,R13)</f>
        <v>55806.423731300492</v>
      </c>
    </row>
    <row r="14" spans="14:20" customFormat="1">
      <c r="N14" s="184" t="s">
        <v>154</v>
      </c>
      <c r="O14" s="57" t="s">
        <v>337</v>
      </c>
      <c r="P14" s="55" t="s">
        <v>132</v>
      </c>
      <c r="Q14" s="55" t="s">
        <v>132</v>
      </c>
      <c r="R14" s="55" t="s">
        <v>4</v>
      </c>
      <c r="S14" s="55">
        <f>SUMIFS('Normalized Units'!I:I,'Normalized Units'!B:B,"Normalized Billing Units",'Normalized Units'!C:C,N$1,'Normalized Units'!F:F,P14,'Normalized Units'!G:G,Q14,'Normalized Units'!H:H,R14)</f>
        <v>163418487.16573825</v>
      </c>
      <c r="T14" s="395"/>
    </row>
    <row r="15" spans="14:20" customFormat="1">
      <c r="N15" s="184" t="s">
        <v>154</v>
      </c>
      <c r="O15" s="57" t="s">
        <v>337</v>
      </c>
      <c r="P15" s="55" t="s">
        <v>132</v>
      </c>
      <c r="Q15" s="55" t="s">
        <v>132</v>
      </c>
      <c r="R15" s="55" t="s">
        <v>138</v>
      </c>
      <c r="S15" s="55">
        <f>SUMIFS('Normalized Units'!I:I,'Normalized Units'!B:B,"Normalized Billing Units",'Normalized Units'!C:C,N$1,'Normalized Units'!F:F,P15,'Normalized Units'!G:G,Q15,'Normalized Units'!H:H,R15)</f>
        <v>70608.913793103449</v>
      </c>
    </row>
    <row r="16" spans="14:20" customFormat="1">
      <c r="N16" s="184" t="s">
        <v>154</v>
      </c>
      <c r="O16" s="57" t="s">
        <v>337</v>
      </c>
      <c r="P16" s="55" t="s">
        <v>132</v>
      </c>
      <c r="Q16" s="55" t="s">
        <v>132</v>
      </c>
      <c r="R16" s="122" t="s">
        <v>303</v>
      </c>
      <c r="S16" s="55">
        <f>SUMIFS('Normalized Units'!I:I,'Normalized Units'!B:B,"Normalized Billing Units",'Normalized Units'!C:C,N$1,'Normalized Units'!F:F,P16,'Normalized Units'!G:G,Q16,'Normalized Units'!H:H,R16)</f>
        <v>22840</v>
      </c>
    </row>
    <row r="17" spans="1:20">
      <c r="A17"/>
      <c r="B17"/>
      <c r="C17"/>
      <c r="D17"/>
      <c r="E17"/>
      <c r="N17" s="184" t="s">
        <v>154</v>
      </c>
      <c r="O17" s="57" t="s">
        <v>337</v>
      </c>
      <c r="P17" s="55" t="s">
        <v>132</v>
      </c>
      <c r="Q17" s="55" t="s">
        <v>132</v>
      </c>
      <c r="R17" s="122" t="s">
        <v>294</v>
      </c>
      <c r="S17" s="55">
        <f>SUMIFS('Normalized Units'!I:I,'Normalized Units'!B:B,"Normalized Billing Units",'Normalized Units'!C:C,N$1,'Normalized Units'!F:F,P17,'Normalized Units'!G:G,Q17,'Normalized Units'!H:H,R17)</f>
        <v>853.73333333333335</v>
      </c>
    </row>
    <row r="18" spans="1:20">
      <c r="A18"/>
      <c r="B18"/>
      <c r="C18"/>
      <c r="D18"/>
      <c r="E18"/>
      <c r="N18" s="209" t="s">
        <v>154</v>
      </c>
      <c r="O18" s="103" t="s">
        <v>337</v>
      </c>
      <c r="P18" s="105" t="s">
        <v>132</v>
      </c>
      <c r="Q18" s="105" t="s">
        <v>132</v>
      </c>
      <c r="R18" s="212" t="s">
        <v>304</v>
      </c>
      <c r="S18" s="105">
        <f>SUMIFS('Normalized Units'!I:I,'Normalized Units'!B:B,"Normalized Billing Units",'Normalized Units'!C:C,N$1,'Normalized Units'!F:F,P18,'Normalized Units'!G:G,Q18,'Normalized Units'!H:H,R18)</f>
        <v>12.166666666666668</v>
      </c>
    </row>
    <row r="19" spans="1:20" s="93" customFormat="1">
      <c r="N19" s="98" t="s">
        <v>341</v>
      </c>
      <c r="O19" s="98" t="s">
        <v>338</v>
      </c>
      <c r="P19" s="97" t="s">
        <v>136</v>
      </c>
      <c r="Q19" s="97" t="s">
        <v>132</v>
      </c>
      <c r="R19" s="97" t="s">
        <v>221</v>
      </c>
      <c r="S19" s="269">
        <v>94.74</v>
      </c>
      <c r="T19" s="350"/>
    </row>
    <row r="20" spans="1:20" s="93" customFormat="1">
      <c r="N20" s="57" t="s">
        <v>341</v>
      </c>
      <c r="O20" s="57" t="s">
        <v>338</v>
      </c>
      <c r="P20" s="55" t="s">
        <v>136</v>
      </c>
      <c r="Q20" s="55" t="s">
        <v>132</v>
      </c>
      <c r="R20" s="55" t="s">
        <v>131</v>
      </c>
      <c r="S20" s="270">
        <v>0</v>
      </c>
      <c r="T20"/>
    </row>
    <row r="21" spans="1:20" s="93" customFormat="1">
      <c r="N21" s="57" t="s">
        <v>341</v>
      </c>
      <c r="O21" s="57" t="s">
        <v>338</v>
      </c>
      <c r="P21" s="55" t="s">
        <v>137</v>
      </c>
      <c r="Q21" s="55" t="s">
        <v>140</v>
      </c>
      <c r="R21" s="55" t="s">
        <v>221</v>
      </c>
      <c r="S21" s="270">
        <v>189.48</v>
      </c>
      <c r="T21" s="350"/>
    </row>
    <row r="22" spans="1:20" s="93" customFormat="1">
      <c r="N22" s="57" t="s">
        <v>341</v>
      </c>
      <c r="O22" s="57" t="s">
        <v>338</v>
      </c>
      <c r="P22" s="55" t="s">
        <v>137</v>
      </c>
      <c r="Q22" s="55" t="s">
        <v>140</v>
      </c>
      <c r="R22" s="55" t="s">
        <v>131</v>
      </c>
      <c r="S22" s="270">
        <v>0</v>
      </c>
      <c r="T22"/>
    </row>
    <row r="23" spans="1:20" s="93" customFormat="1">
      <c r="N23" s="57" t="s">
        <v>341</v>
      </c>
      <c r="O23" s="57" t="s">
        <v>338</v>
      </c>
      <c r="P23" s="55" t="s">
        <v>137</v>
      </c>
      <c r="Q23" s="55" t="s">
        <v>220</v>
      </c>
      <c r="R23" s="55" t="s">
        <v>131</v>
      </c>
      <c r="S23" s="270">
        <v>449</v>
      </c>
      <c r="T23"/>
    </row>
    <row r="24" spans="1:20" s="93" customFormat="1">
      <c r="A24" s="115"/>
      <c r="N24" s="57" t="s">
        <v>341</v>
      </c>
      <c r="O24" s="57" t="s">
        <v>338</v>
      </c>
      <c r="P24" s="55" t="s">
        <v>137</v>
      </c>
      <c r="Q24" s="55" t="s">
        <v>141</v>
      </c>
      <c r="R24" s="55" t="s">
        <v>131</v>
      </c>
      <c r="S24" s="270">
        <v>1825</v>
      </c>
      <c r="T24"/>
    </row>
    <row r="25" spans="1:20" s="93" customFormat="1">
      <c r="D25" s="96"/>
      <c r="N25" s="57" t="s">
        <v>341</v>
      </c>
      <c r="O25" s="57" t="s">
        <v>338</v>
      </c>
      <c r="P25" s="55" t="s">
        <v>137</v>
      </c>
      <c r="Q25" s="55" t="s">
        <v>220</v>
      </c>
      <c r="R25" s="55" t="s">
        <v>217</v>
      </c>
      <c r="S25" s="270">
        <v>21.97</v>
      </c>
      <c r="T25"/>
    </row>
    <row r="26" spans="1:20" s="93" customFormat="1">
      <c r="N26" s="57" t="s">
        <v>341</v>
      </c>
      <c r="O26" s="57" t="s">
        <v>338</v>
      </c>
      <c r="P26" s="55" t="s">
        <v>137</v>
      </c>
      <c r="Q26" s="55" t="s">
        <v>141</v>
      </c>
      <c r="R26" s="55" t="s">
        <v>217</v>
      </c>
      <c r="S26" s="270">
        <v>17.18</v>
      </c>
      <c r="T26"/>
    </row>
    <row r="27" spans="1:20" s="93" customFormat="1">
      <c r="N27" s="57" t="s">
        <v>341</v>
      </c>
      <c r="O27" s="57" t="s">
        <v>338</v>
      </c>
      <c r="P27" s="55" t="s">
        <v>132</v>
      </c>
      <c r="Q27" s="55" t="s">
        <v>140</v>
      </c>
      <c r="R27" s="55" t="s">
        <v>217</v>
      </c>
      <c r="S27" s="270">
        <v>31.58</v>
      </c>
      <c r="T27"/>
    </row>
    <row r="28" spans="1:20" s="93" customFormat="1">
      <c r="N28" s="57" t="s">
        <v>341</v>
      </c>
      <c r="O28" s="57" t="s">
        <v>338</v>
      </c>
      <c r="P28" s="55" t="s">
        <v>132</v>
      </c>
      <c r="Q28" s="55" t="s">
        <v>132</v>
      </c>
      <c r="R28" s="55" t="s">
        <v>4</v>
      </c>
      <c r="S28" s="270">
        <v>7.8969999999999999E-2</v>
      </c>
      <c r="T28"/>
    </row>
    <row r="29" spans="1:20" s="93" customFormat="1">
      <c r="N29" s="57" t="s">
        <v>341</v>
      </c>
      <c r="O29" s="57" t="s">
        <v>338</v>
      </c>
      <c r="P29" s="55" t="s">
        <v>132</v>
      </c>
      <c r="Q29" s="55" t="s">
        <v>132</v>
      </c>
      <c r="R29" s="55" t="s">
        <v>138</v>
      </c>
      <c r="S29" s="270">
        <v>0.57999999999999996</v>
      </c>
      <c r="T29"/>
    </row>
    <row r="30" spans="1:20" s="93" customFormat="1">
      <c r="N30" s="57" t="s">
        <v>341</v>
      </c>
      <c r="O30" s="57" t="s">
        <v>338</v>
      </c>
      <c r="P30" s="55" t="s">
        <v>132</v>
      </c>
      <c r="Q30" s="55" t="s">
        <v>132</v>
      </c>
      <c r="R30" s="122" t="s">
        <v>303</v>
      </c>
      <c r="S30" s="270">
        <v>-0.01</v>
      </c>
      <c r="T30"/>
    </row>
    <row r="31" spans="1:20" s="93" customFormat="1">
      <c r="N31" s="57" t="s">
        <v>341</v>
      </c>
      <c r="O31" s="57" t="s">
        <v>338</v>
      </c>
      <c r="P31" s="55" t="s">
        <v>132</v>
      </c>
      <c r="Q31" s="55" t="s">
        <v>132</v>
      </c>
      <c r="R31" s="122" t="s">
        <v>294</v>
      </c>
      <c r="S31" s="270">
        <v>-0.3</v>
      </c>
      <c r="T31"/>
    </row>
    <row r="32" spans="1:20" s="93" customFormat="1">
      <c r="N32" s="103" t="s">
        <v>341</v>
      </c>
      <c r="O32" s="103" t="s">
        <v>338</v>
      </c>
      <c r="P32" s="105" t="s">
        <v>132</v>
      </c>
      <c r="Q32" s="105" t="s">
        <v>132</v>
      </c>
      <c r="R32" s="212" t="s">
        <v>304</v>
      </c>
      <c r="S32" s="271">
        <v>60</v>
      </c>
      <c r="T32"/>
    </row>
    <row r="33" spans="1:20" s="93" customFormat="1">
      <c r="N33" s="98" t="s">
        <v>341</v>
      </c>
      <c r="O33" s="98" t="s">
        <v>19</v>
      </c>
      <c r="P33" s="99" t="s">
        <v>136</v>
      </c>
      <c r="Q33" s="99" t="s">
        <v>132</v>
      </c>
      <c r="R33" s="99" t="s">
        <v>221</v>
      </c>
      <c r="S33" s="167">
        <f t="shared" ref="S33:S46" si="0">S5*S19</f>
        <v>48216.497555388327</v>
      </c>
    </row>
    <row r="34" spans="1:20" s="93" customFormat="1">
      <c r="N34" s="57" t="s">
        <v>341</v>
      </c>
      <c r="O34" s="57" t="s">
        <v>19</v>
      </c>
      <c r="P34" s="101" t="s">
        <v>136</v>
      </c>
      <c r="Q34" s="101" t="s">
        <v>132</v>
      </c>
      <c r="R34" s="101" t="s">
        <v>131</v>
      </c>
      <c r="S34" s="164">
        <f t="shared" si="0"/>
        <v>0</v>
      </c>
    </row>
    <row r="35" spans="1:20" s="93" customFormat="1">
      <c r="N35" s="57" t="s">
        <v>341</v>
      </c>
      <c r="O35" s="57" t="s">
        <v>19</v>
      </c>
      <c r="P35" s="101" t="s">
        <v>137</v>
      </c>
      <c r="Q35" s="101" t="s">
        <v>140</v>
      </c>
      <c r="R35" s="101" t="s">
        <v>221</v>
      </c>
      <c r="S35" s="164">
        <f t="shared" si="0"/>
        <v>186303.43788584389</v>
      </c>
    </row>
    <row r="36" spans="1:20" s="93" customFormat="1">
      <c r="N36" s="57" t="s">
        <v>341</v>
      </c>
      <c r="O36" s="57" t="s">
        <v>19</v>
      </c>
      <c r="P36" s="101" t="s">
        <v>137</v>
      </c>
      <c r="Q36" s="101" t="s">
        <v>140</v>
      </c>
      <c r="R36" s="101" t="s">
        <v>131</v>
      </c>
      <c r="S36" s="164">
        <f t="shared" si="0"/>
        <v>0</v>
      </c>
    </row>
    <row r="37" spans="1:20" s="93" customFormat="1">
      <c r="N37" s="57" t="s">
        <v>341</v>
      </c>
      <c r="O37" s="57" t="s">
        <v>19</v>
      </c>
      <c r="P37" s="101" t="s">
        <v>137</v>
      </c>
      <c r="Q37" s="101" t="s">
        <v>220</v>
      </c>
      <c r="R37" s="101" t="s">
        <v>131</v>
      </c>
      <c r="S37" s="164">
        <f t="shared" si="0"/>
        <v>198215.66301369847</v>
      </c>
    </row>
    <row r="38" spans="1:20" s="93" customFormat="1">
      <c r="N38" s="57" t="s">
        <v>341</v>
      </c>
      <c r="O38" s="57" t="s">
        <v>19</v>
      </c>
      <c r="P38" s="101" t="s">
        <v>137</v>
      </c>
      <c r="Q38" s="101" t="s">
        <v>141</v>
      </c>
      <c r="R38" s="101" t="s">
        <v>131</v>
      </c>
      <c r="S38" s="164">
        <f t="shared" si="0"/>
        <v>23724.999999999993</v>
      </c>
    </row>
    <row r="39" spans="1:20" s="93" customFormat="1">
      <c r="N39" s="57" t="s">
        <v>341</v>
      </c>
      <c r="O39" s="57" t="s">
        <v>19</v>
      </c>
      <c r="P39" s="101" t="s">
        <v>137</v>
      </c>
      <c r="Q39" s="101" t="s">
        <v>220</v>
      </c>
      <c r="R39" s="101" t="s">
        <v>217</v>
      </c>
      <c r="S39" s="164">
        <f t="shared" si="0"/>
        <v>940459.66862658795</v>
      </c>
    </row>
    <row r="40" spans="1:20" s="93" customFormat="1">
      <c r="N40" s="57" t="s">
        <v>341</v>
      </c>
      <c r="O40" s="57" t="s">
        <v>19</v>
      </c>
      <c r="P40" s="101" t="s">
        <v>137</v>
      </c>
      <c r="Q40" s="101" t="s">
        <v>141</v>
      </c>
      <c r="R40" s="101" t="s">
        <v>217</v>
      </c>
      <c r="S40" s="164">
        <f t="shared" si="0"/>
        <v>98372.690302523217</v>
      </c>
    </row>
    <row r="41" spans="1:20" s="93" customFormat="1">
      <c r="N41" s="57" t="s">
        <v>341</v>
      </c>
      <c r="O41" s="57" t="s">
        <v>19</v>
      </c>
      <c r="P41" s="101" t="s">
        <v>132</v>
      </c>
      <c r="Q41" s="101" t="s">
        <v>140</v>
      </c>
      <c r="R41" s="101" t="s">
        <v>217</v>
      </c>
      <c r="S41" s="164">
        <f t="shared" si="0"/>
        <v>1762366.8614344695</v>
      </c>
    </row>
    <row r="42" spans="1:20" s="93" customFormat="1">
      <c r="N42" s="57" t="s">
        <v>341</v>
      </c>
      <c r="O42" s="57" t="s">
        <v>19</v>
      </c>
      <c r="P42" s="101" t="s">
        <v>132</v>
      </c>
      <c r="Q42" s="101" t="s">
        <v>132</v>
      </c>
      <c r="R42" s="101" t="s">
        <v>4</v>
      </c>
      <c r="S42" s="164">
        <f t="shared" si="0"/>
        <v>12905157.931478349</v>
      </c>
    </row>
    <row r="43" spans="1:20" s="93" customFormat="1">
      <c r="A43" s="218" t="s">
        <v>89</v>
      </c>
      <c r="B43" s="262"/>
      <c r="C43" s="352"/>
      <c r="D43" s="352"/>
      <c r="E43" s="352"/>
      <c r="F43" s="327"/>
      <c r="G43" s="327"/>
      <c r="H43" s="327"/>
      <c r="I43" s="287"/>
      <c r="J43" s="327"/>
      <c r="K43" s="327"/>
      <c r="L43" s="327"/>
      <c r="M43" s="287"/>
      <c r="N43" s="57" t="s">
        <v>341</v>
      </c>
      <c r="O43" s="57" t="s">
        <v>19</v>
      </c>
      <c r="P43" s="101" t="s">
        <v>132</v>
      </c>
      <c r="Q43" s="101" t="s">
        <v>132</v>
      </c>
      <c r="R43" s="101" t="s">
        <v>138</v>
      </c>
      <c r="S43" s="164">
        <f t="shared" si="0"/>
        <v>40953.17</v>
      </c>
    </row>
    <row r="44" spans="1:20" s="93" customFormat="1">
      <c r="A44" s="219" t="s">
        <v>420</v>
      </c>
      <c r="B44" s="261"/>
      <c r="C44" s="353"/>
      <c r="D44" s="353"/>
      <c r="E44" s="353"/>
      <c r="F44" s="288"/>
      <c r="G44" s="288"/>
      <c r="H44" s="288"/>
      <c r="I44" s="343"/>
      <c r="J44" s="288"/>
      <c r="K44" s="288"/>
      <c r="L44" s="288"/>
      <c r="M44" s="343"/>
      <c r="N44" s="57" t="s">
        <v>341</v>
      </c>
      <c r="O44" s="57" t="s">
        <v>19</v>
      </c>
      <c r="P44" s="101" t="s">
        <v>132</v>
      </c>
      <c r="Q44" s="101" t="s">
        <v>132</v>
      </c>
      <c r="R44" s="122" t="s">
        <v>303</v>
      </c>
      <c r="S44" s="164">
        <f t="shared" si="0"/>
        <v>-228.4</v>
      </c>
    </row>
    <row r="45" spans="1:20" s="93" customFormat="1">
      <c r="A45" s="219" t="s">
        <v>442</v>
      </c>
      <c r="B45" s="261"/>
      <c r="C45" s="353"/>
      <c r="D45" s="353"/>
      <c r="E45" s="353"/>
      <c r="F45" s="331"/>
      <c r="G45" s="331"/>
      <c r="H45" s="331"/>
      <c r="I45" s="341"/>
      <c r="J45" s="331"/>
      <c r="K45" s="331"/>
      <c r="L45" s="331"/>
      <c r="M45" s="341"/>
      <c r="N45" s="57" t="s">
        <v>341</v>
      </c>
      <c r="O45" s="57" t="s">
        <v>19</v>
      </c>
      <c r="P45" s="101" t="s">
        <v>132</v>
      </c>
      <c r="Q45" s="101" t="s">
        <v>132</v>
      </c>
      <c r="R45" s="122" t="s">
        <v>294</v>
      </c>
      <c r="S45" s="164">
        <f t="shared" si="0"/>
        <v>-256.12</v>
      </c>
    </row>
    <row r="46" spans="1:20" s="93" customFormat="1">
      <c r="A46" s="214"/>
      <c r="B46" s="214"/>
      <c r="C46" s="214"/>
      <c r="D46" s="214"/>
      <c r="E46" s="214"/>
      <c r="F46" s="286" t="s">
        <v>554</v>
      </c>
      <c r="G46" s="286"/>
      <c r="H46" s="286"/>
      <c r="I46" s="465"/>
      <c r="J46" s="286"/>
      <c r="K46" s="286"/>
      <c r="L46" s="286"/>
      <c r="M46" s="465"/>
      <c r="N46" s="57" t="s">
        <v>341</v>
      </c>
      <c r="O46" s="57" t="s">
        <v>19</v>
      </c>
      <c r="P46" s="101" t="s">
        <v>132</v>
      </c>
      <c r="Q46" s="101" t="s">
        <v>132</v>
      </c>
      <c r="R46" s="122" t="s">
        <v>304</v>
      </c>
      <c r="S46" s="164">
        <f t="shared" si="0"/>
        <v>730.00000000000011</v>
      </c>
    </row>
    <row r="47" spans="1:20" s="93" customFormat="1">
      <c r="A47" s="426"/>
      <c r="B47" s="249"/>
      <c r="C47" s="385" t="s">
        <v>424</v>
      </c>
      <c r="D47" s="385" t="s">
        <v>4</v>
      </c>
      <c r="E47" s="337"/>
      <c r="F47" s="351" t="s">
        <v>435</v>
      </c>
      <c r="G47" s="351"/>
      <c r="H47" s="327"/>
      <c r="I47" s="376"/>
      <c r="J47" s="351" t="s">
        <v>437</v>
      </c>
      <c r="K47" s="351"/>
      <c r="L47" s="327"/>
      <c r="M47" s="376"/>
      <c r="N47" s="103" t="s">
        <v>341</v>
      </c>
      <c r="O47" s="103" t="s">
        <v>19</v>
      </c>
      <c r="P47" s="105" t="s">
        <v>132</v>
      </c>
      <c r="Q47" s="105" t="s">
        <v>132</v>
      </c>
      <c r="R47" s="163" t="s">
        <v>105</v>
      </c>
      <c r="S47" s="165">
        <f>Unbilled!E11</f>
        <v>-1729000</v>
      </c>
      <c r="T47"/>
    </row>
    <row r="48" spans="1:20">
      <c r="A48" s="385"/>
      <c r="B48" s="332" t="s">
        <v>424</v>
      </c>
      <c r="C48" s="385" t="s">
        <v>461</v>
      </c>
      <c r="D48" s="337" t="s">
        <v>464</v>
      </c>
      <c r="E48" s="385"/>
      <c r="F48" s="546"/>
      <c r="G48" s="334"/>
      <c r="H48" s="334"/>
      <c r="I48" s="167" t="s">
        <v>428</v>
      </c>
      <c r="J48" s="546"/>
      <c r="K48" s="334"/>
      <c r="L48" s="334"/>
      <c r="M48" s="167" t="s">
        <v>428</v>
      </c>
      <c r="N48" s="255" t="s">
        <v>470</v>
      </c>
      <c r="O48" s="210" t="s">
        <v>19</v>
      </c>
      <c r="P48" s="97" t="s">
        <v>132</v>
      </c>
      <c r="Q48" s="166" t="s">
        <v>132</v>
      </c>
      <c r="R48" s="166" t="s">
        <v>132</v>
      </c>
      <c r="S48" s="166">
        <f ca="1">'Cost of Service and Proposed $'!Q123</f>
        <v>371462.39910356782</v>
      </c>
    </row>
    <row r="49" spans="1:27">
      <c r="A49" s="388" t="s">
        <v>130</v>
      </c>
      <c r="B49" s="390" t="s">
        <v>461</v>
      </c>
      <c r="C49" s="339" t="s">
        <v>139</v>
      </c>
      <c r="D49" s="339" t="s">
        <v>139</v>
      </c>
      <c r="E49" s="339" t="s">
        <v>4</v>
      </c>
      <c r="F49" s="310" t="s">
        <v>341</v>
      </c>
      <c r="G49" s="230" t="s">
        <v>346</v>
      </c>
      <c r="H49" s="165" t="s">
        <v>348</v>
      </c>
      <c r="I49" s="165" t="s">
        <v>348</v>
      </c>
      <c r="J49" s="310" t="s">
        <v>341</v>
      </c>
      <c r="K49" s="230" t="s">
        <v>346</v>
      </c>
      <c r="L49" s="165" t="s">
        <v>348</v>
      </c>
      <c r="M49" s="165" t="s">
        <v>348</v>
      </c>
      <c r="N49" s="273" t="s">
        <v>471</v>
      </c>
      <c r="O49" s="47" t="s">
        <v>19</v>
      </c>
      <c r="P49" s="55" t="s">
        <v>132</v>
      </c>
      <c r="Q49" s="162" t="s">
        <v>132</v>
      </c>
      <c r="R49" s="162" t="s">
        <v>132</v>
      </c>
      <c r="S49" s="162">
        <f ca="1">'Cost of Service and Proposed $'!Q124</f>
        <v>6400415.3955017999</v>
      </c>
    </row>
    <row r="50" spans="1:27">
      <c r="A50" s="174" t="s">
        <v>136</v>
      </c>
      <c r="B50" s="174" t="s">
        <v>140</v>
      </c>
      <c r="C50" s="335">
        <v>10</v>
      </c>
      <c r="D50" s="174">
        <v>1000</v>
      </c>
      <c r="E50" s="221">
        <f>C50*D50</f>
        <v>10000</v>
      </c>
      <c r="F50" s="214">
        <f t="shared" ref="F50:F67" si="1">IF(A50="Single",MAX(S$27*C50,S$19),MAX(SUMIFS(S$23:S$24,Q$23:Q$24,B50)+SUMIFS(S$25:S$27,Q$25:Q$27,B50)*C50,S$21))+S$28*E50</f>
        <v>1105.5</v>
      </c>
      <c r="G50" s="214">
        <f t="shared" ref="G50:G67" ca="1" si="2">IF(A50="Single",MAX(S$68*C50,S$60),MAX(SUMIFS(S$64:S$65,Q$64:Q$65,B50)+SUMIFS(S$66:S$68,Q$66:Q$68,B50)*C50,S$62))+S$69*E50</f>
        <v>1127.3</v>
      </c>
      <c r="H50" s="214">
        <f ca="1">G50-F50</f>
        <v>21.799999999999955</v>
      </c>
      <c r="I50" s="448">
        <f ca="1">H50/F50*100</f>
        <v>1.9719583898688335</v>
      </c>
      <c r="J50" s="266">
        <f t="shared" ref="J50:J67" ca="1" si="3">IF(A50="Single",MAX(S$68*C50,S$60),MAX(SUMIFS(S$64:S$65,Q$64:Q$65,B50)+SUMIFS(S$66:S$68,Q$66:Q$68,B50)*C50,S$62))+S$69*E50</f>
        <v>1127.3</v>
      </c>
      <c r="K50" s="214">
        <f t="shared" ref="K50:K67" ca="1" si="4">IF(A50="Single",MAX(S$109*C50,S$101),MAX(SUMIFS(S$105:S$106,Q$105:Q$106,B50)+SUMIFS(S$107:S$109,Q$107:Q$109,B50)*C50,S$103))+S$110*E50</f>
        <v>1125.8000000000002</v>
      </c>
      <c r="L50" s="214">
        <f ca="1">K50-J50</f>
        <v>-1.4999999999997726</v>
      </c>
      <c r="M50" s="448">
        <f ca="1">L50/J50*100</f>
        <v>-0.133061296904087</v>
      </c>
      <c r="N50" s="273" t="s">
        <v>472</v>
      </c>
      <c r="O50" s="47" t="s">
        <v>19</v>
      </c>
      <c r="P50" s="55" t="s">
        <v>132</v>
      </c>
      <c r="Q50" s="162" t="s">
        <v>132</v>
      </c>
      <c r="R50" s="162" t="s">
        <v>132</v>
      </c>
      <c r="S50" s="162">
        <f ca="1">'Cost of Service and Proposed $'!Q125</f>
        <v>1513149.1358614492</v>
      </c>
    </row>
    <row r="51" spans="1:27">
      <c r="A51" s="174" t="s">
        <v>136</v>
      </c>
      <c r="B51" s="174" t="s">
        <v>140</v>
      </c>
      <c r="C51" s="335">
        <v>10</v>
      </c>
      <c r="D51" s="94">
        <v>2000</v>
      </c>
      <c r="E51" s="221">
        <f t="shared" ref="E51:E67" si="5">C51*D51</f>
        <v>20000</v>
      </c>
      <c r="F51" s="94">
        <f t="shared" si="1"/>
        <v>1895.1999999999998</v>
      </c>
      <c r="G51" s="94">
        <f t="shared" ca="1" si="2"/>
        <v>1896.6999999999998</v>
      </c>
      <c r="H51" s="94">
        <f t="shared" ref="H51:H67" ca="1" si="6">G51-F51</f>
        <v>1.5</v>
      </c>
      <c r="I51" s="444">
        <f t="shared" ref="I51:I67" ca="1" si="7">H51/F51*100</f>
        <v>7.9147319544111444E-2</v>
      </c>
      <c r="J51" s="221">
        <f t="shared" ca="1" si="3"/>
        <v>1896.6999999999998</v>
      </c>
      <c r="K51" s="94">
        <f t="shared" ca="1" si="4"/>
        <v>1866.4</v>
      </c>
      <c r="L51" s="94">
        <f t="shared" ref="L51:L67" ca="1" si="8">K51-J51</f>
        <v>-30.299999999999727</v>
      </c>
      <c r="M51" s="444">
        <f t="shared" ref="M51:M67" ca="1" si="9">L51/J51*100</f>
        <v>-1.5975114672852706</v>
      </c>
      <c r="N51" s="256" t="s">
        <v>473</v>
      </c>
      <c r="O51" s="211" t="s">
        <v>19</v>
      </c>
      <c r="P51" s="105" t="s">
        <v>132</v>
      </c>
      <c r="Q51" s="163" t="s">
        <v>132</v>
      </c>
      <c r="R51" s="163" t="s">
        <v>132</v>
      </c>
      <c r="S51" s="163">
        <f ca="1">'Cost of Service and Proposed $'!Q126</f>
        <v>7495686.2856178116</v>
      </c>
    </row>
    <row r="52" spans="1:27">
      <c r="A52" s="174" t="s">
        <v>136</v>
      </c>
      <c r="B52" s="174" t="s">
        <v>140</v>
      </c>
      <c r="C52" s="335">
        <v>10</v>
      </c>
      <c r="D52" s="94">
        <v>3000</v>
      </c>
      <c r="E52" s="221">
        <f t="shared" si="5"/>
        <v>30000</v>
      </c>
      <c r="F52" s="94">
        <f t="shared" si="1"/>
        <v>2684.8999999999996</v>
      </c>
      <c r="G52" s="94">
        <f t="shared" ca="1" si="2"/>
        <v>2666.1</v>
      </c>
      <c r="H52" s="94">
        <f t="shared" ca="1" si="6"/>
        <v>-18.799999999999727</v>
      </c>
      <c r="I52" s="444">
        <f t="shared" ca="1" si="7"/>
        <v>-0.70021229840961408</v>
      </c>
      <c r="J52" s="221">
        <f t="shared" ca="1" si="3"/>
        <v>2666.1</v>
      </c>
      <c r="K52" s="94">
        <f t="shared" ca="1" si="4"/>
        <v>2607</v>
      </c>
      <c r="L52" s="94">
        <f t="shared" ca="1" si="8"/>
        <v>-59.099999999999909</v>
      </c>
      <c r="M52" s="444">
        <f t="shared" ca="1" si="9"/>
        <v>-2.2167210532238064</v>
      </c>
      <c r="N52" s="338" t="s">
        <v>468</v>
      </c>
      <c r="O52" s="210" t="s">
        <v>19</v>
      </c>
      <c r="P52" s="97" t="s">
        <v>132</v>
      </c>
      <c r="Q52" s="166" t="s">
        <v>132</v>
      </c>
      <c r="R52" s="166" t="s">
        <v>131</v>
      </c>
      <c r="S52" s="166">
        <f t="shared" ref="S52:S59" ca="1" si="10">(T52*(U52-V52)+V52*100)/100</f>
        <v>257002.08019794113</v>
      </c>
      <c r="T52" s="449">
        <v>10</v>
      </c>
      <c r="U52" s="93">
        <f ca="1">S48*(1-SUM(U55:U59)/SUM(S48:S51))</f>
        <v>411191.57547832199</v>
      </c>
      <c r="V52" s="93">
        <f ca="1">SUMIFS(S$33:S$42,R$33:R$42,R52)/SUM(S$33:S$42)*(SUM(S$48:S$51)-SUM(V$55:V$59))</f>
        <v>239869.91405567661</v>
      </c>
      <c r="W52" s="93"/>
      <c r="X52" s="93"/>
      <c r="Y52" s="93"/>
      <c r="Z52" s="93"/>
    </row>
    <row r="53" spans="1:27">
      <c r="A53" s="174" t="s">
        <v>137</v>
      </c>
      <c r="B53" s="174" t="s">
        <v>140</v>
      </c>
      <c r="C53" s="335">
        <v>20</v>
      </c>
      <c r="D53" s="174">
        <v>1000</v>
      </c>
      <c r="E53" s="221">
        <f t="shared" si="5"/>
        <v>20000</v>
      </c>
      <c r="F53" s="94">
        <f t="shared" si="1"/>
        <v>2211</v>
      </c>
      <c r="G53" s="94">
        <f t="shared" ca="1" si="2"/>
        <v>2254.6</v>
      </c>
      <c r="H53" s="94">
        <f t="shared" ca="1" si="6"/>
        <v>43.599999999999909</v>
      </c>
      <c r="I53" s="444">
        <f t="shared" ca="1" si="7"/>
        <v>1.9719583898688335</v>
      </c>
      <c r="J53" s="221">
        <f t="shared" ca="1" si="3"/>
        <v>2254.6</v>
      </c>
      <c r="K53" s="94">
        <f t="shared" ca="1" si="4"/>
        <v>2251.6000000000004</v>
      </c>
      <c r="L53" s="94">
        <f t="shared" ca="1" si="8"/>
        <v>-2.9999999999995453</v>
      </c>
      <c r="M53" s="444">
        <f t="shared" ca="1" si="9"/>
        <v>-0.133061296904087</v>
      </c>
      <c r="N53" s="337" t="s">
        <v>468</v>
      </c>
      <c r="O53" s="47" t="s">
        <v>19</v>
      </c>
      <c r="P53" s="55" t="s">
        <v>132</v>
      </c>
      <c r="Q53" s="162" t="s">
        <v>132</v>
      </c>
      <c r="R53" s="162" t="s">
        <v>217</v>
      </c>
      <c r="S53" s="162">
        <f t="shared" ca="1" si="10"/>
        <v>3828855.7173804771</v>
      </c>
      <c r="T53" s="183">
        <f>$T$52</f>
        <v>10</v>
      </c>
      <c r="U53" s="93">
        <f ca="1">(S49+S50)*(1-SUM(U55:U59)/SUM(S48:S51))</f>
        <v>8759947.373282792</v>
      </c>
      <c r="V53" s="93">
        <f ca="1">SUM(SUMIFS(S$33:S$42,R$33:R$42,R53),S33,S35)/SUM(S$33:S$42)*(SUM(S$48:S$51)-SUM(V$55:V$59))</f>
        <v>3280956.6445024423</v>
      </c>
      <c r="W53" s="93"/>
      <c r="X53" s="93"/>
      <c r="Y53" s="93"/>
      <c r="Z53" s="93"/>
    </row>
    <row r="54" spans="1:27">
      <c r="A54" s="174" t="s">
        <v>137</v>
      </c>
      <c r="B54" s="174" t="s">
        <v>140</v>
      </c>
      <c r="C54" s="335">
        <v>20</v>
      </c>
      <c r="D54" s="174">
        <v>2000</v>
      </c>
      <c r="E54" s="221">
        <f t="shared" si="5"/>
        <v>40000</v>
      </c>
      <c r="F54" s="94">
        <f t="shared" si="1"/>
        <v>3790.3999999999996</v>
      </c>
      <c r="G54" s="94">
        <f t="shared" ca="1" si="2"/>
        <v>3793.3999999999996</v>
      </c>
      <c r="H54" s="94">
        <f t="shared" ca="1" si="6"/>
        <v>3</v>
      </c>
      <c r="I54" s="444">
        <f t="shared" ca="1" si="7"/>
        <v>7.9147319544111444E-2</v>
      </c>
      <c r="J54" s="221">
        <f t="shared" ca="1" si="3"/>
        <v>3793.3999999999996</v>
      </c>
      <c r="K54" s="94">
        <f t="shared" ca="1" si="4"/>
        <v>3732.8</v>
      </c>
      <c r="L54" s="94">
        <f t="shared" ca="1" si="8"/>
        <v>-60.599999999999454</v>
      </c>
      <c r="M54" s="444">
        <f t="shared" ca="1" si="9"/>
        <v>-1.5975114672852706</v>
      </c>
      <c r="N54" s="337" t="s">
        <v>468</v>
      </c>
      <c r="O54" s="47" t="s">
        <v>19</v>
      </c>
      <c r="P54" s="55" t="s">
        <v>132</v>
      </c>
      <c r="Q54" s="162" t="s">
        <v>132</v>
      </c>
      <c r="R54" s="162" t="s">
        <v>4</v>
      </c>
      <c r="S54" s="162">
        <f t="shared" ca="1" si="10"/>
        <v>13382656.768506212</v>
      </c>
      <c r="T54" s="183">
        <f t="shared" ref="T54:T59" si="11">$T$52</f>
        <v>10</v>
      </c>
      <c r="U54" s="96">
        <f ca="1">S51*(1-SUM(U55:U59)/SUM(S48:S51))</f>
        <v>8297375.6173235131</v>
      </c>
      <c r="V54" s="96">
        <f ca="1">SUMIFS(S$33:S$42,R$33:R$42,R54)/SUM(S$33:S$42)*(SUM(S$48:S$51)-SUM(V$55:V$59))</f>
        <v>13947688.007526511</v>
      </c>
      <c r="W54" s="96"/>
      <c r="X54" s="96"/>
      <c r="Y54" s="96"/>
      <c r="Z54" s="96"/>
    </row>
    <row r="55" spans="1:27">
      <c r="A55" s="174" t="s">
        <v>137</v>
      </c>
      <c r="B55" s="174" t="s">
        <v>140</v>
      </c>
      <c r="C55" s="335">
        <v>20</v>
      </c>
      <c r="D55" s="174">
        <v>3000</v>
      </c>
      <c r="E55" s="221">
        <f t="shared" si="5"/>
        <v>60000</v>
      </c>
      <c r="F55" s="94">
        <f t="shared" si="1"/>
        <v>5369.7999999999993</v>
      </c>
      <c r="G55" s="94">
        <f t="shared" ca="1" si="2"/>
        <v>5332.2</v>
      </c>
      <c r="H55" s="94">
        <f t="shared" ca="1" si="6"/>
        <v>-37.599999999999454</v>
      </c>
      <c r="I55" s="444">
        <f t="shared" ca="1" si="7"/>
        <v>-0.70021229840961408</v>
      </c>
      <c r="J55" s="221">
        <f t="shared" ca="1" si="3"/>
        <v>5332.2</v>
      </c>
      <c r="K55" s="94">
        <f t="shared" ca="1" si="4"/>
        <v>5214</v>
      </c>
      <c r="L55" s="94">
        <f t="shared" ca="1" si="8"/>
        <v>-118.19999999999982</v>
      </c>
      <c r="M55" s="444">
        <f t="shared" ca="1" si="9"/>
        <v>-2.2167210532238064</v>
      </c>
      <c r="N55" s="337" t="s">
        <v>468</v>
      </c>
      <c r="O55" s="47" t="s">
        <v>19</v>
      </c>
      <c r="P55" s="55" t="s">
        <v>132</v>
      </c>
      <c r="Q55" s="162" t="s">
        <v>132</v>
      </c>
      <c r="R55" s="101" t="s">
        <v>138</v>
      </c>
      <c r="S55" s="162">
        <f t="shared" si="10"/>
        <v>40953.17</v>
      </c>
      <c r="T55" s="183">
        <f t="shared" si="11"/>
        <v>10</v>
      </c>
      <c r="U55" s="96">
        <f>S43</f>
        <v>40953.17</v>
      </c>
      <c r="V55" s="1">
        <f>S43</f>
        <v>40953.17</v>
      </c>
      <c r="W55" s="96"/>
      <c r="X55" s="96"/>
      <c r="Y55" s="96"/>
      <c r="Z55" s="96"/>
    </row>
    <row r="56" spans="1:27">
      <c r="A56" s="174" t="s">
        <v>137</v>
      </c>
      <c r="B56" s="174" t="s">
        <v>220</v>
      </c>
      <c r="C56" s="335">
        <v>100</v>
      </c>
      <c r="D56" s="174">
        <v>1000</v>
      </c>
      <c r="E56" s="221">
        <f t="shared" si="5"/>
        <v>100000</v>
      </c>
      <c r="F56" s="94">
        <f t="shared" si="1"/>
        <v>10543</v>
      </c>
      <c r="G56" s="94">
        <f t="shared" ca="1" si="2"/>
        <v>11003.48</v>
      </c>
      <c r="H56" s="94">
        <f t="shared" ca="1" si="6"/>
        <v>460.47999999999956</v>
      </c>
      <c r="I56" s="444">
        <f t="shared" ca="1" si="7"/>
        <v>4.367637294887599</v>
      </c>
      <c r="J56" s="221">
        <f t="shared" ca="1" si="3"/>
        <v>11003.48</v>
      </c>
      <c r="K56" s="94">
        <f t="shared" ca="1" si="4"/>
        <v>11364.08</v>
      </c>
      <c r="L56" s="94">
        <f t="shared" ca="1" si="8"/>
        <v>360.60000000000036</v>
      </c>
      <c r="M56" s="444">
        <f t="shared" ca="1" si="9"/>
        <v>3.2771450486573372</v>
      </c>
      <c r="N56" s="337" t="s">
        <v>468</v>
      </c>
      <c r="O56" s="47" t="s">
        <v>19</v>
      </c>
      <c r="P56" s="55" t="s">
        <v>132</v>
      </c>
      <c r="Q56" s="162" t="s">
        <v>132</v>
      </c>
      <c r="R56" s="122" t="s">
        <v>303</v>
      </c>
      <c r="S56" s="162">
        <f t="shared" si="10"/>
        <v>-228.4</v>
      </c>
      <c r="T56" s="183">
        <f t="shared" si="11"/>
        <v>10</v>
      </c>
      <c r="U56" s="96">
        <f>S44</f>
        <v>-228.4</v>
      </c>
      <c r="V56" s="1">
        <f>S44</f>
        <v>-228.4</v>
      </c>
      <c r="W56" s="96"/>
      <c r="X56" s="96"/>
      <c r="Y56" s="96"/>
      <c r="Z56" s="96"/>
    </row>
    <row r="57" spans="1:27">
      <c r="A57" s="174" t="s">
        <v>137</v>
      </c>
      <c r="B57" s="174" t="s">
        <v>220</v>
      </c>
      <c r="C57" s="335">
        <v>100</v>
      </c>
      <c r="D57" s="174">
        <v>2000</v>
      </c>
      <c r="E57" s="221">
        <f t="shared" si="5"/>
        <v>200000</v>
      </c>
      <c r="F57" s="94">
        <f t="shared" si="1"/>
        <v>18440</v>
      </c>
      <c r="G57" s="94">
        <f t="shared" ca="1" si="2"/>
        <v>18697.48</v>
      </c>
      <c r="H57" s="94">
        <f t="shared" ca="1" si="6"/>
        <v>257.47999999999956</v>
      </c>
      <c r="I57" s="444">
        <f t="shared" ca="1" si="7"/>
        <v>1.3963123644251603</v>
      </c>
      <c r="J57" s="221">
        <f t="shared" ca="1" si="3"/>
        <v>18697.48</v>
      </c>
      <c r="K57" s="94">
        <f t="shared" ca="1" si="4"/>
        <v>18770.080000000002</v>
      </c>
      <c r="L57" s="94">
        <f t="shared" ca="1" si="8"/>
        <v>72.600000000002183</v>
      </c>
      <c r="M57" s="444">
        <f t="shared" ca="1" si="9"/>
        <v>0.38828761950809515</v>
      </c>
      <c r="N57" s="337" t="s">
        <v>468</v>
      </c>
      <c r="O57" s="47" t="s">
        <v>19</v>
      </c>
      <c r="P57" s="55" t="s">
        <v>132</v>
      </c>
      <c r="Q57" s="162" t="s">
        <v>132</v>
      </c>
      <c r="R57" s="122" t="s">
        <v>294</v>
      </c>
      <c r="S57" s="162">
        <f t="shared" si="10"/>
        <v>-256.12</v>
      </c>
      <c r="T57" s="183">
        <f t="shared" si="11"/>
        <v>10</v>
      </c>
      <c r="U57" s="96">
        <f>S45</f>
        <v>-256.12</v>
      </c>
      <c r="V57" s="1">
        <f>S45</f>
        <v>-256.12</v>
      </c>
      <c r="W57" s="96"/>
      <c r="X57" s="96"/>
      <c r="Y57" s="96"/>
      <c r="Z57" s="96"/>
    </row>
    <row r="58" spans="1:27">
      <c r="A58" s="174" t="s">
        <v>137</v>
      </c>
      <c r="B58" s="174" t="s">
        <v>220</v>
      </c>
      <c r="C58" s="335">
        <v>100</v>
      </c>
      <c r="D58" s="174">
        <v>3000</v>
      </c>
      <c r="E58" s="221">
        <f t="shared" si="5"/>
        <v>300000</v>
      </c>
      <c r="F58" s="94">
        <f t="shared" si="1"/>
        <v>26337</v>
      </c>
      <c r="G58" s="94">
        <f t="shared" ca="1" si="2"/>
        <v>26391.48</v>
      </c>
      <c r="H58" s="94">
        <f t="shared" ca="1" si="6"/>
        <v>54.479999999999563</v>
      </c>
      <c r="I58" s="444">
        <f t="shared" ca="1" si="7"/>
        <v>0.20685727303792978</v>
      </c>
      <c r="J58" s="221">
        <f t="shared" ca="1" si="3"/>
        <v>26391.48</v>
      </c>
      <c r="K58" s="94">
        <f t="shared" ca="1" si="4"/>
        <v>26176.080000000002</v>
      </c>
      <c r="L58" s="94">
        <f t="shared" ca="1" si="8"/>
        <v>-215.39999999999782</v>
      </c>
      <c r="M58" s="444">
        <f t="shared" ca="1" si="9"/>
        <v>-0.81617249203151088</v>
      </c>
      <c r="N58" s="337" t="s">
        <v>468</v>
      </c>
      <c r="O58" s="47" t="s">
        <v>19</v>
      </c>
      <c r="P58" s="55" t="s">
        <v>132</v>
      </c>
      <c r="Q58" s="162" t="s">
        <v>132</v>
      </c>
      <c r="R58" s="122" t="s">
        <v>304</v>
      </c>
      <c r="S58" s="162">
        <f t="shared" si="10"/>
        <v>730.00000000000011</v>
      </c>
      <c r="T58" s="183">
        <f t="shared" si="11"/>
        <v>10</v>
      </c>
      <c r="U58" s="96">
        <f>S46</f>
        <v>730.00000000000011</v>
      </c>
      <c r="V58" s="1">
        <f>S46</f>
        <v>730.00000000000011</v>
      </c>
      <c r="W58" s="96"/>
      <c r="X58" s="96"/>
      <c r="Y58" s="96"/>
      <c r="Z58" s="96"/>
    </row>
    <row r="59" spans="1:27">
      <c r="A59" s="174" t="s">
        <v>137</v>
      </c>
      <c r="B59" s="174" t="s">
        <v>220</v>
      </c>
      <c r="C59" s="335">
        <v>250</v>
      </c>
      <c r="D59" s="174">
        <v>1000</v>
      </c>
      <c r="E59" s="221">
        <f t="shared" si="5"/>
        <v>250000</v>
      </c>
      <c r="F59" s="94">
        <f t="shared" si="1"/>
        <v>25684</v>
      </c>
      <c r="G59" s="94">
        <f t="shared" ca="1" si="2"/>
        <v>26775.98</v>
      </c>
      <c r="H59" s="94">
        <f t="shared" ca="1" si="6"/>
        <v>1091.9799999999996</v>
      </c>
      <c r="I59" s="444">
        <f t="shared" ca="1" si="7"/>
        <v>4.2515963245600359</v>
      </c>
      <c r="J59" s="221">
        <f t="shared" ca="1" si="3"/>
        <v>26775.98</v>
      </c>
      <c r="K59" s="94">
        <f t="shared" ca="1" si="4"/>
        <v>27633.08</v>
      </c>
      <c r="L59" s="94">
        <f t="shared" ca="1" si="8"/>
        <v>857.10000000000218</v>
      </c>
      <c r="M59" s="444">
        <f t="shared" ca="1" si="9"/>
        <v>3.2010032872746472</v>
      </c>
      <c r="N59" s="339" t="s">
        <v>468</v>
      </c>
      <c r="O59" s="211" t="s">
        <v>19</v>
      </c>
      <c r="P59" s="105" t="s">
        <v>132</v>
      </c>
      <c r="Q59" s="163" t="s">
        <v>132</v>
      </c>
      <c r="R59" s="163" t="s">
        <v>105</v>
      </c>
      <c r="S59" s="163">
        <f t="shared" si="10"/>
        <v>-1729000</v>
      </c>
      <c r="T59" s="183">
        <f t="shared" si="11"/>
        <v>10</v>
      </c>
      <c r="U59" s="96">
        <f>S47</f>
        <v>-1729000</v>
      </c>
      <c r="V59" s="1">
        <f>S47</f>
        <v>-1729000</v>
      </c>
      <c r="W59" s="96"/>
      <c r="X59" s="96"/>
      <c r="Y59" s="96"/>
      <c r="Z59" s="96"/>
    </row>
    <row r="60" spans="1:27">
      <c r="A60" s="174" t="s">
        <v>137</v>
      </c>
      <c r="B60" s="174" t="s">
        <v>220</v>
      </c>
      <c r="C60" s="335">
        <v>250</v>
      </c>
      <c r="D60" s="174">
        <v>2000</v>
      </c>
      <c r="E60" s="221">
        <f t="shared" si="5"/>
        <v>500000</v>
      </c>
      <c r="F60" s="94">
        <f t="shared" si="1"/>
        <v>45426.5</v>
      </c>
      <c r="G60" s="94">
        <f t="shared" ca="1" si="2"/>
        <v>46010.979999999996</v>
      </c>
      <c r="H60" s="94">
        <f t="shared" ca="1" si="6"/>
        <v>584.47999999999593</v>
      </c>
      <c r="I60" s="444">
        <f t="shared" ca="1" si="7"/>
        <v>1.2866498629654408</v>
      </c>
      <c r="J60" s="221">
        <f t="shared" ca="1" si="3"/>
        <v>46010.979999999996</v>
      </c>
      <c r="K60" s="94">
        <f t="shared" ca="1" si="4"/>
        <v>46148.08</v>
      </c>
      <c r="L60" s="94">
        <f t="shared" ca="1" si="8"/>
        <v>137.10000000000582</v>
      </c>
      <c r="M60" s="444">
        <f t="shared" ca="1" si="9"/>
        <v>0.29797235355562052</v>
      </c>
      <c r="N60" s="166" t="s">
        <v>439</v>
      </c>
      <c r="O60" s="98" t="s">
        <v>338</v>
      </c>
      <c r="P60" s="97" t="s">
        <v>136</v>
      </c>
      <c r="Q60" s="97" t="s">
        <v>132</v>
      </c>
      <c r="R60" s="97" t="s">
        <v>221</v>
      </c>
      <c r="S60" s="269">
        <f ca="1">ROUND(T60/100*W60*X60/Y60/Z60,U60)*AA60</f>
        <v>107.37</v>
      </c>
      <c r="T60" s="213">
        <f>100+Summary!$P$13</f>
        <v>93.95</v>
      </c>
      <c r="U60" s="96">
        <v>2</v>
      </c>
      <c r="V60" s="224">
        <f ca="1">W60*X60/Y60/Z60*AA60</f>
        <v>114.28816432969322</v>
      </c>
      <c r="W60" s="96">
        <f ca="1">SUMIFS(S$52:S$59,R$52:R$59,R68)</f>
        <v>3828855.7173804771</v>
      </c>
      <c r="X60" s="96">
        <f>SUMIFS(S$33:S$47,P$33:P$47,P68,Q$33:Q$47,Q68,R$33:R$47,R68)</f>
        <v>1762366.8614344695</v>
      </c>
      <c r="Y60" s="96">
        <f>SUMIFS(S$33:S$47,R$33:R$47,R68)</f>
        <v>2801199.2203635806</v>
      </c>
      <c r="Z60" s="96">
        <f>S$5*AA60+S$7*AA62+S$13*AA68</f>
        <v>63232.640813036785</v>
      </c>
      <c r="AA60" s="96">
        <v>3</v>
      </c>
    </row>
    <row r="61" spans="1:27">
      <c r="A61" s="174" t="s">
        <v>137</v>
      </c>
      <c r="B61" s="174" t="s">
        <v>220</v>
      </c>
      <c r="C61" s="335">
        <v>250</v>
      </c>
      <c r="D61" s="174">
        <v>3000</v>
      </c>
      <c r="E61" s="221">
        <f t="shared" si="5"/>
        <v>750000</v>
      </c>
      <c r="F61" s="94">
        <f t="shared" si="1"/>
        <v>65169</v>
      </c>
      <c r="G61" s="94">
        <f t="shared" ca="1" si="2"/>
        <v>65245.979999999996</v>
      </c>
      <c r="H61" s="94">
        <f t="shared" ca="1" si="6"/>
        <v>76.979999999995925</v>
      </c>
      <c r="I61" s="444">
        <f t="shared" ca="1" si="7"/>
        <v>0.11812364774662173</v>
      </c>
      <c r="J61" s="221">
        <f t="shared" ca="1" si="3"/>
        <v>65245.979999999996</v>
      </c>
      <c r="K61" s="94">
        <f t="shared" ca="1" si="4"/>
        <v>64663.08</v>
      </c>
      <c r="L61" s="94">
        <f t="shared" ca="1" si="8"/>
        <v>-582.89999999999418</v>
      </c>
      <c r="M61" s="444">
        <f t="shared" ca="1" si="9"/>
        <v>-0.89338837427224516</v>
      </c>
      <c r="N61" s="162" t="s">
        <v>439</v>
      </c>
      <c r="O61" s="57" t="s">
        <v>338</v>
      </c>
      <c r="P61" s="55" t="s">
        <v>136</v>
      </c>
      <c r="Q61" s="55" t="s">
        <v>132</v>
      </c>
      <c r="R61" s="55" t="s">
        <v>131</v>
      </c>
      <c r="S61" s="270">
        <f t="shared" ref="S61:S73" ca="1" si="12">ROUND(T61/100*W61*X61/Y61/Z61,U61)*AA61</f>
        <v>0</v>
      </c>
      <c r="T61" s="213">
        <f>100+Summary!$P$13</f>
        <v>93.95</v>
      </c>
      <c r="U61" s="96">
        <v>2</v>
      </c>
      <c r="V61" s="224">
        <f t="shared" ref="V61:V73" ca="1" si="13">W61*X61/Y61/Z61*AA61</f>
        <v>0</v>
      </c>
      <c r="W61" s="96">
        <f ca="1">SUMIFS(S$52:S$59,R$52:R$59,R61)</f>
        <v>257002.08019794113</v>
      </c>
      <c r="X61" s="96">
        <f>SUMIFS(S$33:S$47,P$33:P$47,P61,Q$33:Q$47,Q61,R$33:R$47,R61)</f>
        <v>0</v>
      </c>
      <c r="Y61" s="96">
        <f>SUMIFS(S$33:S$47,R$33:R$47,R61)</f>
        <v>221940.66301369847</v>
      </c>
      <c r="Z61" s="96">
        <f>SUMIFS(S$5:S$18,P$5:P$18,P61,Q$5:Q$18,Q61,R$5:R$18,R61)</f>
        <v>495.84657534246583</v>
      </c>
      <c r="AA61" s="96">
        <v>1</v>
      </c>
    </row>
    <row r="62" spans="1:27">
      <c r="A62" s="174" t="s">
        <v>137</v>
      </c>
      <c r="B62" s="174" t="s">
        <v>141</v>
      </c>
      <c r="C62" s="335">
        <v>400</v>
      </c>
      <c r="D62" s="174">
        <v>1000</v>
      </c>
      <c r="E62" s="221">
        <f t="shared" si="5"/>
        <v>400000</v>
      </c>
      <c r="F62" s="94">
        <f t="shared" si="1"/>
        <v>40285</v>
      </c>
      <c r="G62" s="94">
        <f t="shared" ca="1" si="2"/>
        <v>41585.449999999997</v>
      </c>
      <c r="H62" s="94">
        <f t="shared" ca="1" si="6"/>
        <v>1300.4499999999971</v>
      </c>
      <c r="I62" s="444">
        <f t="shared" ca="1" si="7"/>
        <v>3.2281246121385063</v>
      </c>
      <c r="J62" s="221">
        <f t="shared" ca="1" si="3"/>
        <v>41585.449999999997</v>
      </c>
      <c r="K62" s="94">
        <f t="shared" ca="1" si="4"/>
        <v>42489.75</v>
      </c>
      <c r="L62" s="94">
        <f t="shared" ca="1" si="8"/>
        <v>904.30000000000291</v>
      </c>
      <c r="M62" s="444">
        <f t="shared" ca="1" si="9"/>
        <v>2.1745586497200415</v>
      </c>
      <c r="N62" s="162" t="s">
        <v>439</v>
      </c>
      <c r="O62" s="57" t="s">
        <v>338</v>
      </c>
      <c r="P62" s="55" t="s">
        <v>137</v>
      </c>
      <c r="Q62" s="55" t="s">
        <v>140</v>
      </c>
      <c r="R62" s="55" t="s">
        <v>221</v>
      </c>
      <c r="S62" s="270">
        <f t="shared" ca="1" si="12"/>
        <v>214.74</v>
      </c>
      <c r="T62" s="213">
        <f>100+Summary!$P$13</f>
        <v>93.95</v>
      </c>
      <c r="U62" s="96">
        <v>2</v>
      </c>
      <c r="V62" s="224">
        <f t="shared" ca="1" si="13"/>
        <v>228.57632865938643</v>
      </c>
      <c r="W62" s="96">
        <f ca="1">SUMIFS(S$52:S$59,R$52:R$59,R68)</f>
        <v>3828855.7173804771</v>
      </c>
      <c r="X62" s="96">
        <f>SUMIFS(S$33:S$47,P$33:P$47,P68,Q$33:Q$47,Q68,R$33:R$47,R68)</f>
        <v>1762366.8614344695</v>
      </c>
      <c r="Y62" s="96">
        <f>SUMIFS(S$33:S$47,R$33:R$47,R68)</f>
        <v>2801199.2203635806</v>
      </c>
      <c r="Z62" s="96">
        <f>S$5*AA60+S$7*AA62+S$13*AA68</f>
        <v>63232.640813036785</v>
      </c>
      <c r="AA62" s="96">
        <v>6</v>
      </c>
    </row>
    <row r="63" spans="1:27">
      <c r="A63" s="174" t="s">
        <v>137</v>
      </c>
      <c r="B63" s="174" t="s">
        <v>141</v>
      </c>
      <c r="C63" s="335">
        <v>400</v>
      </c>
      <c r="D63" s="174">
        <v>2000</v>
      </c>
      <c r="E63" s="221">
        <f t="shared" si="5"/>
        <v>800000</v>
      </c>
      <c r="F63" s="94">
        <f t="shared" si="1"/>
        <v>71873</v>
      </c>
      <c r="G63" s="94">
        <f t="shared" ca="1" si="2"/>
        <v>72361.45</v>
      </c>
      <c r="H63" s="94">
        <f t="shared" ca="1" si="6"/>
        <v>488.44999999999709</v>
      </c>
      <c r="I63" s="444">
        <f t="shared" ca="1" si="7"/>
        <v>0.67960151934662127</v>
      </c>
      <c r="J63" s="221">
        <f t="shared" ca="1" si="3"/>
        <v>72361.45</v>
      </c>
      <c r="K63" s="94">
        <f t="shared" ca="1" si="4"/>
        <v>72113.75</v>
      </c>
      <c r="L63" s="94">
        <f t="shared" ca="1" si="8"/>
        <v>-247.69999999999709</v>
      </c>
      <c r="M63" s="444">
        <f t="shared" ca="1" si="9"/>
        <v>-0.34230933736125668</v>
      </c>
      <c r="N63" s="162" t="s">
        <v>439</v>
      </c>
      <c r="O63" s="57" t="s">
        <v>338</v>
      </c>
      <c r="P63" s="55" t="s">
        <v>137</v>
      </c>
      <c r="Q63" s="55" t="s">
        <v>140</v>
      </c>
      <c r="R63" s="55" t="s">
        <v>131</v>
      </c>
      <c r="S63" s="270">
        <f t="shared" ca="1" si="12"/>
        <v>0</v>
      </c>
      <c r="T63" s="213">
        <f>100+Summary!$P$13</f>
        <v>93.95</v>
      </c>
      <c r="U63" s="96">
        <v>2</v>
      </c>
      <c r="V63" s="224">
        <f t="shared" ca="1" si="13"/>
        <v>0</v>
      </c>
      <c r="W63" s="96">
        <f t="shared" ref="W63:W73" ca="1" si="14">SUMIFS(S$52:S$59,R$52:R$59,R63)</f>
        <v>257002.08019794113</v>
      </c>
      <c r="X63" s="96">
        <f t="shared" ref="X63:X68" si="15">SUMIFS(S$33:S$47,P$33:P$47,P63,Q$33:Q$47,Q63,R$33:R$47,R63)</f>
        <v>0</v>
      </c>
      <c r="Y63" s="96">
        <f t="shared" ref="Y63:Y68" si="16">SUMIFS(S$33:S$47,R$33:R$47,R63)</f>
        <v>221940.66301369847</v>
      </c>
      <c r="Z63" s="96">
        <f>SUMIFS(S$5:S$18,P$5:P$18,P63,Q$5:Q$18,Q63,R$5:R$18,R63)</f>
        <v>2698.3863013698633</v>
      </c>
      <c r="AA63" s="96">
        <v>1</v>
      </c>
    </row>
    <row r="64" spans="1:27">
      <c r="A64" s="174" t="s">
        <v>137</v>
      </c>
      <c r="B64" s="174" t="s">
        <v>141</v>
      </c>
      <c r="C64" s="335">
        <v>400</v>
      </c>
      <c r="D64" s="174">
        <v>3000</v>
      </c>
      <c r="E64" s="221">
        <f t="shared" si="5"/>
        <v>1200000</v>
      </c>
      <c r="F64" s="94">
        <f t="shared" si="1"/>
        <v>103461</v>
      </c>
      <c r="G64" s="94">
        <f t="shared" ca="1" si="2"/>
        <v>103137.45</v>
      </c>
      <c r="H64" s="94">
        <f t="shared" ca="1" si="6"/>
        <v>-323.55000000000291</v>
      </c>
      <c r="I64" s="444">
        <f t="shared" ca="1" si="7"/>
        <v>-0.31272653463624256</v>
      </c>
      <c r="J64" s="221">
        <f t="shared" ca="1" si="3"/>
        <v>103137.45</v>
      </c>
      <c r="K64" s="94">
        <f t="shared" ca="1" si="4"/>
        <v>101737.75</v>
      </c>
      <c r="L64" s="94">
        <f t="shared" ca="1" si="8"/>
        <v>-1399.6999999999971</v>
      </c>
      <c r="M64" s="444">
        <f t="shared" ca="1" si="9"/>
        <v>-1.3571210069669137</v>
      </c>
      <c r="N64" s="162" t="s">
        <v>439</v>
      </c>
      <c r="O64" s="57" t="s">
        <v>338</v>
      </c>
      <c r="P64" s="55" t="s">
        <v>137</v>
      </c>
      <c r="Q64" s="55" t="s">
        <v>220</v>
      </c>
      <c r="R64" s="55" t="s">
        <v>131</v>
      </c>
      <c r="S64" s="270">
        <f t="shared" ca="1" si="12"/>
        <v>488.48</v>
      </c>
      <c r="T64" s="213">
        <f>100+Summary!$P$13</f>
        <v>93.95</v>
      </c>
      <c r="U64" s="96">
        <v>2</v>
      </c>
      <c r="V64" s="224">
        <f t="shared" ca="1" si="13"/>
        <v>519.9314647526005</v>
      </c>
      <c r="W64" s="96">
        <f t="shared" ca="1" si="14"/>
        <v>257002.08019794113</v>
      </c>
      <c r="X64" s="96">
        <f t="shared" si="15"/>
        <v>198215.66301369847</v>
      </c>
      <c r="Y64" s="96">
        <f t="shared" si="16"/>
        <v>221940.66301369847</v>
      </c>
      <c r="Z64" s="96">
        <f>SUMIFS(S$5:S$18,P$5:P$18,P64,Q$5:Q$18,Q64,R$5:R$18,R64)</f>
        <v>441.46027397260241</v>
      </c>
      <c r="AA64" s="96">
        <v>1</v>
      </c>
    </row>
    <row r="65" spans="1:27">
      <c r="A65" s="174" t="s">
        <v>137</v>
      </c>
      <c r="B65" s="174" t="s">
        <v>141</v>
      </c>
      <c r="C65" s="335">
        <v>600</v>
      </c>
      <c r="D65" s="174">
        <v>1000</v>
      </c>
      <c r="E65" s="221">
        <f t="shared" si="5"/>
        <v>600000</v>
      </c>
      <c r="F65" s="94">
        <f t="shared" si="1"/>
        <v>59515</v>
      </c>
      <c r="G65" s="94">
        <f t="shared" ca="1" si="2"/>
        <v>61385.45</v>
      </c>
      <c r="H65" s="94">
        <f t="shared" ca="1" si="6"/>
        <v>1870.4499999999971</v>
      </c>
      <c r="I65" s="444">
        <f t="shared" ca="1" si="7"/>
        <v>3.1428211375283497</v>
      </c>
      <c r="J65" s="221">
        <f t="shared" ca="1" si="3"/>
        <v>61385.45</v>
      </c>
      <c r="K65" s="94">
        <f t="shared" ca="1" si="4"/>
        <v>62681.75</v>
      </c>
      <c r="L65" s="94">
        <f t="shared" ca="1" si="8"/>
        <v>1296.3000000000029</v>
      </c>
      <c r="M65" s="444">
        <f t="shared" ca="1" si="9"/>
        <v>2.1117382050632569</v>
      </c>
      <c r="N65" s="162" t="s">
        <v>439</v>
      </c>
      <c r="O65" s="57" t="s">
        <v>338</v>
      </c>
      <c r="P65" s="55" t="s">
        <v>137</v>
      </c>
      <c r="Q65" s="55" t="s">
        <v>141</v>
      </c>
      <c r="R65" s="55" t="s">
        <v>131</v>
      </c>
      <c r="S65" s="270">
        <f t="shared" ca="1" si="12"/>
        <v>1985.45</v>
      </c>
      <c r="T65" s="213">
        <f>100+Summary!$P$13</f>
        <v>93.95</v>
      </c>
      <c r="U65" s="96">
        <v>2</v>
      </c>
      <c r="V65" s="224">
        <f t="shared" ca="1" si="13"/>
        <v>2113.3071785601246</v>
      </c>
      <c r="W65" s="96">
        <f t="shared" ca="1" si="14"/>
        <v>257002.08019794113</v>
      </c>
      <c r="X65" s="96">
        <f t="shared" si="15"/>
        <v>23724.999999999993</v>
      </c>
      <c r="Y65" s="96">
        <f t="shared" si="16"/>
        <v>221940.66301369847</v>
      </c>
      <c r="Z65" s="96">
        <f>SUMIFS(S$5:S$18,P$5:P$18,P65,Q$5:Q$18,Q65,R$5:R$18,R65)</f>
        <v>12.999999999999996</v>
      </c>
      <c r="AA65" s="96">
        <v>1</v>
      </c>
    </row>
    <row r="66" spans="1:27">
      <c r="A66" s="174" t="s">
        <v>137</v>
      </c>
      <c r="B66" s="174" t="s">
        <v>141</v>
      </c>
      <c r="C66" s="335">
        <v>600</v>
      </c>
      <c r="D66" s="174">
        <v>2000</v>
      </c>
      <c r="E66" s="221">
        <f t="shared" si="5"/>
        <v>1200000</v>
      </c>
      <c r="F66" s="94">
        <f t="shared" si="1"/>
        <v>106897</v>
      </c>
      <c r="G66" s="94">
        <f t="shared" ca="1" si="2"/>
        <v>107549.45</v>
      </c>
      <c r="H66" s="94">
        <f t="shared" ca="1" si="6"/>
        <v>652.44999999999709</v>
      </c>
      <c r="I66" s="444">
        <f t="shared" ca="1" si="7"/>
        <v>0.61035389206432089</v>
      </c>
      <c r="J66" s="221">
        <f t="shared" ca="1" si="3"/>
        <v>107549.45</v>
      </c>
      <c r="K66" s="94">
        <f t="shared" ca="1" si="4"/>
        <v>107117.75</v>
      </c>
      <c r="L66" s="94">
        <f t="shared" ca="1" si="8"/>
        <v>-431.69999999999709</v>
      </c>
      <c r="M66" s="444">
        <f t="shared" ca="1" si="9"/>
        <v>-0.40139675284252702</v>
      </c>
      <c r="N66" s="162" t="s">
        <v>439</v>
      </c>
      <c r="O66" s="57" t="s">
        <v>338</v>
      </c>
      <c r="P66" s="55" t="s">
        <v>137</v>
      </c>
      <c r="Q66" s="55" t="s">
        <v>220</v>
      </c>
      <c r="R66" s="55" t="s">
        <v>217</v>
      </c>
      <c r="S66" s="270">
        <f t="shared" ca="1" si="12"/>
        <v>28.21</v>
      </c>
      <c r="T66" s="213">
        <f>100+Summary!$P$13</f>
        <v>93.95</v>
      </c>
      <c r="U66" s="96">
        <v>2</v>
      </c>
      <c r="V66" s="224">
        <f t="shared" ca="1" si="13"/>
        <v>30.0299812663559</v>
      </c>
      <c r="W66" s="96">
        <f t="shared" ca="1" si="14"/>
        <v>3828855.7173804771</v>
      </c>
      <c r="X66" s="96">
        <f t="shared" si="15"/>
        <v>940459.66862658795</v>
      </c>
      <c r="Y66" s="96">
        <f t="shared" si="16"/>
        <v>2801199.2203635806</v>
      </c>
      <c r="Z66" s="96">
        <f>SUMIFS(S$5:S$18,P$5:P$18,P66,Q$5:Q$18,Q66,R$5:R$18,R66)</f>
        <v>42806.539309357671</v>
      </c>
      <c r="AA66" s="96">
        <v>1</v>
      </c>
    </row>
    <row r="67" spans="1:27">
      <c r="A67" s="283" t="s">
        <v>137</v>
      </c>
      <c r="B67" s="283" t="s">
        <v>141</v>
      </c>
      <c r="C67" s="336">
        <v>600</v>
      </c>
      <c r="D67" s="283">
        <v>3000</v>
      </c>
      <c r="E67" s="267">
        <f t="shared" si="5"/>
        <v>1800000</v>
      </c>
      <c r="F67" s="95">
        <f t="shared" si="1"/>
        <v>154279</v>
      </c>
      <c r="G67" s="95">
        <f t="shared" ca="1" si="2"/>
        <v>153713.45000000001</v>
      </c>
      <c r="H67" s="95">
        <f t="shared" ca="1" si="6"/>
        <v>-565.54999999998836</v>
      </c>
      <c r="I67" s="445">
        <f t="shared" ca="1" si="7"/>
        <v>-0.36657613803562922</v>
      </c>
      <c r="J67" s="267">
        <f t="shared" ca="1" si="3"/>
        <v>153713.45000000001</v>
      </c>
      <c r="K67" s="95">
        <f t="shared" ca="1" si="4"/>
        <v>151553.75</v>
      </c>
      <c r="L67" s="95">
        <f t="shared" ca="1" si="8"/>
        <v>-2159.7000000000116</v>
      </c>
      <c r="M67" s="445">
        <f t="shared" ca="1" si="9"/>
        <v>-1.4050169324805417</v>
      </c>
      <c r="N67" s="162" t="s">
        <v>439</v>
      </c>
      <c r="O67" s="57" t="s">
        <v>338</v>
      </c>
      <c r="P67" s="55" t="s">
        <v>137</v>
      </c>
      <c r="Q67" s="55" t="s">
        <v>141</v>
      </c>
      <c r="R67" s="55" t="s">
        <v>217</v>
      </c>
      <c r="S67" s="270">
        <f t="shared" ca="1" si="12"/>
        <v>22.06</v>
      </c>
      <c r="T67" s="213">
        <f>100+Summary!$P$13</f>
        <v>93.95</v>
      </c>
      <c r="U67" s="96">
        <v>2</v>
      </c>
      <c r="V67" s="224">
        <f t="shared" ca="1" si="13"/>
        <v>23.482707244241894</v>
      </c>
      <c r="W67" s="96">
        <f t="shared" ca="1" si="14"/>
        <v>3828855.7173804771</v>
      </c>
      <c r="X67" s="96">
        <f t="shared" si="15"/>
        <v>98372.690302523217</v>
      </c>
      <c r="Y67" s="96">
        <f t="shared" si="16"/>
        <v>2801199.2203635806</v>
      </c>
      <c r="Z67" s="96">
        <f>SUMIFS(S$5:S$18,P$5:P$18,P67,Q$5:Q$18,Q67,R$5:R$18,R67)</f>
        <v>5726.0005996812115</v>
      </c>
      <c r="AA67" s="96">
        <v>1</v>
      </c>
    </row>
    <row r="68" spans="1:27">
      <c r="A68" s="372" t="s">
        <v>444</v>
      </c>
      <c r="B68" s="374"/>
      <c r="C68" s="374"/>
      <c r="D68" s="374"/>
      <c r="E68" s="374"/>
      <c r="F68" s="374"/>
      <c r="G68" s="374"/>
      <c r="H68" s="374"/>
      <c r="I68" s="375"/>
      <c r="J68" s="374"/>
      <c r="K68" s="374"/>
      <c r="L68" s="374"/>
      <c r="M68" s="375"/>
      <c r="N68" s="162" t="s">
        <v>439</v>
      </c>
      <c r="O68" s="57" t="s">
        <v>338</v>
      </c>
      <c r="P68" s="55" t="s">
        <v>132</v>
      </c>
      <c r="Q68" s="55" t="s">
        <v>140</v>
      </c>
      <c r="R68" s="55" t="s">
        <v>217</v>
      </c>
      <c r="S68" s="270">
        <f t="shared" ca="1" si="12"/>
        <v>35.79</v>
      </c>
      <c r="T68" s="213">
        <f>100+Summary!$P$13</f>
        <v>93.95</v>
      </c>
      <c r="U68" s="96">
        <v>2</v>
      </c>
      <c r="V68" s="224">
        <f ca="1">W68*X68/Y68/Z68*AA68</f>
        <v>38.096054776564408</v>
      </c>
      <c r="W68" s="96">
        <f t="shared" ca="1" si="14"/>
        <v>3828855.7173804771</v>
      </c>
      <c r="X68" s="96">
        <f t="shared" si="15"/>
        <v>1762366.8614344695</v>
      </c>
      <c r="Y68" s="96">
        <f t="shared" si="16"/>
        <v>2801199.2203635806</v>
      </c>
      <c r="Z68" s="96">
        <f>S$5*AA60+S$7*AA62+S$13*AA68</f>
        <v>63232.640813036785</v>
      </c>
      <c r="AA68" s="96">
        <v>1</v>
      </c>
    </row>
    <row r="69" spans="1:27">
      <c r="N69" s="162" t="s">
        <v>439</v>
      </c>
      <c r="O69" s="57" t="s">
        <v>338</v>
      </c>
      <c r="P69" s="55" t="s">
        <v>132</v>
      </c>
      <c r="Q69" s="55" t="s">
        <v>132</v>
      </c>
      <c r="R69" s="55" t="s">
        <v>4</v>
      </c>
      <c r="S69" s="270">
        <f t="shared" ca="1" si="12"/>
        <v>7.6939999999999995E-2</v>
      </c>
      <c r="T69" s="213">
        <f>100+Summary!$P$13</f>
        <v>93.95</v>
      </c>
      <c r="U69" s="96">
        <v>5</v>
      </c>
      <c r="V69" s="224">
        <f t="shared" ca="1" si="13"/>
        <v>8.1891938914680967E-2</v>
      </c>
      <c r="W69" s="96">
        <f t="shared" ca="1" si="14"/>
        <v>13382656.768506212</v>
      </c>
      <c r="X69" s="96">
        <v>1</v>
      </c>
      <c r="Y69" s="96">
        <v>1</v>
      </c>
      <c r="Z69" s="96">
        <f>SUMIFS(S$5:S$18,P$5:P$18,P69,Q$5:Q$18,Q69,R$5:R$18,R69)</f>
        <v>163418487.16573825</v>
      </c>
      <c r="AA69" s="96">
        <v>1</v>
      </c>
    </row>
    <row r="70" spans="1:27">
      <c r="N70" s="162" t="s">
        <v>439</v>
      </c>
      <c r="O70" s="57" t="s">
        <v>338</v>
      </c>
      <c r="P70" s="55" t="s">
        <v>132</v>
      </c>
      <c r="Q70" s="55" t="s">
        <v>132</v>
      </c>
      <c r="R70" s="55" t="s">
        <v>138</v>
      </c>
      <c r="S70" s="270">
        <f t="shared" si="12"/>
        <v>0.54</v>
      </c>
      <c r="T70" s="213">
        <f>100+Summary!$P$13</f>
        <v>93.95</v>
      </c>
      <c r="U70" s="96">
        <v>2</v>
      </c>
      <c r="V70" s="224">
        <f t="shared" si="13"/>
        <v>0.57999999999999996</v>
      </c>
      <c r="W70" s="96">
        <f t="shared" si="14"/>
        <v>40953.17</v>
      </c>
      <c r="X70" s="96">
        <v>1</v>
      </c>
      <c r="Y70" s="96">
        <v>1</v>
      </c>
      <c r="Z70" s="96">
        <f>SUMIFS(S$5:S$18,P$5:P$18,P70,Q$5:Q$18,Q70,R$5:R$18,R70)</f>
        <v>70608.913793103449</v>
      </c>
      <c r="AA70" s="96">
        <v>1</v>
      </c>
    </row>
    <row r="71" spans="1:27">
      <c r="N71" s="162" t="s">
        <v>439</v>
      </c>
      <c r="O71" s="57" t="s">
        <v>338</v>
      </c>
      <c r="P71" s="55" t="s">
        <v>132</v>
      </c>
      <c r="Q71" s="55" t="s">
        <v>132</v>
      </c>
      <c r="R71" s="122" t="s">
        <v>303</v>
      </c>
      <c r="S71" s="270">
        <f t="shared" si="12"/>
        <v>-0.01</v>
      </c>
      <c r="T71" s="511">
        <v>100</v>
      </c>
      <c r="U71" s="96">
        <v>2</v>
      </c>
      <c r="V71" s="224">
        <f t="shared" si="13"/>
        <v>-0.01</v>
      </c>
      <c r="W71" s="96">
        <f t="shared" si="14"/>
        <v>-228.4</v>
      </c>
      <c r="X71" s="96">
        <v>1</v>
      </c>
      <c r="Y71" s="96">
        <v>1</v>
      </c>
      <c r="Z71" s="96">
        <f>SUMIFS(S$5:S$18,P$5:P$18,P71,Q$5:Q$18,Q71,R$5:R$18,R71)</f>
        <v>22840</v>
      </c>
      <c r="AA71" s="96">
        <v>1</v>
      </c>
    </row>
    <row r="72" spans="1:27">
      <c r="N72" s="162" t="s">
        <v>439</v>
      </c>
      <c r="O72" s="57" t="s">
        <v>338</v>
      </c>
      <c r="P72" s="55" t="s">
        <v>132</v>
      </c>
      <c r="Q72" s="55" t="s">
        <v>132</v>
      </c>
      <c r="R72" s="122" t="s">
        <v>294</v>
      </c>
      <c r="S72" s="270">
        <f t="shared" si="12"/>
        <v>-0.3</v>
      </c>
      <c r="T72" s="511">
        <v>100</v>
      </c>
      <c r="U72" s="96">
        <v>2</v>
      </c>
      <c r="V72" s="224">
        <f t="shared" si="13"/>
        <v>-0.3</v>
      </c>
      <c r="W72" s="96">
        <f t="shared" si="14"/>
        <v>-256.12</v>
      </c>
      <c r="X72" s="96">
        <v>1</v>
      </c>
      <c r="Y72" s="96">
        <v>1</v>
      </c>
      <c r="Z72" s="96">
        <f>SUMIFS(S$5:S$18,P$5:P$18,P72,Q$5:Q$18,Q72,R$5:R$18,R72)</f>
        <v>853.73333333333335</v>
      </c>
      <c r="AA72" s="96">
        <v>1</v>
      </c>
    </row>
    <row r="73" spans="1:27">
      <c r="N73" s="163" t="s">
        <v>439</v>
      </c>
      <c r="O73" s="103" t="s">
        <v>338</v>
      </c>
      <c r="P73" s="105" t="s">
        <v>132</v>
      </c>
      <c r="Q73" s="105" t="s">
        <v>132</v>
      </c>
      <c r="R73" s="212" t="s">
        <v>304</v>
      </c>
      <c r="S73" s="271">
        <f t="shared" si="12"/>
        <v>60</v>
      </c>
      <c r="T73" s="511">
        <v>100</v>
      </c>
      <c r="U73" s="96">
        <v>2</v>
      </c>
      <c r="V73" s="224">
        <f t="shared" si="13"/>
        <v>60</v>
      </c>
      <c r="W73" s="96">
        <f t="shared" si="14"/>
        <v>730.00000000000011</v>
      </c>
      <c r="X73" s="96">
        <v>1</v>
      </c>
      <c r="Y73" s="96">
        <v>1</v>
      </c>
      <c r="Z73" s="96">
        <f>SUMIFS(S$5:S$18,P$5:P$18,P73,Q$5:Q$18,Q73,R$5:R$18,R73)</f>
        <v>12.166666666666668</v>
      </c>
      <c r="AA73" s="96">
        <v>1</v>
      </c>
    </row>
    <row r="74" spans="1:27">
      <c r="N74" s="166" t="s">
        <v>439</v>
      </c>
      <c r="O74" s="98" t="s">
        <v>19</v>
      </c>
      <c r="P74" s="99" t="s">
        <v>136</v>
      </c>
      <c r="Q74" s="99" t="s">
        <v>132</v>
      </c>
      <c r="R74" s="99" t="s">
        <v>221</v>
      </c>
      <c r="S74" s="167">
        <f t="shared" ref="S74:S88" ca="1" si="17">IF(R74="Unbilled",SUMIFS(S$33:S$47,R$33:R$47,R74),SUMIFS(S$60:S$73,P$60:P$73,P74,Q$60:Q$73,Q74,R$60:R$73,R74)*U74)</f>
        <v>54644.346026198487</v>
      </c>
      <c r="T74" s="96">
        <f t="shared" ref="T74:T88" ca="1" si="18">IF(R74="Unbilled",SUMIFS(S$33:S$47,R$33:R$47,R74),SUMIFS(V$60:V$73,P$60:P$73,P74,Q$60:Q$73,Q74,R$60:R$73,R74)*U74)</f>
        <v>58165.241672075914</v>
      </c>
      <c r="U74" s="96">
        <f t="shared" ref="U74:U88" si="19">SUMIFS(S$5:S$18,P$5:P$18,P74,Q$5:Q$18,Q74,R$5:R$18,R74)</f>
        <v>508.93495414173873</v>
      </c>
      <c r="X74" s="96"/>
      <c r="Y74" s="96"/>
      <c r="Z74" s="96"/>
      <c r="AA74" s="96"/>
    </row>
    <row r="75" spans="1:27">
      <c r="N75" s="162" t="s">
        <v>439</v>
      </c>
      <c r="O75" s="57" t="s">
        <v>19</v>
      </c>
      <c r="P75" s="101" t="s">
        <v>136</v>
      </c>
      <c r="Q75" s="101" t="s">
        <v>132</v>
      </c>
      <c r="R75" s="101" t="s">
        <v>131</v>
      </c>
      <c r="S75" s="164">
        <f t="shared" ca="1" si="17"/>
        <v>0</v>
      </c>
      <c r="T75" s="96">
        <f t="shared" ca="1" si="18"/>
        <v>0</v>
      </c>
      <c r="U75" s="96">
        <f t="shared" si="19"/>
        <v>495.84657534246583</v>
      </c>
      <c r="V75" s="258"/>
      <c r="X75" s="96"/>
      <c r="Y75" s="96"/>
      <c r="Z75" s="96"/>
      <c r="AA75" s="96"/>
    </row>
    <row r="76" spans="1:27">
      <c r="N76" s="162" t="s">
        <v>439</v>
      </c>
      <c r="O76" s="57" t="s">
        <v>19</v>
      </c>
      <c r="P76" s="101" t="s">
        <v>137</v>
      </c>
      <c r="Q76" s="101" t="s">
        <v>140</v>
      </c>
      <c r="R76" s="101" t="s">
        <v>221</v>
      </c>
      <c r="S76" s="164">
        <f t="shared" ca="1" si="17"/>
        <v>211139.96332914353</v>
      </c>
      <c r="T76" s="96">
        <f t="shared" ca="1" si="18"/>
        <v>224744.33105640826</v>
      </c>
      <c r="U76" s="96">
        <f t="shared" si="19"/>
        <v>983.23536988517992</v>
      </c>
      <c r="X76" s="96"/>
      <c r="Y76" s="96"/>
      <c r="Z76" s="96"/>
    </row>
    <row r="77" spans="1:27">
      <c r="N77" s="162" t="s">
        <v>439</v>
      </c>
      <c r="O77" s="57" t="s">
        <v>19</v>
      </c>
      <c r="P77" s="101" t="s">
        <v>137</v>
      </c>
      <c r="Q77" s="101" t="s">
        <v>140</v>
      </c>
      <c r="R77" s="101" t="s">
        <v>131</v>
      </c>
      <c r="S77" s="164">
        <f t="shared" ca="1" si="17"/>
        <v>0</v>
      </c>
      <c r="T77" s="96">
        <f t="shared" ca="1" si="18"/>
        <v>0</v>
      </c>
      <c r="U77" s="96">
        <f t="shared" si="19"/>
        <v>2698.3863013698633</v>
      </c>
      <c r="X77" s="96"/>
      <c r="Y77" s="96"/>
      <c r="Z77" s="96"/>
    </row>
    <row r="78" spans="1:27">
      <c r="N78" s="162" t="s">
        <v>439</v>
      </c>
      <c r="O78" s="57" t="s">
        <v>19</v>
      </c>
      <c r="P78" s="101" t="s">
        <v>137</v>
      </c>
      <c r="Q78" s="101" t="s">
        <v>220</v>
      </c>
      <c r="R78" s="101" t="s">
        <v>131</v>
      </c>
      <c r="S78" s="164">
        <f t="shared" ca="1" si="17"/>
        <v>215644.51463013684</v>
      </c>
      <c r="T78" s="96">
        <f t="shared" ca="1" si="18"/>
        <v>229529.08687665948</v>
      </c>
      <c r="U78" s="96">
        <f t="shared" si="19"/>
        <v>441.46027397260241</v>
      </c>
      <c r="W78" s="268"/>
      <c r="X78" s="96"/>
      <c r="Y78" s="96"/>
      <c r="Z78" s="96"/>
    </row>
    <row r="79" spans="1:27">
      <c r="N79" s="162" t="s">
        <v>439</v>
      </c>
      <c r="O79" s="57" t="s">
        <v>19</v>
      </c>
      <c r="P79" s="101" t="s">
        <v>137</v>
      </c>
      <c r="Q79" s="101" t="s">
        <v>141</v>
      </c>
      <c r="R79" s="101" t="s">
        <v>131</v>
      </c>
      <c r="S79" s="164">
        <f t="shared" ca="1" si="17"/>
        <v>25810.849999999995</v>
      </c>
      <c r="T79" s="96">
        <f t="shared" ca="1" si="18"/>
        <v>27472.993321281614</v>
      </c>
      <c r="U79" s="96">
        <f t="shared" si="19"/>
        <v>12.999999999999996</v>
      </c>
    </row>
    <row r="80" spans="1:27">
      <c r="N80" s="162" t="s">
        <v>439</v>
      </c>
      <c r="O80" s="57" t="s">
        <v>19</v>
      </c>
      <c r="P80" s="101" t="s">
        <v>137</v>
      </c>
      <c r="Q80" s="101" t="s">
        <v>220</v>
      </c>
      <c r="R80" s="101" t="s">
        <v>217</v>
      </c>
      <c r="S80" s="164">
        <f t="shared" ca="1" si="17"/>
        <v>1207572.47391698</v>
      </c>
      <c r="T80" s="96">
        <f t="shared" ca="1" si="18"/>
        <v>1285479.5735375383</v>
      </c>
      <c r="U80" s="96">
        <f t="shared" si="19"/>
        <v>42806.539309357671</v>
      </c>
    </row>
    <row r="81" spans="14:22">
      <c r="N81" s="162" t="s">
        <v>439</v>
      </c>
      <c r="O81" s="57" t="s">
        <v>19</v>
      </c>
      <c r="P81" s="101" t="s">
        <v>137</v>
      </c>
      <c r="Q81" s="101" t="s">
        <v>141</v>
      </c>
      <c r="R81" s="101" t="s">
        <v>217</v>
      </c>
      <c r="S81" s="164">
        <f t="shared" ca="1" si="17"/>
        <v>126315.57322896752</v>
      </c>
      <c r="T81" s="96">
        <f t="shared" ca="1" si="18"/>
        <v>134461.99576266741</v>
      </c>
      <c r="U81" s="96">
        <f t="shared" si="19"/>
        <v>5726.0005996812115</v>
      </c>
    </row>
    <row r="82" spans="14:22">
      <c r="N82" s="162" t="s">
        <v>439</v>
      </c>
      <c r="O82" s="57" t="s">
        <v>19</v>
      </c>
      <c r="P82" s="101" t="s">
        <v>132</v>
      </c>
      <c r="Q82" s="101" t="s">
        <v>140</v>
      </c>
      <c r="R82" s="101" t="s">
        <v>217</v>
      </c>
      <c r="S82" s="164">
        <f t="shared" ca="1" si="17"/>
        <v>1997311.9053432446</v>
      </c>
      <c r="T82" s="96">
        <f t="shared" ca="1" si="18"/>
        <v>2126004.5753517873</v>
      </c>
      <c r="U82" s="96">
        <f t="shared" si="19"/>
        <v>55806.423731300492</v>
      </c>
    </row>
    <row r="83" spans="14:22">
      <c r="N83" s="162" t="s">
        <v>439</v>
      </c>
      <c r="O83" s="57" t="s">
        <v>19</v>
      </c>
      <c r="P83" s="101" t="s">
        <v>132</v>
      </c>
      <c r="Q83" s="101" t="s">
        <v>132</v>
      </c>
      <c r="R83" s="101" t="s">
        <v>4</v>
      </c>
      <c r="S83" s="164">
        <f t="shared" ca="1" si="17"/>
        <v>12573418.4025319</v>
      </c>
      <c r="T83" s="96">
        <f t="shared" ca="1" si="18"/>
        <v>13382656.768506212</v>
      </c>
      <c r="U83" s="96">
        <f t="shared" si="19"/>
        <v>163418487.16573825</v>
      </c>
    </row>
    <row r="84" spans="14:22">
      <c r="N84" s="162" t="s">
        <v>439</v>
      </c>
      <c r="O84" s="57" t="s">
        <v>19</v>
      </c>
      <c r="P84" s="101" t="s">
        <v>132</v>
      </c>
      <c r="Q84" s="101" t="s">
        <v>132</v>
      </c>
      <c r="R84" s="101" t="s">
        <v>138</v>
      </c>
      <c r="S84" s="164">
        <f t="shared" si="17"/>
        <v>38128.813448275869</v>
      </c>
      <c r="T84" s="96">
        <f t="shared" si="18"/>
        <v>40953.17</v>
      </c>
      <c r="U84" s="96">
        <f t="shared" si="19"/>
        <v>70608.913793103449</v>
      </c>
    </row>
    <row r="85" spans="14:22">
      <c r="N85" s="162" t="s">
        <v>439</v>
      </c>
      <c r="O85" s="57" t="s">
        <v>19</v>
      </c>
      <c r="P85" s="101" t="s">
        <v>132</v>
      </c>
      <c r="Q85" s="101" t="s">
        <v>132</v>
      </c>
      <c r="R85" s="122" t="s">
        <v>303</v>
      </c>
      <c r="S85" s="164">
        <f t="shared" si="17"/>
        <v>-228.4</v>
      </c>
      <c r="T85" s="96">
        <f t="shared" si="18"/>
        <v>-228.4</v>
      </c>
      <c r="U85" s="96">
        <f t="shared" si="19"/>
        <v>22840</v>
      </c>
    </row>
    <row r="86" spans="14:22">
      <c r="N86" s="162" t="s">
        <v>439</v>
      </c>
      <c r="O86" s="57" t="s">
        <v>19</v>
      </c>
      <c r="P86" s="101" t="s">
        <v>132</v>
      </c>
      <c r="Q86" s="101" t="s">
        <v>132</v>
      </c>
      <c r="R86" s="122" t="s">
        <v>294</v>
      </c>
      <c r="S86" s="164">
        <f t="shared" si="17"/>
        <v>-256.12</v>
      </c>
      <c r="T86" s="96">
        <f t="shared" si="18"/>
        <v>-256.12</v>
      </c>
      <c r="U86" s="96">
        <f t="shared" si="19"/>
        <v>853.73333333333335</v>
      </c>
    </row>
    <row r="87" spans="14:22">
      <c r="N87" s="162" t="s">
        <v>439</v>
      </c>
      <c r="O87" s="57" t="s">
        <v>19</v>
      </c>
      <c r="P87" s="101" t="s">
        <v>132</v>
      </c>
      <c r="Q87" s="101" t="s">
        <v>132</v>
      </c>
      <c r="R87" s="122" t="s">
        <v>304</v>
      </c>
      <c r="S87" s="164">
        <f t="shared" si="17"/>
        <v>730.00000000000011</v>
      </c>
      <c r="T87" s="96">
        <f t="shared" si="18"/>
        <v>730.00000000000011</v>
      </c>
      <c r="U87" s="96">
        <f t="shared" si="19"/>
        <v>12.166666666666668</v>
      </c>
    </row>
    <row r="88" spans="14:22">
      <c r="N88" s="163" t="s">
        <v>439</v>
      </c>
      <c r="O88" s="103" t="s">
        <v>19</v>
      </c>
      <c r="P88" s="105" t="s">
        <v>132</v>
      </c>
      <c r="Q88" s="105" t="s">
        <v>132</v>
      </c>
      <c r="R88" s="211" t="s">
        <v>105</v>
      </c>
      <c r="S88" s="165">
        <f t="shared" si="17"/>
        <v>-1729000</v>
      </c>
      <c r="T88" s="96">
        <f t="shared" si="18"/>
        <v>-1729000</v>
      </c>
      <c r="U88" s="96">
        <f t="shared" si="19"/>
        <v>0</v>
      </c>
    </row>
    <row r="89" spans="14:22">
      <c r="N89" s="255" t="s">
        <v>474</v>
      </c>
      <c r="O89" s="210" t="s">
        <v>19</v>
      </c>
      <c r="P89" s="97" t="s">
        <v>132</v>
      </c>
      <c r="Q89" s="166" t="s">
        <v>132</v>
      </c>
      <c r="R89" s="166" t="s">
        <v>132</v>
      </c>
      <c r="S89" s="166">
        <f ca="1">'Cost of Service and Proposed $'!Z123</f>
        <v>371461.44154420838</v>
      </c>
    </row>
    <row r="90" spans="14:22">
      <c r="N90" s="273" t="s">
        <v>475</v>
      </c>
      <c r="O90" s="47" t="s">
        <v>19</v>
      </c>
      <c r="P90" s="55" t="s">
        <v>132</v>
      </c>
      <c r="Q90" s="162" t="s">
        <v>132</v>
      </c>
      <c r="R90" s="162" t="s">
        <v>132</v>
      </c>
      <c r="S90" s="162">
        <f ca="1">'Cost of Service and Proposed $'!Z124</f>
        <v>6400309.9807192273</v>
      </c>
    </row>
    <row r="91" spans="14:22">
      <c r="N91" s="273" t="s">
        <v>476</v>
      </c>
      <c r="O91" s="47" t="s">
        <v>19</v>
      </c>
      <c r="P91" s="55" t="s">
        <v>132</v>
      </c>
      <c r="Q91" s="162" t="s">
        <v>132</v>
      </c>
      <c r="R91" s="162" t="s">
        <v>132</v>
      </c>
      <c r="S91" s="162">
        <f ca="1">'Cost of Service and Proposed $'!Z125</f>
        <v>1513118.9646603074</v>
      </c>
    </row>
    <row r="92" spans="14:22">
      <c r="N92" s="256" t="s">
        <v>477</v>
      </c>
      <c r="O92" s="211" t="s">
        <v>19</v>
      </c>
      <c r="P92" s="105" t="s">
        <v>132</v>
      </c>
      <c r="Q92" s="163" t="s">
        <v>132</v>
      </c>
      <c r="R92" s="163" t="s">
        <v>132</v>
      </c>
      <c r="S92" s="163">
        <f ca="1">'Cost of Service and Proposed $'!Z126</f>
        <v>7495518.7860807274</v>
      </c>
    </row>
    <row r="93" spans="14:22">
      <c r="N93" s="338" t="s">
        <v>469</v>
      </c>
      <c r="O93" s="210" t="s">
        <v>19</v>
      </c>
      <c r="P93" s="97" t="s">
        <v>132</v>
      </c>
      <c r="Q93" s="166" t="s">
        <v>132</v>
      </c>
      <c r="R93" s="166" t="s">
        <v>131</v>
      </c>
      <c r="S93" s="166">
        <f ca="1">(T93*(U93-V93)+V93*100)/100</f>
        <v>272460.19215730933</v>
      </c>
      <c r="T93" s="183">
        <f>$T$52</f>
        <v>10</v>
      </c>
      <c r="U93" s="96">
        <f ca="1">S89*(1-SUM(U96:U100)/SUM(S89:S92))</f>
        <v>411257.76464220014</v>
      </c>
      <c r="V93" s="96">
        <f ca="1">SUMIFS(S$74:S$83,R$74:R$83,R93)/SUM(S$74:S$83)*(SUM(S$89:S$92)-SUM(V$96:V$100))</f>
        <v>257038.23965898817</v>
      </c>
    </row>
    <row r="94" spans="14:22">
      <c r="N94" s="337" t="s">
        <v>469</v>
      </c>
      <c r="O94" s="47" t="s">
        <v>19</v>
      </c>
      <c r="P94" s="55" t="s">
        <v>132</v>
      </c>
      <c r="Q94" s="162" t="s">
        <v>132</v>
      </c>
      <c r="R94" s="162" t="s">
        <v>217</v>
      </c>
      <c r="S94" s="162">
        <f t="shared" ref="S94:S100" ca="1" si="20">(T94*(U94-V94)+V94*100)/100</f>
        <v>4322334.4851151304</v>
      </c>
      <c r="T94" s="183">
        <f t="shared" ref="T94:T100" si="21">$T$52</f>
        <v>10</v>
      </c>
      <c r="U94" s="96">
        <f ca="1">(S90+S91)*(1-SUM(U96:U100)/SUM(S89:S92))</f>
        <v>8761229.9279368166</v>
      </c>
      <c r="V94" s="96">
        <f ca="1">SUM(SUMIFS(S$74:S$83,R$74:R$83,R94),S74,S76)/SUM(S$74:S$83)*(SUM(S$89:S$92)-SUM(V$96:V$100))</f>
        <v>3829123.8803571654</v>
      </c>
    </row>
    <row r="95" spans="14:22">
      <c r="N95" s="337" t="s">
        <v>469</v>
      </c>
      <c r="O95" s="47" t="s">
        <v>19</v>
      </c>
      <c r="P95" s="55" t="s">
        <v>132</v>
      </c>
      <c r="Q95" s="162" t="s">
        <v>132</v>
      </c>
      <c r="R95" s="162" t="s">
        <v>4</v>
      </c>
      <c r="S95" s="162">
        <f t="shared" ca="1" si="20"/>
        <v>12876240.202283755</v>
      </c>
      <c r="T95" s="183">
        <f t="shared" si="21"/>
        <v>10</v>
      </c>
      <c r="U95" s="96">
        <f ca="1">S92*(1-SUM(U96:U100)/SUM(S89:S92))</f>
        <v>8298547.1869771769</v>
      </c>
      <c r="V95" s="96">
        <f ca="1">SUMIFS(S$74:S$83,R$74:R$83,R95)/SUM(S$74:S$83)*(SUM(S$89:S$92)-SUM(V$96:V$100))</f>
        <v>13384872.75954004</v>
      </c>
    </row>
    <row r="96" spans="14:22">
      <c r="N96" s="337" t="s">
        <v>469</v>
      </c>
      <c r="O96" s="47" t="s">
        <v>19</v>
      </c>
      <c r="P96" s="55" t="s">
        <v>132</v>
      </c>
      <c r="Q96" s="162" t="s">
        <v>132</v>
      </c>
      <c r="R96" s="101" t="s">
        <v>138</v>
      </c>
      <c r="S96" s="162">
        <f t="shared" si="20"/>
        <v>38128.813448275869</v>
      </c>
      <c r="T96" s="183">
        <f t="shared" si="21"/>
        <v>10</v>
      </c>
      <c r="U96" s="96">
        <f>S84</f>
        <v>38128.813448275869</v>
      </c>
      <c r="V96" s="1">
        <f>S84</f>
        <v>38128.813448275869</v>
      </c>
    </row>
    <row r="97" spans="14:27">
      <c r="N97" s="337" t="s">
        <v>469</v>
      </c>
      <c r="O97" s="47" t="s">
        <v>19</v>
      </c>
      <c r="P97" s="55" t="s">
        <v>132</v>
      </c>
      <c r="Q97" s="162" t="s">
        <v>132</v>
      </c>
      <c r="R97" s="122" t="s">
        <v>303</v>
      </c>
      <c r="S97" s="162">
        <f t="shared" si="20"/>
        <v>-228.4</v>
      </c>
      <c r="T97" s="183">
        <f t="shared" si="21"/>
        <v>10</v>
      </c>
      <c r="U97" s="96">
        <f>S85</f>
        <v>-228.4</v>
      </c>
      <c r="V97" s="1">
        <f>S85</f>
        <v>-228.4</v>
      </c>
    </row>
    <row r="98" spans="14:27">
      <c r="N98" s="337" t="s">
        <v>469</v>
      </c>
      <c r="O98" s="47" t="s">
        <v>19</v>
      </c>
      <c r="P98" s="55" t="s">
        <v>132</v>
      </c>
      <c r="Q98" s="162" t="s">
        <v>132</v>
      </c>
      <c r="R98" s="122" t="s">
        <v>294</v>
      </c>
      <c r="S98" s="162">
        <f t="shared" si="20"/>
        <v>-256.12</v>
      </c>
      <c r="T98" s="183">
        <f t="shared" si="21"/>
        <v>10</v>
      </c>
      <c r="U98" s="96">
        <f>S86</f>
        <v>-256.12</v>
      </c>
      <c r="V98" s="1">
        <f>S86</f>
        <v>-256.12</v>
      </c>
      <c r="W98" s="96"/>
      <c r="X98" s="96"/>
    </row>
    <row r="99" spans="14:27">
      <c r="N99" s="337" t="s">
        <v>469</v>
      </c>
      <c r="O99" s="47" t="s">
        <v>19</v>
      </c>
      <c r="P99" s="55" t="s">
        <v>132</v>
      </c>
      <c r="Q99" s="162" t="s">
        <v>132</v>
      </c>
      <c r="R99" s="122" t="s">
        <v>304</v>
      </c>
      <c r="S99" s="162">
        <f t="shared" si="20"/>
        <v>730.00000000000011</v>
      </c>
      <c r="T99" s="183">
        <f t="shared" si="21"/>
        <v>10</v>
      </c>
      <c r="U99" s="96">
        <f>S87</f>
        <v>730.00000000000011</v>
      </c>
      <c r="V99" s="1">
        <f>S87</f>
        <v>730.00000000000011</v>
      </c>
      <c r="W99" s="96"/>
      <c r="X99" s="96"/>
    </row>
    <row r="100" spans="14:27">
      <c r="N100" s="339" t="s">
        <v>469</v>
      </c>
      <c r="O100" s="211" t="s">
        <v>19</v>
      </c>
      <c r="P100" s="105" t="s">
        <v>132</v>
      </c>
      <c r="Q100" s="163" t="s">
        <v>132</v>
      </c>
      <c r="R100" s="163" t="s">
        <v>105</v>
      </c>
      <c r="S100" s="163">
        <f t="shared" si="20"/>
        <v>-1729000</v>
      </c>
      <c r="T100" s="183">
        <f t="shared" si="21"/>
        <v>10</v>
      </c>
      <c r="U100" s="96">
        <f>S88</f>
        <v>-1729000</v>
      </c>
      <c r="V100" s="1">
        <f>S88</f>
        <v>-1729000</v>
      </c>
      <c r="W100" s="96"/>
      <c r="X100" s="96"/>
    </row>
    <row r="101" spans="14:27">
      <c r="N101" s="166" t="s">
        <v>440</v>
      </c>
      <c r="O101" s="98" t="s">
        <v>338</v>
      </c>
      <c r="P101" s="97" t="s">
        <v>136</v>
      </c>
      <c r="Q101" s="97" t="s">
        <v>132</v>
      </c>
      <c r="R101" s="97" t="s">
        <v>221</v>
      </c>
      <c r="S101" s="269">
        <f ca="1">ROUND(T101/100*W101*X101/Y101/Z101,U101)*AA101</f>
        <v>115.56</v>
      </c>
      <c r="T101" s="213">
        <f>100+Summary!$Q$13</f>
        <v>93.99</v>
      </c>
      <c r="U101" s="96">
        <v>2</v>
      </c>
      <c r="V101" s="224">
        <f ca="1">W101*X101/Y101/Z101*AA101</f>
        <v>122.95423606723369</v>
      </c>
      <c r="W101" s="96">
        <f ca="1">SUMIFS(S$93:S$100,R$93:R$100,R109)</f>
        <v>4322334.4851151304</v>
      </c>
      <c r="X101" s="96">
        <f ca="1">SUMIFS(S$74:S$88,P$74:P$88,P109,Q$74:Q$88,Q109,R$74:R$88,R109)</f>
        <v>1997311.9053432446</v>
      </c>
      <c r="Y101" s="96">
        <f ca="1">SUMIFS(S$74:S$88,R$74:R$88,R109)</f>
        <v>3331199.9524891921</v>
      </c>
      <c r="Z101" s="96">
        <f>S$5*AA101+S$7*AA103+S$13*AA109</f>
        <v>63232.640813036785</v>
      </c>
      <c r="AA101" s="96">
        <v>3</v>
      </c>
    </row>
    <row r="102" spans="14:27">
      <c r="N102" s="162" t="s">
        <v>440</v>
      </c>
      <c r="O102" s="57" t="s">
        <v>338</v>
      </c>
      <c r="P102" s="55" t="s">
        <v>136</v>
      </c>
      <c r="Q102" s="55" t="s">
        <v>132</v>
      </c>
      <c r="R102" s="55" t="s">
        <v>131</v>
      </c>
      <c r="S102" s="270">
        <f t="shared" ref="S102:S114" ca="1" si="22">ROUND(T102/100*W102*X102/Y102/Z102,U102)*AA102</f>
        <v>0</v>
      </c>
      <c r="T102" s="213">
        <f>100+Summary!$Q$13</f>
        <v>93.99</v>
      </c>
      <c r="U102" s="96">
        <v>2</v>
      </c>
      <c r="V102" s="224">
        <f t="shared" ref="V102:V114" ca="1" si="23">W102*X102/Y102/Z102*AA102</f>
        <v>0</v>
      </c>
      <c r="W102" s="96">
        <f ca="1">SUMIFS(S$93:S$100,R$93:R$100,R102)</f>
        <v>272460.19215730933</v>
      </c>
      <c r="X102" s="96">
        <f ca="1">SUMIFS(S$74:S$88,P$74:P$88,P102,Q$74:Q$88,Q102,R$74:R$88,R102)</f>
        <v>0</v>
      </c>
      <c r="Y102" s="96">
        <f ca="1">SUMIFS(S$74:S$88,R$74:R$88,R102)</f>
        <v>241455.36463013684</v>
      </c>
      <c r="Z102" s="96">
        <f>SUMIFS(S$5:S$18,P$5:P$18,P102,Q$5:Q$18,Q102,R$5:R$18,R102)</f>
        <v>495.84657534246583</v>
      </c>
      <c r="AA102" s="96">
        <v>1</v>
      </c>
    </row>
    <row r="103" spans="14:27">
      <c r="N103" s="162" t="s">
        <v>440</v>
      </c>
      <c r="O103" s="57" t="s">
        <v>338</v>
      </c>
      <c r="P103" s="55" t="s">
        <v>137</v>
      </c>
      <c r="Q103" s="55" t="s">
        <v>140</v>
      </c>
      <c r="R103" s="55" t="s">
        <v>221</v>
      </c>
      <c r="S103" s="270">
        <f t="shared" ca="1" si="22"/>
        <v>231.12</v>
      </c>
      <c r="T103" s="213">
        <f>100+Summary!$Q$13</f>
        <v>93.99</v>
      </c>
      <c r="U103" s="96">
        <v>2</v>
      </c>
      <c r="V103" s="224">
        <f t="shared" ca="1" si="23"/>
        <v>245.90847213446739</v>
      </c>
      <c r="W103" s="96">
        <f ca="1">SUMIFS(S$93:S$100,R$93:R$100,R109)</f>
        <v>4322334.4851151304</v>
      </c>
      <c r="X103" s="96">
        <f ca="1">SUMIFS(S$74:S$88,P$74:P$88,P109,Q$74:Q$88,Q109,R$74:R$88,R109)</f>
        <v>1997311.9053432446</v>
      </c>
      <c r="Y103" s="96">
        <f ca="1">SUMIFS(S$74:S$88,R$74:R$88,R109)</f>
        <v>3331199.9524891921</v>
      </c>
      <c r="Z103" s="96">
        <f>S$5*AA101+S$7*AA103+S$13*AA109</f>
        <v>63232.640813036785</v>
      </c>
      <c r="AA103" s="96">
        <v>6</v>
      </c>
    </row>
    <row r="104" spans="14:27">
      <c r="N104" s="162" t="s">
        <v>440</v>
      </c>
      <c r="O104" s="57" t="s">
        <v>338</v>
      </c>
      <c r="P104" s="55" t="s">
        <v>137</v>
      </c>
      <c r="Q104" s="55" t="s">
        <v>140</v>
      </c>
      <c r="R104" s="55" t="s">
        <v>131</v>
      </c>
      <c r="S104" s="270">
        <f t="shared" ca="1" si="22"/>
        <v>0</v>
      </c>
      <c r="T104" s="213">
        <f>100+Summary!$Q$13</f>
        <v>93.99</v>
      </c>
      <c r="U104" s="96">
        <v>2</v>
      </c>
      <c r="V104" s="224">
        <f t="shared" ca="1" si="23"/>
        <v>0</v>
      </c>
      <c r="W104" s="96">
        <f t="shared" ref="W104:W114" ca="1" si="24">SUMIFS(S$93:S$100,R$93:R$100,R104)</f>
        <v>272460.19215730933</v>
      </c>
      <c r="X104" s="96">
        <f t="shared" ref="X104:X109" ca="1" si="25">SUMIFS(S$74:S$88,P$74:P$88,P104,Q$74:Q$88,Q104,R$74:R$88,R104)</f>
        <v>0</v>
      </c>
      <c r="Y104" s="96">
        <f t="shared" ref="Y104:Y109" ca="1" si="26">SUMIFS(S$74:S$88,R$74:R$88,R104)</f>
        <v>241455.36463013684</v>
      </c>
      <c r="Z104" s="96">
        <f>SUMIFS(S$5:S$18,P$5:P$18,P104,Q$5:Q$18,Q104,R$5:R$18,R104)</f>
        <v>2698.3863013698633</v>
      </c>
      <c r="AA104" s="96">
        <v>1</v>
      </c>
    </row>
    <row r="105" spans="14:27">
      <c r="N105" s="162" t="s">
        <v>440</v>
      </c>
      <c r="O105" s="57" t="s">
        <v>338</v>
      </c>
      <c r="P105" s="55" t="s">
        <v>137</v>
      </c>
      <c r="Q105" s="55" t="s">
        <v>220</v>
      </c>
      <c r="R105" s="55" t="s">
        <v>131</v>
      </c>
      <c r="S105" s="270">
        <f t="shared" ca="1" si="22"/>
        <v>518.08000000000004</v>
      </c>
      <c r="T105" s="213">
        <f>100+Summary!$Q$13</f>
        <v>93.99</v>
      </c>
      <c r="U105" s="96">
        <v>2</v>
      </c>
      <c r="V105" s="224">
        <f t="shared" ca="1" si="23"/>
        <v>551.20479459577473</v>
      </c>
      <c r="W105" s="96">
        <f t="shared" ca="1" si="24"/>
        <v>272460.19215730933</v>
      </c>
      <c r="X105" s="96">
        <f t="shared" ca="1" si="25"/>
        <v>215644.51463013684</v>
      </c>
      <c r="Y105" s="96">
        <f t="shared" ca="1" si="26"/>
        <v>241455.36463013684</v>
      </c>
      <c r="Z105" s="96">
        <f>SUMIFS(S$5:S$18,P$5:P$18,P105,Q$5:Q$18,Q105,R$5:R$18,R105)</f>
        <v>441.46027397260241</v>
      </c>
      <c r="AA105" s="96">
        <v>1</v>
      </c>
    </row>
    <row r="106" spans="14:27">
      <c r="N106" s="162" t="s">
        <v>440</v>
      </c>
      <c r="O106" s="57" t="s">
        <v>338</v>
      </c>
      <c r="P106" s="55" t="s">
        <v>137</v>
      </c>
      <c r="Q106" s="55" t="s">
        <v>141</v>
      </c>
      <c r="R106" s="55" t="s">
        <v>131</v>
      </c>
      <c r="S106" s="270">
        <f t="shared" ca="1" si="22"/>
        <v>2105.75</v>
      </c>
      <c r="T106" s="213">
        <f>100+Summary!$Q$13</f>
        <v>93.99</v>
      </c>
      <c r="U106" s="96">
        <v>2</v>
      </c>
      <c r="V106" s="224">
        <f t="shared" ca="1" si="23"/>
        <v>2240.3978861574292</v>
      </c>
      <c r="W106" s="96">
        <f t="shared" ca="1" si="24"/>
        <v>272460.19215730933</v>
      </c>
      <c r="X106" s="96">
        <f t="shared" ca="1" si="25"/>
        <v>25810.849999999995</v>
      </c>
      <c r="Y106" s="96">
        <f t="shared" ca="1" si="26"/>
        <v>241455.36463013684</v>
      </c>
      <c r="Z106" s="96">
        <f>SUMIFS(S$5:S$18,P$5:P$18,P106,Q$5:Q$18,Q106,R$5:R$18,R106)</f>
        <v>12.999999999999996</v>
      </c>
      <c r="AA106" s="96">
        <v>1</v>
      </c>
    </row>
    <row r="107" spans="14:27">
      <c r="N107" s="162" t="s">
        <v>440</v>
      </c>
      <c r="O107" s="57" t="s">
        <v>338</v>
      </c>
      <c r="P107" s="55" t="s">
        <v>137</v>
      </c>
      <c r="Q107" s="55" t="s">
        <v>220</v>
      </c>
      <c r="R107" s="55" t="s">
        <v>217</v>
      </c>
      <c r="S107" s="270">
        <f t="shared" ca="1" si="22"/>
        <v>34.4</v>
      </c>
      <c r="T107" s="213">
        <f>100+Summary!$Q$13</f>
        <v>93.99</v>
      </c>
      <c r="U107" s="96">
        <v>2</v>
      </c>
      <c r="V107" s="224">
        <f t="shared" ca="1" si="23"/>
        <v>36.603343409027453</v>
      </c>
      <c r="W107" s="96">
        <f t="shared" ca="1" si="24"/>
        <v>4322334.4851151304</v>
      </c>
      <c r="X107" s="96">
        <f t="shared" ca="1" si="25"/>
        <v>1207572.47391698</v>
      </c>
      <c r="Y107" s="96">
        <f t="shared" ca="1" si="26"/>
        <v>3331199.9524891921</v>
      </c>
      <c r="Z107" s="96">
        <f>SUMIFS(S$5:S$18,P$5:P$18,P107,Q$5:Q$18,Q107,R$5:R$18,R107)</f>
        <v>42806.539309357671</v>
      </c>
      <c r="AA107" s="96">
        <v>1</v>
      </c>
    </row>
    <row r="108" spans="14:27">
      <c r="N108" s="162" t="s">
        <v>440</v>
      </c>
      <c r="O108" s="57" t="s">
        <v>338</v>
      </c>
      <c r="P108" s="55" t="s">
        <v>137</v>
      </c>
      <c r="Q108" s="55" t="s">
        <v>141</v>
      </c>
      <c r="R108" s="55" t="s">
        <v>217</v>
      </c>
      <c r="S108" s="270">
        <f t="shared" ca="1" si="22"/>
        <v>26.9</v>
      </c>
      <c r="T108" s="213">
        <f>100+Summary!$Q$13</f>
        <v>93.99</v>
      </c>
      <c r="U108" s="96">
        <v>2</v>
      </c>
      <c r="V108" s="224">
        <f t="shared" ca="1" si="23"/>
        <v>28.623529089087043</v>
      </c>
      <c r="W108" s="96">
        <f t="shared" ca="1" si="24"/>
        <v>4322334.4851151304</v>
      </c>
      <c r="X108" s="96">
        <f t="shared" ca="1" si="25"/>
        <v>126315.57322896752</v>
      </c>
      <c r="Y108" s="96">
        <f t="shared" ca="1" si="26"/>
        <v>3331199.9524891921</v>
      </c>
      <c r="Z108" s="96">
        <f>SUMIFS(S$5:S$18,P$5:P$18,P108,Q$5:Q$18,Q108,R$5:R$18,R108)</f>
        <v>5726.0005996812115</v>
      </c>
      <c r="AA108" s="96">
        <v>1</v>
      </c>
    </row>
    <row r="109" spans="14:27">
      <c r="N109" s="162" t="s">
        <v>440</v>
      </c>
      <c r="O109" s="57" t="s">
        <v>338</v>
      </c>
      <c r="P109" s="55" t="s">
        <v>132</v>
      </c>
      <c r="Q109" s="55" t="s">
        <v>140</v>
      </c>
      <c r="R109" s="55" t="s">
        <v>217</v>
      </c>
      <c r="S109" s="270">
        <f t="shared" ca="1" si="22"/>
        <v>38.520000000000003</v>
      </c>
      <c r="T109" s="213">
        <f>100+Summary!$Q$13</f>
        <v>93.99</v>
      </c>
      <c r="U109" s="96">
        <v>2</v>
      </c>
      <c r="V109" s="224">
        <f t="shared" ca="1" si="23"/>
        <v>40.984745355744565</v>
      </c>
      <c r="W109" s="96">
        <f t="shared" ca="1" si="24"/>
        <v>4322334.4851151304</v>
      </c>
      <c r="X109" s="96">
        <f t="shared" ca="1" si="25"/>
        <v>1997311.9053432446</v>
      </c>
      <c r="Y109" s="96">
        <f t="shared" ca="1" si="26"/>
        <v>3331199.9524891921</v>
      </c>
      <c r="Z109" s="96">
        <f>S$5*AA101+S$7*AA103+S$13*AA109</f>
        <v>63232.640813036785</v>
      </c>
      <c r="AA109" s="96">
        <v>1</v>
      </c>
    </row>
    <row r="110" spans="14:27">
      <c r="N110" s="162" t="s">
        <v>440</v>
      </c>
      <c r="O110" s="57" t="s">
        <v>338</v>
      </c>
      <c r="P110" s="55" t="s">
        <v>132</v>
      </c>
      <c r="Q110" s="55" t="s">
        <v>132</v>
      </c>
      <c r="R110" s="55" t="s">
        <v>4</v>
      </c>
      <c r="S110" s="270">
        <f t="shared" ca="1" si="22"/>
        <v>7.4060000000000001E-2</v>
      </c>
      <c r="T110" s="213">
        <f>100+Summary!$Q$13</f>
        <v>93.99</v>
      </c>
      <c r="U110" s="96">
        <v>5</v>
      </c>
      <c r="V110" s="224">
        <f t="shared" ca="1" si="23"/>
        <v>7.8793044933923126E-2</v>
      </c>
      <c r="W110" s="96">
        <f t="shared" ca="1" si="24"/>
        <v>12876240.202283755</v>
      </c>
      <c r="X110" s="96">
        <v>1</v>
      </c>
      <c r="Y110" s="96">
        <v>1</v>
      </c>
      <c r="Z110" s="96">
        <f>SUMIFS(S$5:S$18,P$5:P$18,P110,Q$5:Q$18,Q110,R$5:R$18,R110)</f>
        <v>163418487.16573825</v>
      </c>
      <c r="AA110" s="96">
        <v>1</v>
      </c>
    </row>
    <row r="111" spans="14:27">
      <c r="N111" s="162" t="s">
        <v>440</v>
      </c>
      <c r="O111" s="57" t="s">
        <v>338</v>
      </c>
      <c r="P111" s="55" t="s">
        <v>132</v>
      </c>
      <c r="Q111" s="55" t="s">
        <v>132</v>
      </c>
      <c r="R111" s="55" t="s">
        <v>138</v>
      </c>
      <c r="S111" s="270">
        <f t="shared" si="22"/>
        <v>0.51</v>
      </c>
      <c r="T111" s="213">
        <f>100+Summary!$Q$13</f>
        <v>93.99</v>
      </c>
      <c r="U111" s="96">
        <v>2</v>
      </c>
      <c r="V111" s="224">
        <f t="shared" si="23"/>
        <v>0.54</v>
      </c>
      <c r="W111" s="96">
        <f t="shared" si="24"/>
        <v>38128.813448275869</v>
      </c>
      <c r="X111" s="96">
        <v>1</v>
      </c>
      <c r="Y111" s="96">
        <v>1</v>
      </c>
      <c r="Z111" s="96">
        <f>SUMIFS(S$5:S$18,P$5:P$18,P111,Q$5:Q$18,Q111,R$5:R$18,R111)</f>
        <v>70608.913793103449</v>
      </c>
      <c r="AA111" s="96">
        <v>1</v>
      </c>
    </row>
    <row r="112" spans="14:27">
      <c r="N112" s="162" t="s">
        <v>440</v>
      </c>
      <c r="O112" s="57" t="s">
        <v>338</v>
      </c>
      <c r="P112" s="55" t="s">
        <v>132</v>
      </c>
      <c r="Q112" s="55" t="s">
        <v>132</v>
      </c>
      <c r="R112" s="122" t="s">
        <v>303</v>
      </c>
      <c r="S112" s="270">
        <f t="shared" si="22"/>
        <v>-0.01</v>
      </c>
      <c r="T112" s="511">
        <v>100</v>
      </c>
      <c r="U112" s="96">
        <v>2</v>
      </c>
      <c r="V112" s="224">
        <f t="shared" si="23"/>
        <v>-0.01</v>
      </c>
      <c r="W112" s="96">
        <f t="shared" si="24"/>
        <v>-228.4</v>
      </c>
      <c r="X112" s="96">
        <v>1</v>
      </c>
      <c r="Y112" s="96">
        <v>1</v>
      </c>
      <c r="Z112" s="96">
        <f>SUMIFS(S$5:S$18,P$5:P$18,P112,Q$5:Q$18,Q112,R$5:R$18,R112)</f>
        <v>22840</v>
      </c>
      <c r="AA112" s="96">
        <v>1</v>
      </c>
    </row>
    <row r="113" spans="14:27">
      <c r="N113" s="162" t="s">
        <v>440</v>
      </c>
      <c r="O113" s="57" t="s">
        <v>338</v>
      </c>
      <c r="P113" s="55" t="s">
        <v>132</v>
      </c>
      <c r="Q113" s="55" t="s">
        <v>132</v>
      </c>
      <c r="R113" s="122" t="s">
        <v>294</v>
      </c>
      <c r="S113" s="270">
        <f t="shared" si="22"/>
        <v>-0.3</v>
      </c>
      <c r="T113" s="511">
        <v>100</v>
      </c>
      <c r="U113" s="96">
        <v>2</v>
      </c>
      <c r="V113" s="224">
        <f t="shared" si="23"/>
        <v>-0.3</v>
      </c>
      <c r="W113" s="96">
        <f t="shared" si="24"/>
        <v>-256.12</v>
      </c>
      <c r="X113" s="96">
        <v>1</v>
      </c>
      <c r="Y113" s="96">
        <v>1</v>
      </c>
      <c r="Z113" s="96">
        <f>SUMIFS(S$5:S$18,P$5:P$18,P113,Q$5:Q$18,Q113,R$5:R$18,R113)</f>
        <v>853.73333333333335</v>
      </c>
      <c r="AA113" s="96">
        <v>1</v>
      </c>
    </row>
    <row r="114" spans="14:27">
      <c r="N114" s="163" t="s">
        <v>440</v>
      </c>
      <c r="O114" s="103" t="s">
        <v>338</v>
      </c>
      <c r="P114" s="105" t="s">
        <v>132</v>
      </c>
      <c r="Q114" s="105" t="s">
        <v>132</v>
      </c>
      <c r="R114" s="212" t="s">
        <v>304</v>
      </c>
      <c r="S114" s="271">
        <f t="shared" si="22"/>
        <v>60</v>
      </c>
      <c r="T114" s="511">
        <v>100</v>
      </c>
      <c r="U114" s="96">
        <v>2</v>
      </c>
      <c r="V114" s="224">
        <f t="shared" si="23"/>
        <v>60</v>
      </c>
      <c r="W114" s="96">
        <f t="shared" si="24"/>
        <v>730.00000000000011</v>
      </c>
      <c r="X114" s="96">
        <v>1</v>
      </c>
      <c r="Y114" s="96">
        <v>1</v>
      </c>
      <c r="Z114" s="96">
        <f>SUMIFS(S$5:S$18,P$5:P$18,P114,Q$5:Q$18,Q114,R$5:R$18,R114)</f>
        <v>12.166666666666668</v>
      </c>
      <c r="AA114" s="96">
        <v>1</v>
      </c>
    </row>
    <row r="115" spans="14:27">
      <c r="N115" s="166" t="s">
        <v>440</v>
      </c>
      <c r="O115" s="98" t="s">
        <v>19</v>
      </c>
      <c r="P115" s="99" t="s">
        <v>136</v>
      </c>
      <c r="Q115" s="99" t="s">
        <v>132</v>
      </c>
      <c r="R115" s="99" t="s">
        <v>221</v>
      </c>
      <c r="S115" s="167">
        <f t="shared" ref="S115:S129" ca="1" si="27">IF(R115="Unbilled",SUMIFS(S$74:S$88,R$74:R$88,R115),SUMIFS(S$101:S$114,P$101:P$114,P115,Q$101:Q$114,Q115,R$101:R$114,R115)*U115)</f>
        <v>58812.52330061933</v>
      </c>
      <c r="T115" s="96">
        <f t="shared" ref="T115:T129" ca="1" si="28">IF(R115="Unbilled",SUMIFS(S$74:S$88,R$74:R$88,R115),SUMIFS(V$101:V$114,P$101:P$114,P115,Q$101:Q$114,Q115,R$101:R$114,R115)*U115)</f>
        <v>62575.708494410101</v>
      </c>
      <c r="U115" s="96">
        <f t="shared" ref="U115:U129" si="29">SUMIFS(S$5:S$18,P$5:P$18,P115,Q$5:Q$18,Q115,R$5:R$18,R115)</f>
        <v>508.93495414173873</v>
      </c>
      <c r="X115" s="96"/>
      <c r="Y115" s="96"/>
      <c r="Z115" s="96"/>
    </row>
    <row r="116" spans="14:27">
      <c r="N116" s="162" t="s">
        <v>440</v>
      </c>
      <c r="O116" s="57" t="s">
        <v>19</v>
      </c>
      <c r="P116" s="101" t="s">
        <v>136</v>
      </c>
      <c r="Q116" s="101" t="s">
        <v>132</v>
      </c>
      <c r="R116" s="101" t="s">
        <v>131</v>
      </c>
      <c r="S116" s="164">
        <f t="shared" ca="1" si="27"/>
        <v>0</v>
      </c>
      <c r="T116" s="96">
        <f t="shared" ca="1" si="28"/>
        <v>0</v>
      </c>
      <c r="U116" s="96">
        <f t="shared" si="29"/>
        <v>495.84657534246583</v>
      </c>
      <c r="X116" s="96"/>
      <c r="Y116" s="96"/>
      <c r="Z116" s="96"/>
    </row>
    <row r="117" spans="14:27">
      <c r="N117" s="162" t="s">
        <v>440</v>
      </c>
      <c r="O117" s="57" t="s">
        <v>19</v>
      </c>
      <c r="P117" s="101" t="s">
        <v>137</v>
      </c>
      <c r="Q117" s="101" t="s">
        <v>140</v>
      </c>
      <c r="R117" s="101" t="s">
        <v>221</v>
      </c>
      <c r="S117" s="164">
        <f t="shared" ca="1" si="27"/>
        <v>227245.35868786278</v>
      </c>
      <c r="T117" s="96">
        <f t="shared" ca="1" si="28"/>
        <v>241785.90755703251</v>
      </c>
      <c r="U117" s="96">
        <f t="shared" si="29"/>
        <v>983.23536988517992</v>
      </c>
      <c r="X117" s="96"/>
      <c r="Y117" s="96"/>
      <c r="Z117" s="96"/>
    </row>
    <row r="118" spans="14:27">
      <c r="N118" s="162" t="s">
        <v>440</v>
      </c>
      <c r="O118" s="57" t="s">
        <v>19</v>
      </c>
      <c r="P118" s="101" t="s">
        <v>137</v>
      </c>
      <c r="Q118" s="101" t="s">
        <v>140</v>
      </c>
      <c r="R118" s="101" t="s">
        <v>131</v>
      </c>
      <c r="S118" s="164">
        <f t="shared" ca="1" si="27"/>
        <v>0</v>
      </c>
      <c r="T118" s="96">
        <f t="shared" ca="1" si="28"/>
        <v>0</v>
      </c>
      <c r="U118" s="96">
        <f t="shared" si="29"/>
        <v>2698.3863013698633</v>
      </c>
      <c r="W118" s="396"/>
      <c r="X118" s="96"/>
      <c r="Y118" s="96"/>
      <c r="Z118" s="96"/>
    </row>
    <row r="119" spans="14:27">
      <c r="N119" s="162" t="s">
        <v>440</v>
      </c>
      <c r="O119" s="57" t="s">
        <v>19</v>
      </c>
      <c r="P119" s="101" t="s">
        <v>137</v>
      </c>
      <c r="Q119" s="101" t="s">
        <v>220</v>
      </c>
      <c r="R119" s="101" t="s">
        <v>131</v>
      </c>
      <c r="S119" s="164">
        <f t="shared" ca="1" si="27"/>
        <v>228711.73873972587</v>
      </c>
      <c r="T119" s="96">
        <f t="shared" ca="1" si="28"/>
        <v>243335.01963726274</v>
      </c>
      <c r="U119" s="96">
        <f t="shared" si="29"/>
        <v>441.46027397260241</v>
      </c>
      <c r="W119" s="396"/>
      <c r="X119" s="96"/>
      <c r="Y119" s="96"/>
      <c r="Z119" s="96"/>
    </row>
    <row r="120" spans="14:27">
      <c r="N120" s="162" t="s">
        <v>440</v>
      </c>
      <c r="O120" s="57" t="s">
        <v>19</v>
      </c>
      <c r="P120" s="101" t="s">
        <v>137</v>
      </c>
      <c r="Q120" s="101" t="s">
        <v>141</v>
      </c>
      <c r="R120" s="101" t="s">
        <v>131</v>
      </c>
      <c r="S120" s="164">
        <f t="shared" ca="1" si="27"/>
        <v>27374.749999999993</v>
      </c>
      <c r="T120" s="96">
        <f t="shared" ca="1" si="28"/>
        <v>29125.17252004657</v>
      </c>
      <c r="U120" s="96">
        <f t="shared" si="29"/>
        <v>12.999999999999996</v>
      </c>
      <c r="W120" s="396"/>
    </row>
    <row r="121" spans="14:27">
      <c r="N121" s="162" t="s">
        <v>440</v>
      </c>
      <c r="O121" s="57" t="s">
        <v>19</v>
      </c>
      <c r="P121" s="101" t="s">
        <v>137</v>
      </c>
      <c r="Q121" s="101" t="s">
        <v>220</v>
      </c>
      <c r="R121" s="101" t="s">
        <v>217</v>
      </c>
      <c r="S121" s="164">
        <f t="shared" ca="1" si="27"/>
        <v>1472544.9522419039</v>
      </c>
      <c r="T121" s="96">
        <f t="shared" ca="1" si="28"/>
        <v>1566862.4584924516</v>
      </c>
      <c r="U121" s="96">
        <f t="shared" si="29"/>
        <v>42806.539309357671</v>
      </c>
      <c r="W121" s="396"/>
    </row>
    <row r="122" spans="14:27">
      <c r="N122" s="162" t="s">
        <v>440</v>
      </c>
      <c r="O122" s="57" t="s">
        <v>19</v>
      </c>
      <c r="P122" s="101" t="s">
        <v>137</v>
      </c>
      <c r="Q122" s="101" t="s">
        <v>141</v>
      </c>
      <c r="R122" s="101" t="s">
        <v>217</v>
      </c>
      <c r="S122" s="164">
        <f t="shared" ca="1" si="27"/>
        <v>154029.41613142457</v>
      </c>
      <c r="T122" s="96">
        <f t="shared" ca="1" si="28"/>
        <v>163898.34472910501</v>
      </c>
      <c r="U122" s="96">
        <f t="shared" si="29"/>
        <v>5726.0005996812115</v>
      </c>
    </row>
    <row r="123" spans="14:27">
      <c r="N123" s="162" t="s">
        <v>440</v>
      </c>
      <c r="O123" s="57" t="s">
        <v>19</v>
      </c>
      <c r="P123" s="101" t="s">
        <v>132</v>
      </c>
      <c r="Q123" s="101" t="s">
        <v>140</v>
      </c>
      <c r="R123" s="101" t="s">
        <v>217</v>
      </c>
      <c r="S123" s="164">
        <f t="shared" ca="1" si="27"/>
        <v>2149663.4421296953</v>
      </c>
      <c r="T123" s="96">
        <f t="shared" ca="1" si="28"/>
        <v>2287212.0658421312</v>
      </c>
      <c r="U123" s="96">
        <f t="shared" si="29"/>
        <v>55806.423731300492</v>
      </c>
    </row>
    <row r="124" spans="14:27">
      <c r="N124" s="162" t="s">
        <v>440</v>
      </c>
      <c r="O124" s="57" t="s">
        <v>19</v>
      </c>
      <c r="P124" s="101" t="s">
        <v>132</v>
      </c>
      <c r="Q124" s="101" t="s">
        <v>132</v>
      </c>
      <c r="R124" s="101" t="s">
        <v>4</v>
      </c>
      <c r="S124" s="164">
        <f t="shared" ca="1" si="27"/>
        <v>12102773.159494575</v>
      </c>
      <c r="T124" s="96">
        <f t="shared" ca="1" si="28"/>
        <v>12876240.202283753</v>
      </c>
      <c r="U124" s="96">
        <f t="shared" si="29"/>
        <v>163418487.16573825</v>
      </c>
    </row>
    <row r="125" spans="14:27">
      <c r="N125" s="162" t="s">
        <v>440</v>
      </c>
      <c r="O125" s="57" t="s">
        <v>19</v>
      </c>
      <c r="P125" s="101" t="s">
        <v>132</v>
      </c>
      <c r="Q125" s="101" t="s">
        <v>132</v>
      </c>
      <c r="R125" s="101" t="s">
        <v>138</v>
      </c>
      <c r="S125" s="164">
        <f t="shared" si="27"/>
        <v>36010.546034482759</v>
      </c>
      <c r="T125" s="96">
        <f t="shared" si="28"/>
        <v>38128.813448275869</v>
      </c>
      <c r="U125" s="96">
        <f t="shared" si="29"/>
        <v>70608.913793103449</v>
      </c>
    </row>
    <row r="126" spans="14:27">
      <c r="N126" s="162" t="s">
        <v>440</v>
      </c>
      <c r="O126" s="57" t="s">
        <v>19</v>
      </c>
      <c r="P126" s="101" t="s">
        <v>132</v>
      </c>
      <c r="Q126" s="101" t="s">
        <v>132</v>
      </c>
      <c r="R126" s="122" t="s">
        <v>303</v>
      </c>
      <c r="S126" s="164">
        <f t="shared" si="27"/>
        <v>-228.4</v>
      </c>
      <c r="T126" s="96">
        <f t="shared" si="28"/>
        <v>-228.4</v>
      </c>
      <c r="U126" s="96">
        <f t="shared" si="29"/>
        <v>22840</v>
      </c>
    </row>
    <row r="127" spans="14:27">
      <c r="N127" s="162" t="s">
        <v>440</v>
      </c>
      <c r="O127" s="57" t="s">
        <v>19</v>
      </c>
      <c r="P127" s="101" t="s">
        <v>132</v>
      </c>
      <c r="Q127" s="101" t="s">
        <v>132</v>
      </c>
      <c r="R127" s="122" t="s">
        <v>294</v>
      </c>
      <c r="S127" s="164">
        <f t="shared" si="27"/>
        <v>-256.12</v>
      </c>
      <c r="T127" s="96">
        <f t="shared" si="28"/>
        <v>-256.12</v>
      </c>
      <c r="U127" s="96">
        <f t="shared" si="29"/>
        <v>853.73333333333335</v>
      </c>
    </row>
    <row r="128" spans="14:27">
      <c r="N128" s="162" t="s">
        <v>440</v>
      </c>
      <c r="O128" s="57" t="s">
        <v>19</v>
      </c>
      <c r="P128" s="101" t="s">
        <v>132</v>
      </c>
      <c r="Q128" s="101" t="s">
        <v>132</v>
      </c>
      <c r="R128" s="122" t="s">
        <v>304</v>
      </c>
      <c r="S128" s="164">
        <f t="shared" si="27"/>
        <v>730.00000000000011</v>
      </c>
      <c r="T128" s="96">
        <f t="shared" si="28"/>
        <v>730.00000000000011</v>
      </c>
      <c r="U128" s="96">
        <f t="shared" si="29"/>
        <v>12.166666666666668</v>
      </c>
    </row>
    <row r="129" spans="14:21">
      <c r="N129" s="163" t="s">
        <v>440</v>
      </c>
      <c r="O129" s="103" t="s">
        <v>19</v>
      </c>
      <c r="P129" s="105" t="s">
        <v>132</v>
      </c>
      <c r="Q129" s="105" t="s">
        <v>132</v>
      </c>
      <c r="R129" s="211" t="s">
        <v>105</v>
      </c>
      <c r="S129" s="165">
        <f t="shared" si="27"/>
        <v>-1729000</v>
      </c>
      <c r="T129" s="96">
        <f t="shared" si="28"/>
        <v>-1729000</v>
      </c>
      <c r="U129" s="96">
        <f t="shared" si="29"/>
        <v>0</v>
      </c>
    </row>
    <row r="131" spans="14:21">
      <c r="S131" s="481" t="s">
        <v>152</v>
      </c>
      <c r="T131" s="155"/>
    </row>
    <row r="132" spans="14:21">
      <c r="S132" s="482" t="s">
        <v>435</v>
      </c>
      <c r="T132" s="480">
        <f ca="1">SUM(T74:T88)-SUM(S48:S51)</f>
        <v>0</v>
      </c>
    </row>
    <row r="133" spans="14:21">
      <c r="S133" s="483" t="s">
        <v>437</v>
      </c>
      <c r="T133" s="471">
        <f ca="1">SUM(T115:T129)-SUM(S89:S92)</f>
        <v>0</v>
      </c>
    </row>
  </sheetData>
  <phoneticPr fontId="19" type="noConversion"/>
  <printOptions horizontalCentered="1"/>
  <pageMargins left="0.2" right="0.2" top="0.2" bottom="0.2" header="0" footer="0"/>
  <pageSetup fitToHeight="0" orientation="landscape" r:id="rId1"/>
  <rowBreaks count="5" manualBreakCount="5">
    <brk id="32" min="13" max="18" man="1"/>
    <brk id="47" min="13" max="18" man="1"/>
    <brk id="59" min="13" max="18" man="1"/>
    <brk id="88" min="13" max="18" man="1"/>
    <brk id="100" min="13" max="18" man="1"/>
  </rowBreaks>
  <ignoredErrors>
    <ignoredError sqref="V5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B563-30D9-446A-B9D1-466CB359DA33}">
  <sheetPr>
    <pageSetUpPr fitToPage="1"/>
  </sheetPr>
  <dimension ref="A1:L187"/>
  <sheetViews>
    <sheetView showGridLines="0" zoomScale="70" zoomScaleNormal="70" zoomScaleSheetLayoutView="75" workbookViewId="0">
      <pane ySplit="6" topLeftCell="A67" activePane="bottomLeft" state="frozen"/>
      <selection activeCell="C2" sqref="C2"/>
      <selection pane="bottomLeft" activeCell="C2" sqref="C2"/>
    </sheetView>
  </sheetViews>
  <sheetFormatPr defaultRowHeight="15.75"/>
  <cols>
    <col min="1" max="1" width="21.375" style="110" bestFit="1" customWidth="1"/>
    <col min="2" max="2" width="7.125" style="110" bestFit="1" customWidth="1"/>
    <col min="3" max="3" width="12.25" style="110" bestFit="1" customWidth="1"/>
    <col min="4" max="4" width="12.625" style="110" bestFit="1" customWidth="1"/>
    <col min="5" max="5" width="7.625" style="110" bestFit="1" customWidth="1"/>
    <col min="6" max="6" width="41.5" style="110" bestFit="1" customWidth="1"/>
    <col min="7" max="7" width="11.25" style="111" bestFit="1" customWidth="1"/>
    <col min="8" max="14" width="12.75" customWidth="1"/>
  </cols>
  <sheetData>
    <row r="1" spans="1:9">
      <c r="A1" s="218" t="s">
        <v>350</v>
      </c>
      <c r="B1" s="198"/>
      <c r="C1" s="198"/>
      <c r="D1" s="198"/>
      <c r="E1" s="198"/>
      <c r="F1" s="198"/>
      <c r="G1" s="200"/>
    </row>
    <row r="2" spans="1:9">
      <c r="A2" s="219" t="s">
        <v>351</v>
      </c>
      <c r="B2" s="201"/>
      <c r="C2" s="201"/>
      <c r="D2" s="201"/>
      <c r="E2" s="201"/>
      <c r="F2" s="201"/>
      <c r="G2" s="217"/>
    </row>
    <row r="3" spans="1:9">
      <c r="A3" s="219" t="s">
        <v>489</v>
      </c>
      <c r="B3" s="201"/>
      <c r="C3" s="201"/>
      <c r="D3" s="201"/>
      <c r="E3" s="201"/>
      <c r="F3" s="201"/>
      <c r="G3" s="217"/>
    </row>
    <row r="4" spans="1:9">
      <c r="A4" s="526" t="s">
        <v>494</v>
      </c>
      <c r="B4" s="201"/>
      <c r="C4" s="201"/>
      <c r="D4" s="201"/>
      <c r="E4" s="201"/>
      <c r="F4" s="201"/>
      <c r="G4" s="217"/>
      <c r="H4" s="398" t="s">
        <v>596</v>
      </c>
      <c r="I4" s="400"/>
    </row>
    <row r="5" spans="1:9">
      <c r="A5" s="202" t="s">
        <v>342</v>
      </c>
      <c r="B5" s="203"/>
      <c r="C5" s="203"/>
      <c r="D5" s="204"/>
      <c r="E5" s="204"/>
      <c r="F5" s="205"/>
      <c r="G5" s="206"/>
      <c r="H5" s="408" t="s">
        <v>594</v>
      </c>
      <c r="I5" s="410"/>
    </row>
    <row r="6" spans="1:9">
      <c r="A6" s="180"/>
      <c r="B6" s="180"/>
      <c r="C6" s="180" t="s">
        <v>352</v>
      </c>
      <c r="D6" s="180" t="s">
        <v>90</v>
      </c>
      <c r="E6" s="180" t="s">
        <v>130</v>
      </c>
      <c r="F6" s="181" t="s">
        <v>336</v>
      </c>
      <c r="G6" s="367" t="s">
        <v>143</v>
      </c>
      <c r="H6" s="365" t="s">
        <v>595</v>
      </c>
      <c r="I6" s="365" t="s">
        <v>0</v>
      </c>
    </row>
    <row r="7" spans="1:9">
      <c r="A7" s="208" t="s">
        <v>154</v>
      </c>
      <c r="B7" s="98" t="s">
        <v>337</v>
      </c>
      <c r="C7" s="98" t="s">
        <v>106</v>
      </c>
      <c r="D7" s="97" t="s">
        <v>2</v>
      </c>
      <c r="E7" s="98" t="s">
        <v>132</v>
      </c>
      <c r="F7" s="97" t="s">
        <v>273</v>
      </c>
      <c r="G7" s="97">
        <f>SUMIFS('Normalized Units'!I:I,'Normalized Units'!B:B,"Normalized Billing Units",'Normalized Units'!C:C,C7,'Normalized Units'!D:D,D7,'Normalized Units'!F:F,E7,'Normalized Units'!H:H,F7)</f>
        <v>11358.954476087458</v>
      </c>
      <c r="H7" s="243">
        <v>19</v>
      </c>
      <c r="I7" s="237">
        <f>G7*H7</f>
        <v>215820.13504566171</v>
      </c>
    </row>
    <row r="8" spans="1:9">
      <c r="A8" s="184" t="s">
        <v>154</v>
      </c>
      <c r="B8" s="57" t="s">
        <v>337</v>
      </c>
      <c r="C8" s="57" t="s">
        <v>106</v>
      </c>
      <c r="D8" s="55" t="s">
        <v>2</v>
      </c>
      <c r="E8" s="57" t="s">
        <v>132</v>
      </c>
      <c r="F8" s="55" t="s">
        <v>274</v>
      </c>
      <c r="G8" s="55">
        <f>SUMIFS('Normalized Units'!I:I,'Normalized Units'!B:B,"Normalized Billing Units",'Normalized Units'!C:C,C8,'Normalized Units'!D:D,D8,'Normalized Units'!F:F,E8,'Normalized Units'!H:H,F8)</f>
        <v>526.33326791014065</v>
      </c>
      <c r="H8" s="236">
        <v>34</v>
      </c>
      <c r="I8" s="237">
        <f t="shared" ref="I8:I27" si="0">G8*H8</f>
        <v>17895.331108944782</v>
      </c>
    </row>
    <row r="9" spans="1:9">
      <c r="A9" s="184" t="s">
        <v>154</v>
      </c>
      <c r="B9" s="57" t="s">
        <v>337</v>
      </c>
      <c r="C9" s="57" t="s">
        <v>106</v>
      </c>
      <c r="D9" s="55" t="s">
        <v>2</v>
      </c>
      <c r="E9" s="57" t="s">
        <v>132</v>
      </c>
      <c r="F9" s="55" t="s">
        <v>275</v>
      </c>
      <c r="G9" s="55">
        <f>SUMIFS('Normalized Units'!I:I,'Normalized Units'!B:B,"Normalized Billing Units",'Normalized Units'!C:C,C9,'Normalized Units'!D:D,D9,'Normalized Units'!F:F,E9,'Normalized Units'!H:H,F9)</f>
        <v>24.000151301886131</v>
      </c>
      <c r="H9" s="236">
        <v>57</v>
      </c>
      <c r="I9" s="237">
        <f t="shared" si="0"/>
        <v>1368.0086242075095</v>
      </c>
    </row>
    <row r="10" spans="1:9">
      <c r="A10" s="184" t="s">
        <v>154</v>
      </c>
      <c r="B10" s="57" t="s">
        <v>337</v>
      </c>
      <c r="C10" s="57" t="s">
        <v>106</v>
      </c>
      <c r="D10" s="55" t="s">
        <v>3</v>
      </c>
      <c r="E10" s="57" t="s">
        <v>132</v>
      </c>
      <c r="F10" s="55" t="s">
        <v>273</v>
      </c>
      <c r="G10" s="55">
        <f>SUMIFS('Normalized Units'!I:I,'Normalized Units'!B:B,"Normalized Billing Units",'Normalized Units'!C:C,C10,'Normalized Units'!D:D,D10,'Normalized Units'!F:F,E10,'Normalized Units'!H:H,F10)</f>
        <v>13292.36576712665</v>
      </c>
      <c r="H10" s="1">
        <f>H$7</f>
        <v>19</v>
      </c>
      <c r="I10" s="237">
        <f t="shared" si="0"/>
        <v>252554.94957540635</v>
      </c>
    </row>
    <row r="11" spans="1:9">
      <c r="A11" s="184" t="s">
        <v>154</v>
      </c>
      <c r="B11" s="57" t="s">
        <v>337</v>
      </c>
      <c r="C11" s="57" t="s">
        <v>106</v>
      </c>
      <c r="D11" s="55" t="s">
        <v>3</v>
      </c>
      <c r="E11" s="57" t="s">
        <v>132</v>
      </c>
      <c r="F11" s="55" t="s">
        <v>274</v>
      </c>
      <c r="G11" s="55">
        <f>SUMIFS('Normalized Units'!I:I,'Normalized Units'!B:B,"Normalized Billing Units",'Normalized Units'!C:C,C11,'Normalized Units'!D:D,D11,'Normalized Units'!F:F,E11,'Normalized Units'!H:H,F11)</f>
        <v>4567.0003983882498</v>
      </c>
      <c r="H11" s="1">
        <f>H$8</f>
        <v>34</v>
      </c>
      <c r="I11" s="237">
        <f t="shared" si="0"/>
        <v>155278.01354520049</v>
      </c>
    </row>
    <row r="12" spans="1:9">
      <c r="A12" s="184" t="s">
        <v>154</v>
      </c>
      <c r="B12" s="57" t="s">
        <v>337</v>
      </c>
      <c r="C12" s="57" t="s">
        <v>106</v>
      </c>
      <c r="D12" s="55" t="s">
        <v>3</v>
      </c>
      <c r="E12" s="57" t="s">
        <v>132</v>
      </c>
      <c r="F12" s="55" t="s">
        <v>275</v>
      </c>
      <c r="G12" s="55">
        <f>SUMIFS('Normalized Units'!I:I,'Normalized Units'!B:B,"Normalized Billing Units",'Normalized Units'!C:C,C12,'Normalized Units'!D:D,D12,'Normalized Units'!F:F,E12,'Normalized Units'!H:H,F12)</f>
        <v>953.11491762270532</v>
      </c>
      <c r="H12" s="1">
        <f>H$9</f>
        <v>57</v>
      </c>
      <c r="I12" s="237">
        <f t="shared" si="0"/>
        <v>54327.550304494202</v>
      </c>
    </row>
    <row r="13" spans="1:9">
      <c r="A13" s="184" t="s">
        <v>154</v>
      </c>
      <c r="B13" s="57" t="s">
        <v>337</v>
      </c>
      <c r="C13" s="57" t="s">
        <v>106</v>
      </c>
      <c r="D13" s="55" t="s">
        <v>5</v>
      </c>
      <c r="E13" s="57" t="s">
        <v>132</v>
      </c>
      <c r="F13" s="55" t="s">
        <v>273</v>
      </c>
      <c r="G13" s="55">
        <f>SUMIFS('Normalized Units'!I:I,'Normalized Units'!B:B,"Normalized Billing Units",'Normalized Units'!C:C,C13,'Normalized Units'!D:D,D13,'Normalized Units'!F:F,E13,'Normalized Units'!H:H,F13)</f>
        <v>553.77376815090633</v>
      </c>
      <c r="H13" s="1">
        <f>H$7</f>
        <v>19</v>
      </c>
      <c r="I13" s="237">
        <f t="shared" si="0"/>
        <v>10521.70159486722</v>
      </c>
    </row>
    <row r="14" spans="1:9">
      <c r="A14" s="184" t="s">
        <v>154</v>
      </c>
      <c r="B14" s="57" t="s">
        <v>337</v>
      </c>
      <c r="C14" s="57" t="s">
        <v>106</v>
      </c>
      <c r="D14" s="55" t="s">
        <v>5</v>
      </c>
      <c r="E14" s="57" t="s">
        <v>132</v>
      </c>
      <c r="F14" s="55" t="s">
        <v>274</v>
      </c>
      <c r="G14" s="55">
        <f>SUMIFS('Normalized Units'!I:I,'Normalized Units'!B:B,"Normalized Billing Units",'Normalized Units'!C:C,C14,'Normalized Units'!D:D,D14,'Normalized Units'!F:F,E14,'Normalized Units'!H:H,F14)</f>
        <v>432.00177682459218</v>
      </c>
      <c r="H14" s="1">
        <f>H$8</f>
        <v>34</v>
      </c>
      <c r="I14" s="237">
        <f t="shared" si="0"/>
        <v>14688.060412036135</v>
      </c>
    </row>
    <row r="15" spans="1:9">
      <c r="A15" s="184" t="s">
        <v>154</v>
      </c>
      <c r="B15" s="57" t="s">
        <v>337</v>
      </c>
      <c r="C15" s="57" t="s">
        <v>106</v>
      </c>
      <c r="D15" s="55" t="s">
        <v>5</v>
      </c>
      <c r="E15" s="57" t="s">
        <v>132</v>
      </c>
      <c r="F15" s="55" t="s">
        <v>275</v>
      </c>
      <c r="G15" s="55">
        <f>SUMIFS('Normalized Units'!I:I,'Normalized Units'!B:B,"Normalized Billing Units",'Normalized Units'!C:C,C15,'Normalized Units'!D:D,D15,'Normalized Units'!F:F,E15,'Normalized Units'!H:H,F15)</f>
        <v>36.000950710147876</v>
      </c>
      <c r="H15" s="1">
        <f>H$9</f>
        <v>57</v>
      </c>
      <c r="I15" s="237">
        <f t="shared" si="0"/>
        <v>2052.0541904784291</v>
      </c>
    </row>
    <row r="16" spans="1:9">
      <c r="A16" s="184" t="s">
        <v>154</v>
      </c>
      <c r="B16" s="57" t="s">
        <v>337</v>
      </c>
      <c r="C16" s="57" t="s">
        <v>107</v>
      </c>
      <c r="D16" s="57" t="s">
        <v>104</v>
      </c>
      <c r="E16" s="57" t="s">
        <v>132</v>
      </c>
      <c r="F16" s="55" t="s">
        <v>273</v>
      </c>
      <c r="G16" s="55">
        <f>SUMIFS('Normalized Units'!I:I,'Normalized Units'!B:B,"Normalized Billing Units",'Normalized Units'!C:C,C16,'Normalized Units'!D:D,D16,'Normalized Units'!F:F,E16,'Normalized Units'!H:H,F16)</f>
        <v>382.93389518695301</v>
      </c>
      <c r="H16" s="236">
        <v>8</v>
      </c>
      <c r="I16" s="237">
        <f t="shared" si="0"/>
        <v>3063.4711614956241</v>
      </c>
    </row>
    <row r="17" spans="1:9">
      <c r="A17" s="184" t="s">
        <v>154</v>
      </c>
      <c r="B17" s="57" t="s">
        <v>337</v>
      </c>
      <c r="C17" s="57" t="s">
        <v>107</v>
      </c>
      <c r="D17" s="57" t="s">
        <v>104</v>
      </c>
      <c r="E17" s="57" t="s">
        <v>132</v>
      </c>
      <c r="F17" s="55" t="s">
        <v>274</v>
      </c>
      <c r="G17" s="55">
        <f>SUMIFS('Normalized Units'!I:I,'Normalized Units'!B:B,"Normalized Billing Units",'Normalized Units'!C:C,C17,'Normalized Units'!D:D,D17,'Normalized Units'!F:F,E17,'Normalized Units'!H:H,F17)</f>
        <v>3558.2369917005844</v>
      </c>
      <c r="H17" s="236">
        <v>15</v>
      </c>
      <c r="I17" s="237">
        <f t="shared" si="0"/>
        <v>53373.554875508766</v>
      </c>
    </row>
    <row r="18" spans="1:9">
      <c r="A18" s="184" t="s">
        <v>154</v>
      </c>
      <c r="B18" s="57" t="s">
        <v>337</v>
      </c>
      <c r="C18" s="57" t="s">
        <v>107</v>
      </c>
      <c r="D18" s="57" t="s">
        <v>104</v>
      </c>
      <c r="E18" s="57" t="s">
        <v>132</v>
      </c>
      <c r="F18" s="55" t="s">
        <v>275</v>
      </c>
      <c r="G18" s="55">
        <f>SUMIFS('Normalized Units'!I:I,'Normalized Units'!B:B,"Normalized Billing Units",'Normalized Units'!C:C,C18,'Normalized Units'!D:D,D18,'Normalized Units'!F:F,E18,'Normalized Units'!H:H,F18)</f>
        <v>670.30171191440525</v>
      </c>
      <c r="H18" s="236">
        <v>25</v>
      </c>
      <c r="I18" s="237">
        <f t="shared" si="0"/>
        <v>16757.542797860133</v>
      </c>
    </row>
    <row r="19" spans="1:9">
      <c r="A19" s="184" t="s">
        <v>154</v>
      </c>
      <c r="B19" s="57" t="s">
        <v>337</v>
      </c>
      <c r="C19" s="57" t="s">
        <v>107</v>
      </c>
      <c r="D19" s="57" t="s">
        <v>104</v>
      </c>
      <c r="E19" s="57" t="s">
        <v>132</v>
      </c>
      <c r="F19" s="55" t="s">
        <v>276</v>
      </c>
      <c r="G19" s="55">
        <f>SUMIFS('Normalized Units'!I:I,'Normalized Units'!B:B,"Normalized Billing Units",'Normalized Units'!C:C,C19,'Normalized Units'!D:D,D19,'Normalized Units'!F:F,E19,'Normalized Units'!H:H,F19)</f>
        <v>2337.4062264139297</v>
      </c>
      <c r="H19" s="236">
        <v>34</v>
      </c>
      <c r="I19" s="237">
        <f t="shared" si="0"/>
        <v>79471.811698073609</v>
      </c>
    </row>
    <row r="20" spans="1:9">
      <c r="A20" s="184" t="s">
        <v>154</v>
      </c>
      <c r="B20" s="57" t="s">
        <v>337</v>
      </c>
      <c r="C20" s="57" t="s">
        <v>107</v>
      </c>
      <c r="D20" s="57" t="s">
        <v>104</v>
      </c>
      <c r="E20" s="57" t="s">
        <v>132</v>
      </c>
      <c r="F20" s="55" t="s">
        <v>277</v>
      </c>
      <c r="G20" s="55">
        <f>SUMIFS('Normalized Units'!I:I,'Normalized Units'!B:B,"Normalized Billing Units",'Normalized Units'!C:C,C20,'Normalized Units'!D:D,D20,'Normalized Units'!F:F,E20,'Normalized Units'!H:H,F20)</f>
        <v>2940.6303782198192</v>
      </c>
      <c r="H20" s="236">
        <v>44</v>
      </c>
      <c r="I20" s="237">
        <f t="shared" si="0"/>
        <v>129387.73664167205</v>
      </c>
    </row>
    <row r="21" spans="1:9">
      <c r="A21" s="184" t="s">
        <v>154</v>
      </c>
      <c r="B21" s="57" t="s">
        <v>337</v>
      </c>
      <c r="C21" s="57" t="s">
        <v>107</v>
      </c>
      <c r="D21" s="57" t="s">
        <v>104</v>
      </c>
      <c r="E21" s="57" t="s">
        <v>132</v>
      </c>
      <c r="F21" s="55" t="s">
        <v>278</v>
      </c>
      <c r="G21" s="55">
        <f>SUMIFS('Normalized Units'!I:I,'Normalized Units'!B:B,"Normalized Billing Units",'Normalized Units'!C:C,C21,'Normalized Units'!D:D,D21,'Normalized Units'!F:F,E21,'Normalized Units'!H:H,F21)</f>
        <v>1226.7485812663319</v>
      </c>
      <c r="H21" s="236">
        <v>57</v>
      </c>
      <c r="I21" s="237">
        <f t="shared" si="0"/>
        <v>69924.669132180919</v>
      </c>
    </row>
    <row r="22" spans="1:9">
      <c r="A22" s="184" t="s">
        <v>154</v>
      </c>
      <c r="B22" s="57" t="s">
        <v>337</v>
      </c>
      <c r="C22" s="57" t="s">
        <v>107</v>
      </c>
      <c r="D22" s="57" t="s">
        <v>104</v>
      </c>
      <c r="E22" s="57" t="s">
        <v>132</v>
      </c>
      <c r="F22" s="55" t="s">
        <v>279</v>
      </c>
      <c r="G22" s="55">
        <f>SUMIFS('Normalized Units'!I:I,'Normalized Units'!B:B,"Normalized Billing Units",'Normalized Units'!C:C,C22,'Normalized Units'!D:D,D22,'Normalized Units'!F:F,E22,'Normalized Units'!H:H,F22)</f>
        <v>26579.096109647213</v>
      </c>
      <c r="H22" s="273">
        <f>H16</f>
        <v>8</v>
      </c>
      <c r="I22" s="237">
        <f t="shared" si="0"/>
        <v>212632.7688771777</v>
      </c>
    </row>
    <row r="23" spans="1:9">
      <c r="A23" s="184" t="s">
        <v>154</v>
      </c>
      <c r="B23" s="57" t="s">
        <v>337</v>
      </c>
      <c r="C23" s="57" t="s">
        <v>107</v>
      </c>
      <c r="D23" s="57" t="s">
        <v>104</v>
      </c>
      <c r="E23" s="57" t="s">
        <v>132</v>
      </c>
      <c r="F23" s="55" t="s">
        <v>280</v>
      </c>
      <c r="G23" s="55">
        <f>SUMIFS('Normalized Units'!I:I,'Normalized Units'!B:B,"Normalized Billing Units",'Normalized Units'!C:C,C23,'Normalized Units'!D:D,D23,'Normalized Units'!F:F,E23,'Normalized Units'!H:H,F23)</f>
        <v>20543.462638465189</v>
      </c>
      <c r="H23" s="273">
        <f t="shared" ref="H23:H27" si="1">H17</f>
        <v>15</v>
      </c>
      <c r="I23" s="237">
        <f t="shared" si="0"/>
        <v>308151.93957697786</v>
      </c>
    </row>
    <row r="24" spans="1:9">
      <c r="A24" s="184" t="s">
        <v>154</v>
      </c>
      <c r="B24" s="57" t="s">
        <v>337</v>
      </c>
      <c r="C24" s="57" t="s">
        <v>107</v>
      </c>
      <c r="D24" s="57" t="s">
        <v>104</v>
      </c>
      <c r="E24" s="57" t="s">
        <v>132</v>
      </c>
      <c r="F24" s="55" t="s">
        <v>281</v>
      </c>
      <c r="G24" s="55">
        <f>SUMIFS('Normalized Units'!I:I,'Normalized Units'!B:B,"Normalized Billing Units",'Normalized Units'!C:C,C24,'Normalized Units'!D:D,D24,'Normalized Units'!F:F,E24,'Normalized Units'!H:H,F24)</f>
        <v>983.99704050185335</v>
      </c>
      <c r="H24" s="273">
        <f t="shared" si="1"/>
        <v>25</v>
      </c>
      <c r="I24" s="237">
        <f t="shared" si="0"/>
        <v>24599.926012546333</v>
      </c>
    </row>
    <row r="25" spans="1:9">
      <c r="A25" s="184" t="s">
        <v>154</v>
      </c>
      <c r="B25" s="57" t="s">
        <v>337</v>
      </c>
      <c r="C25" s="57" t="s">
        <v>107</v>
      </c>
      <c r="D25" s="57" t="s">
        <v>104</v>
      </c>
      <c r="E25" s="57" t="s">
        <v>132</v>
      </c>
      <c r="F25" s="55" t="s">
        <v>282</v>
      </c>
      <c r="G25" s="55">
        <f>SUMIFS('Normalized Units'!I:I,'Normalized Units'!B:B,"Normalized Billing Units",'Normalized Units'!C:C,C25,'Normalized Units'!D:D,D25,'Normalized Units'!F:F,E25,'Normalized Units'!H:H,F25)</f>
        <v>18658.617894870746</v>
      </c>
      <c r="H25" s="273">
        <f t="shared" si="1"/>
        <v>34</v>
      </c>
      <c r="I25" s="237">
        <f t="shared" si="0"/>
        <v>634393.00842560537</v>
      </c>
    </row>
    <row r="26" spans="1:9">
      <c r="A26" s="184" t="s">
        <v>154</v>
      </c>
      <c r="B26" s="57" t="s">
        <v>337</v>
      </c>
      <c r="C26" s="57" t="s">
        <v>107</v>
      </c>
      <c r="D26" s="57" t="s">
        <v>104</v>
      </c>
      <c r="E26" s="57" t="s">
        <v>132</v>
      </c>
      <c r="F26" s="55" t="s">
        <v>283</v>
      </c>
      <c r="G26" s="55">
        <f>SUMIFS('Normalized Units'!I:I,'Normalized Units'!B:B,"Normalized Billing Units",'Normalized Units'!C:C,C26,'Normalized Units'!D:D,D26,'Normalized Units'!F:F,E26,'Normalized Units'!H:H,F26)</f>
        <v>2440.0357828284577</v>
      </c>
      <c r="H26" s="273">
        <f t="shared" si="1"/>
        <v>44</v>
      </c>
      <c r="I26" s="237">
        <f t="shared" si="0"/>
        <v>107361.57444445214</v>
      </c>
    </row>
    <row r="27" spans="1:9">
      <c r="A27" s="184" t="s">
        <v>154</v>
      </c>
      <c r="B27" s="57" t="s">
        <v>337</v>
      </c>
      <c r="C27" s="57" t="s">
        <v>107</v>
      </c>
      <c r="D27" s="57" t="s">
        <v>104</v>
      </c>
      <c r="E27" s="57" t="s">
        <v>132</v>
      </c>
      <c r="F27" s="55" t="s">
        <v>284</v>
      </c>
      <c r="G27" s="55">
        <f>SUMIFS('Normalized Units'!I:I,'Normalized Units'!B:B,"Normalized Billing Units",'Normalized Units'!C:C,C27,'Normalized Units'!D:D,D27,'Normalized Units'!F:F,E27,'Normalized Units'!H:H,F27)</f>
        <v>3095.9975745689503</v>
      </c>
      <c r="H27" s="256">
        <f t="shared" si="1"/>
        <v>57</v>
      </c>
      <c r="I27" s="241">
        <f t="shared" si="0"/>
        <v>176471.86175043017</v>
      </c>
    </row>
    <row r="28" spans="1:9">
      <c r="A28" s="184" t="s">
        <v>154</v>
      </c>
      <c r="B28" s="57" t="s">
        <v>337</v>
      </c>
      <c r="C28" s="55" t="s">
        <v>163</v>
      </c>
      <c r="D28" s="57" t="s">
        <v>104</v>
      </c>
      <c r="E28" s="57" t="s">
        <v>132</v>
      </c>
      <c r="F28" s="55" t="s">
        <v>4</v>
      </c>
      <c r="G28" s="55">
        <f>SUMIFS('Normalized Units'!I:I,'Normalized Units'!B:B,"Normalized Billing Units",'Normalized Units'!C:C,C28,'Normalized Units'!D:D,D28,'Normalized Units'!F:F,E28,'Normalized Units'!H:H,F28)</f>
        <v>2111889.0151406806</v>
      </c>
    </row>
    <row r="29" spans="1:9">
      <c r="A29" s="184" t="s">
        <v>154</v>
      </c>
      <c r="B29" s="57" t="s">
        <v>337</v>
      </c>
      <c r="C29" s="55" t="s">
        <v>108</v>
      </c>
      <c r="D29" s="57" t="s">
        <v>3</v>
      </c>
      <c r="E29" s="55" t="s">
        <v>136</v>
      </c>
      <c r="F29" s="57" t="s">
        <v>271</v>
      </c>
      <c r="G29" s="55">
        <f>SUMIFS('Normalized Units'!I:I,'Normalized Units'!B:B,"Normalized Billing Units",'Normalized Units'!C:C,C29,'Normalized Units'!D:D,D29,'Normalized Units'!F:F,E29,'Normalized Units'!H:H,F29)</f>
        <v>138.90042674253201</v>
      </c>
    </row>
    <row r="30" spans="1:9">
      <c r="A30" s="184" t="s">
        <v>154</v>
      </c>
      <c r="B30" s="57" t="s">
        <v>337</v>
      </c>
      <c r="C30" s="55" t="s">
        <v>108</v>
      </c>
      <c r="D30" s="57" t="s">
        <v>3</v>
      </c>
      <c r="E30" s="55" t="s">
        <v>137</v>
      </c>
      <c r="F30" s="57" t="s">
        <v>271</v>
      </c>
      <c r="G30" s="55">
        <f>SUMIFS('Normalized Units'!I:I,'Normalized Units'!B:B,"Normalized Billing Units",'Normalized Units'!C:C,C30,'Normalized Units'!D:D,D30,'Normalized Units'!F:F,E30,'Normalized Units'!H:H,F30)</f>
        <v>168</v>
      </c>
    </row>
    <row r="31" spans="1:9">
      <c r="A31" s="209" t="s">
        <v>154</v>
      </c>
      <c r="B31" s="103" t="s">
        <v>337</v>
      </c>
      <c r="C31" s="105" t="s">
        <v>108</v>
      </c>
      <c r="D31" s="103" t="s">
        <v>3</v>
      </c>
      <c r="E31" s="103" t="s">
        <v>132</v>
      </c>
      <c r="F31" s="105" t="s">
        <v>4</v>
      </c>
      <c r="G31" s="105">
        <f>SUMIFS('Normalized Units'!I:I,'Normalized Units'!B:B,"Normalized Billing Units",'Normalized Units'!C:C,C31,'Normalized Units'!D:D,D31,'Normalized Units'!F:F,E31,'Normalized Units'!H:H,F31)</f>
        <v>312414.5359818064</v>
      </c>
    </row>
    <row r="32" spans="1:9" s="96" customFormat="1">
      <c r="A32" s="98" t="s">
        <v>341</v>
      </c>
      <c r="B32" s="98" t="s">
        <v>338</v>
      </c>
      <c r="C32" s="98" t="s">
        <v>106</v>
      </c>
      <c r="D32" s="97" t="s">
        <v>132</v>
      </c>
      <c r="E32" s="98" t="s">
        <v>132</v>
      </c>
      <c r="F32" s="97" t="s">
        <v>273</v>
      </c>
      <c r="G32" s="269">
        <v>8.6999999999999993</v>
      </c>
    </row>
    <row r="33" spans="1:7" s="96" customFormat="1">
      <c r="A33" s="57" t="s">
        <v>341</v>
      </c>
      <c r="B33" s="57" t="s">
        <v>338</v>
      </c>
      <c r="C33" s="57" t="s">
        <v>106</v>
      </c>
      <c r="D33" s="55" t="s">
        <v>132</v>
      </c>
      <c r="E33" s="57" t="s">
        <v>132</v>
      </c>
      <c r="F33" s="55" t="s">
        <v>274</v>
      </c>
      <c r="G33" s="270">
        <v>10.31</v>
      </c>
    </row>
    <row r="34" spans="1:7" s="96" customFormat="1">
      <c r="A34" s="57" t="s">
        <v>341</v>
      </c>
      <c r="B34" s="57" t="s">
        <v>338</v>
      </c>
      <c r="C34" s="57" t="s">
        <v>106</v>
      </c>
      <c r="D34" s="55" t="s">
        <v>132</v>
      </c>
      <c r="E34" s="57" t="s">
        <v>132</v>
      </c>
      <c r="F34" s="55" t="s">
        <v>275</v>
      </c>
      <c r="G34" s="270">
        <v>12.82</v>
      </c>
    </row>
    <row r="35" spans="1:7" s="96" customFormat="1">
      <c r="A35" s="57" t="s">
        <v>341</v>
      </c>
      <c r="B35" s="57" t="s">
        <v>338</v>
      </c>
      <c r="C35" s="57" t="s">
        <v>107</v>
      </c>
      <c r="D35" s="55" t="s">
        <v>132</v>
      </c>
      <c r="E35" s="57" t="s">
        <v>132</v>
      </c>
      <c r="F35" s="55" t="s">
        <v>273</v>
      </c>
      <c r="G35" s="270">
        <v>8.6300000000000008</v>
      </c>
    </row>
    <row r="36" spans="1:7" s="96" customFormat="1">
      <c r="A36" s="57" t="s">
        <v>341</v>
      </c>
      <c r="B36" s="57" t="s">
        <v>338</v>
      </c>
      <c r="C36" s="57" t="s">
        <v>107</v>
      </c>
      <c r="D36" s="55" t="s">
        <v>132</v>
      </c>
      <c r="E36" s="57" t="s">
        <v>132</v>
      </c>
      <c r="F36" s="55" t="s">
        <v>274</v>
      </c>
      <c r="G36" s="270">
        <v>9.4700000000000006</v>
      </c>
    </row>
    <row r="37" spans="1:7" s="96" customFormat="1">
      <c r="A37" s="57" t="s">
        <v>341</v>
      </c>
      <c r="B37" s="57" t="s">
        <v>338</v>
      </c>
      <c r="C37" s="57" t="s">
        <v>107</v>
      </c>
      <c r="D37" s="55" t="s">
        <v>132</v>
      </c>
      <c r="E37" s="57" t="s">
        <v>132</v>
      </c>
      <c r="F37" s="55" t="s">
        <v>275</v>
      </c>
      <c r="G37" s="270">
        <v>10.050000000000001</v>
      </c>
    </row>
    <row r="38" spans="1:7" s="96" customFormat="1">
      <c r="A38" s="57" t="s">
        <v>341</v>
      </c>
      <c r="B38" s="57" t="s">
        <v>338</v>
      </c>
      <c r="C38" s="57" t="s">
        <v>107</v>
      </c>
      <c r="D38" s="55" t="s">
        <v>132</v>
      </c>
      <c r="E38" s="57" t="s">
        <v>132</v>
      </c>
      <c r="F38" s="55" t="s">
        <v>276</v>
      </c>
      <c r="G38" s="270">
        <v>10.64</v>
      </c>
    </row>
    <row r="39" spans="1:7" s="96" customFormat="1">
      <c r="A39" s="57" t="s">
        <v>341</v>
      </c>
      <c r="B39" s="57" t="s">
        <v>338</v>
      </c>
      <c r="C39" s="57" t="s">
        <v>107</v>
      </c>
      <c r="D39" s="55" t="s">
        <v>132</v>
      </c>
      <c r="E39" s="57" t="s">
        <v>132</v>
      </c>
      <c r="F39" s="55" t="s">
        <v>277</v>
      </c>
      <c r="G39" s="270">
        <v>11.53</v>
      </c>
    </row>
    <row r="40" spans="1:7" s="96" customFormat="1">
      <c r="A40" s="57" t="s">
        <v>341</v>
      </c>
      <c r="B40" s="57" t="s">
        <v>338</v>
      </c>
      <c r="C40" s="57" t="s">
        <v>107</v>
      </c>
      <c r="D40" s="55" t="s">
        <v>132</v>
      </c>
      <c r="E40" s="57" t="s">
        <v>132</v>
      </c>
      <c r="F40" s="55" t="s">
        <v>278</v>
      </c>
      <c r="G40" s="270">
        <v>14.16</v>
      </c>
    </row>
    <row r="41" spans="1:7" s="96" customFormat="1">
      <c r="A41" s="57" t="s">
        <v>341</v>
      </c>
      <c r="B41" s="57" t="s">
        <v>338</v>
      </c>
      <c r="C41" s="57" t="s">
        <v>107</v>
      </c>
      <c r="D41" s="55" t="s">
        <v>132</v>
      </c>
      <c r="E41" s="57" t="s">
        <v>132</v>
      </c>
      <c r="F41" s="55" t="s">
        <v>279</v>
      </c>
      <c r="G41" s="270">
        <v>4.38</v>
      </c>
    </row>
    <row r="42" spans="1:7" s="96" customFormat="1">
      <c r="A42" s="57" t="s">
        <v>341</v>
      </c>
      <c r="B42" s="57" t="s">
        <v>338</v>
      </c>
      <c r="C42" s="57" t="s">
        <v>107</v>
      </c>
      <c r="D42" s="55" t="s">
        <v>132</v>
      </c>
      <c r="E42" s="57" t="s">
        <v>132</v>
      </c>
      <c r="F42" s="55" t="s">
        <v>280</v>
      </c>
      <c r="G42" s="270">
        <v>4.93</v>
      </c>
    </row>
    <row r="43" spans="1:7" s="96" customFormat="1">
      <c r="A43" s="57" t="s">
        <v>341</v>
      </c>
      <c r="B43" s="57" t="s">
        <v>338</v>
      </c>
      <c r="C43" s="57" t="s">
        <v>107</v>
      </c>
      <c r="D43" s="55" t="s">
        <v>132</v>
      </c>
      <c r="E43" s="57" t="s">
        <v>132</v>
      </c>
      <c r="F43" s="55" t="s">
        <v>281</v>
      </c>
      <c r="G43" s="270">
        <v>5.49</v>
      </c>
    </row>
    <row r="44" spans="1:7" s="96" customFormat="1">
      <c r="A44" s="57" t="s">
        <v>341</v>
      </c>
      <c r="B44" s="57" t="s">
        <v>338</v>
      </c>
      <c r="C44" s="57" t="s">
        <v>107</v>
      </c>
      <c r="D44" s="55" t="s">
        <v>132</v>
      </c>
      <c r="E44" s="57" t="s">
        <v>132</v>
      </c>
      <c r="F44" s="55" t="s">
        <v>282</v>
      </c>
      <c r="G44" s="270">
        <v>6.04</v>
      </c>
    </row>
    <row r="45" spans="1:7" s="96" customFormat="1">
      <c r="A45" s="57" t="s">
        <v>341</v>
      </c>
      <c r="B45" s="57" t="s">
        <v>338</v>
      </c>
      <c r="C45" s="57" t="s">
        <v>107</v>
      </c>
      <c r="D45" s="55" t="s">
        <v>132</v>
      </c>
      <c r="E45" s="57" t="s">
        <v>132</v>
      </c>
      <c r="F45" s="55" t="s">
        <v>283</v>
      </c>
      <c r="G45" s="270">
        <v>6.68</v>
      </c>
    </row>
    <row r="46" spans="1:7" s="96" customFormat="1">
      <c r="A46" s="57" t="s">
        <v>341</v>
      </c>
      <c r="B46" s="57" t="s">
        <v>338</v>
      </c>
      <c r="C46" s="57" t="s">
        <v>107</v>
      </c>
      <c r="D46" s="55" t="s">
        <v>132</v>
      </c>
      <c r="E46" s="57" t="s">
        <v>132</v>
      </c>
      <c r="F46" s="55" t="s">
        <v>284</v>
      </c>
      <c r="G46" s="270">
        <v>8.26</v>
      </c>
    </row>
    <row r="47" spans="1:7" s="96" customFormat="1">
      <c r="A47" s="57" t="s">
        <v>341</v>
      </c>
      <c r="B47" s="57" t="s">
        <v>338</v>
      </c>
      <c r="C47" s="55" t="s">
        <v>163</v>
      </c>
      <c r="D47" s="55" t="s">
        <v>132</v>
      </c>
      <c r="E47" s="55" t="s">
        <v>132</v>
      </c>
      <c r="F47" s="55" t="s">
        <v>4</v>
      </c>
      <c r="G47" s="270">
        <v>5.4640000000000001E-2</v>
      </c>
    </row>
    <row r="48" spans="1:7" s="96" customFormat="1">
      <c r="A48" s="57" t="s">
        <v>341</v>
      </c>
      <c r="B48" s="57" t="s">
        <v>338</v>
      </c>
      <c r="C48" s="55" t="s">
        <v>108</v>
      </c>
      <c r="D48" s="55" t="s">
        <v>132</v>
      </c>
      <c r="E48" s="55" t="s">
        <v>136</v>
      </c>
      <c r="F48" s="57" t="s">
        <v>271</v>
      </c>
      <c r="G48" s="270">
        <v>7.03</v>
      </c>
    </row>
    <row r="49" spans="1:12" s="96" customFormat="1">
      <c r="A49" s="57" t="s">
        <v>341</v>
      </c>
      <c r="B49" s="57" t="s">
        <v>338</v>
      </c>
      <c r="C49" s="55" t="s">
        <v>108</v>
      </c>
      <c r="D49" s="55" t="s">
        <v>132</v>
      </c>
      <c r="E49" s="55" t="s">
        <v>137</v>
      </c>
      <c r="F49" s="57" t="s">
        <v>271</v>
      </c>
      <c r="G49" s="270">
        <v>12.65</v>
      </c>
    </row>
    <row r="50" spans="1:12" s="96" customFormat="1">
      <c r="A50" s="103" t="s">
        <v>341</v>
      </c>
      <c r="B50" s="103" t="s">
        <v>338</v>
      </c>
      <c r="C50" s="105" t="s">
        <v>108</v>
      </c>
      <c r="D50" s="105" t="s">
        <v>132</v>
      </c>
      <c r="E50" s="105" t="s">
        <v>132</v>
      </c>
      <c r="F50" s="105" t="s">
        <v>4</v>
      </c>
      <c r="G50" s="271">
        <v>5.7200000000000001E-2</v>
      </c>
    </row>
    <row r="51" spans="1:12" s="96" customFormat="1">
      <c r="A51" s="98" t="s">
        <v>341</v>
      </c>
      <c r="B51" s="98" t="s">
        <v>19</v>
      </c>
      <c r="C51" s="98" t="s">
        <v>106</v>
      </c>
      <c r="D51" s="99" t="s">
        <v>2</v>
      </c>
      <c r="E51" s="34" t="s">
        <v>132</v>
      </c>
      <c r="F51" s="99" t="s">
        <v>273</v>
      </c>
      <c r="G51" s="214">
        <f>SUMIFS(G$32:G$50,C$32:C$50,C51,E$32:E$50,E51,F$32:F$50,F51)*H51</f>
        <v>98822.903941960874</v>
      </c>
      <c r="H51" s="96">
        <f t="shared" ref="H51:H81" si="2">SUMIFS(G$7:G$31,C$7:C$31,C51,D$7:D$31,D51,E$7:E$31,E51,F$7:F$31,F51)</f>
        <v>11358.954476087458</v>
      </c>
    </row>
    <row r="52" spans="1:12" s="93" customFormat="1">
      <c r="A52" s="57" t="s">
        <v>341</v>
      </c>
      <c r="B52" s="57" t="s">
        <v>19</v>
      </c>
      <c r="C52" s="57" t="s">
        <v>106</v>
      </c>
      <c r="D52" s="101" t="s">
        <v>2</v>
      </c>
      <c r="E52" s="23" t="s">
        <v>132</v>
      </c>
      <c r="F52" s="101" t="s">
        <v>274</v>
      </c>
      <c r="G52" s="94">
        <f>SUMIFS(G$32:G$50,C$32:C$50,C52,E$32:E$50,E52,F$32:F$50,F52)*H52</f>
        <v>5426.4959921535501</v>
      </c>
      <c r="H52" s="96">
        <f t="shared" si="2"/>
        <v>526.33326791014065</v>
      </c>
    </row>
    <row r="53" spans="1:12" s="93" customFormat="1">
      <c r="A53" s="57" t="s">
        <v>341</v>
      </c>
      <c r="B53" s="57" t="s">
        <v>19</v>
      </c>
      <c r="C53" s="57" t="s">
        <v>106</v>
      </c>
      <c r="D53" s="101" t="s">
        <v>2</v>
      </c>
      <c r="E53" s="23" t="s">
        <v>132</v>
      </c>
      <c r="F53" s="101" t="s">
        <v>275</v>
      </c>
      <c r="G53" s="94">
        <f>SUMIFS(G$32:G$50,C$32:C$50,C53,E$32:E$50,E53,F$32:F$50,F53)*H53</f>
        <v>307.68193969018023</v>
      </c>
      <c r="H53" s="96">
        <f t="shared" si="2"/>
        <v>24.000151301886131</v>
      </c>
    </row>
    <row r="54" spans="1:12" s="93" customFormat="1">
      <c r="A54" s="57" t="s">
        <v>341</v>
      </c>
      <c r="B54" s="57" t="s">
        <v>19</v>
      </c>
      <c r="C54" s="57" t="s">
        <v>106</v>
      </c>
      <c r="D54" s="101" t="s">
        <v>2</v>
      </c>
      <c r="E54" s="23" t="s">
        <v>132</v>
      </c>
      <c r="F54" s="47" t="s">
        <v>105</v>
      </c>
      <c r="G54" s="94">
        <f>Unbilled!E16</f>
        <v>3473.3244412401559</v>
      </c>
      <c r="H54" s="96">
        <f t="shared" si="2"/>
        <v>0</v>
      </c>
    </row>
    <row r="55" spans="1:12" s="93" customFormat="1">
      <c r="A55" s="57" t="s">
        <v>341</v>
      </c>
      <c r="B55" s="57" t="s">
        <v>19</v>
      </c>
      <c r="C55" s="57" t="s">
        <v>106</v>
      </c>
      <c r="D55" s="101" t="s">
        <v>3</v>
      </c>
      <c r="E55" s="23" t="s">
        <v>132</v>
      </c>
      <c r="F55" s="101" t="s">
        <v>273</v>
      </c>
      <c r="G55" s="94">
        <f>SUMIFS(G$32:G$50,C$32:C$50,C55,E$32:E$50,E55,F$32:F$50,F55)*H55</f>
        <v>115643.58217400184</v>
      </c>
      <c r="H55" s="96">
        <f t="shared" si="2"/>
        <v>13292.36576712665</v>
      </c>
    </row>
    <row r="56" spans="1:12" s="93" customFormat="1">
      <c r="A56" s="57" t="s">
        <v>341</v>
      </c>
      <c r="B56" s="57" t="s">
        <v>19</v>
      </c>
      <c r="C56" s="57" t="s">
        <v>106</v>
      </c>
      <c r="D56" s="101" t="s">
        <v>3</v>
      </c>
      <c r="E56" s="23" t="s">
        <v>132</v>
      </c>
      <c r="F56" s="101" t="s">
        <v>274</v>
      </c>
      <c r="G56" s="94">
        <f>SUMIFS(G$32:G$50,C$32:C$50,C56,E$32:E$50,E56,F$32:F$50,F56)*H56</f>
        <v>47085.774107382858</v>
      </c>
      <c r="H56" s="96">
        <f t="shared" si="2"/>
        <v>4567.0003983882498</v>
      </c>
    </row>
    <row r="57" spans="1:12" s="93" customFormat="1">
      <c r="A57" s="57" t="s">
        <v>341</v>
      </c>
      <c r="B57" s="57" t="s">
        <v>19</v>
      </c>
      <c r="C57" s="57" t="s">
        <v>106</v>
      </c>
      <c r="D57" s="101" t="s">
        <v>3</v>
      </c>
      <c r="E57" s="23" t="s">
        <v>132</v>
      </c>
      <c r="F57" s="101" t="s">
        <v>275</v>
      </c>
      <c r="G57" s="94">
        <f>SUMIFS(G$32:G$50,C$32:C$50,C57,E$32:E$50,E57,F$32:F$50,F57)*H57</f>
        <v>12218.933243923082</v>
      </c>
      <c r="H57" s="96">
        <f t="shared" si="2"/>
        <v>953.11491762270532</v>
      </c>
    </row>
    <row r="58" spans="1:12" s="93" customFormat="1">
      <c r="A58" s="57" t="s">
        <v>341</v>
      </c>
      <c r="B58" s="57" t="s">
        <v>19</v>
      </c>
      <c r="C58" s="57" t="s">
        <v>106</v>
      </c>
      <c r="D58" s="101" t="s">
        <v>3</v>
      </c>
      <c r="E58" s="23" t="s">
        <v>132</v>
      </c>
      <c r="F58" s="47" t="s">
        <v>105</v>
      </c>
      <c r="G58" s="94">
        <f>Unbilled!E17</f>
        <v>2499.8824946992781</v>
      </c>
      <c r="H58" s="96">
        <f t="shared" si="2"/>
        <v>0</v>
      </c>
    </row>
    <row r="59" spans="1:12" s="93" customFormat="1">
      <c r="A59" s="57" t="s">
        <v>341</v>
      </c>
      <c r="B59" s="57" t="s">
        <v>19</v>
      </c>
      <c r="C59" s="57" t="s">
        <v>106</v>
      </c>
      <c r="D59" s="101" t="s">
        <v>5</v>
      </c>
      <c r="E59" s="23" t="s">
        <v>132</v>
      </c>
      <c r="F59" s="101" t="s">
        <v>273</v>
      </c>
      <c r="G59" s="94">
        <f>SUMIFS(G$32:G$50,C$32:C$50,C59,E$32:E$50,E59,F$32:F$50,F59)*H59</f>
        <v>4817.8317829128846</v>
      </c>
      <c r="H59" s="96">
        <f t="shared" si="2"/>
        <v>553.77376815090633</v>
      </c>
    </row>
    <row r="60" spans="1:12" s="93" customFormat="1">
      <c r="A60" s="57" t="s">
        <v>341</v>
      </c>
      <c r="B60" s="57" t="s">
        <v>19</v>
      </c>
      <c r="C60" s="57" t="s">
        <v>106</v>
      </c>
      <c r="D60" s="101" t="s">
        <v>5</v>
      </c>
      <c r="E60" s="23" t="s">
        <v>132</v>
      </c>
      <c r="F60" s="101" t="s">
        <v>274</v>
      </c>
      <c r="G60" s="94">
        <f>SUMIFS(G$32:G$50,C$32:C$50,C60,E$32:E$50,E60,F$32:F$50,F60)*H60</f>
        <v>4453.9383190615454</v>
      </c>
      <c r="H60" s="96">
        <f t="shared" si="2"/>
        <v>432.00177682459218</v>
      </c>
    </row>
    <row r="61" spans="1:12" s="93" customFormat="1">
      <c r="A61" s="57" t="s">
        <v>341</v>
      </c>
      <c r="B61" s="57" t="s">
        <v>19</v>
      </c>
      <c r="C61" s="57" t="s">
        <v>106</v>
      </c>
      <c r="D61" s="101" t="s">
        <v>5</v>
      </c>
      <c r="E61" s="23" t="s">
        <v>132</v>
      </c>
      <c r="F61" s="101" t="s">
        <v>275</v>
      </c>
      <c r="G61" s="94">
        <f>SUMIFS(G$32:G$50,C$32:C$50,C61,E$32:E$50,E61,F$32:F$50,F61)*H61</f>
        <v>461.53218810409578</v>
      </c>
      <c r="H61" s="96">
        <f t="shared" si="2"/>
        <v>36.000950710147876</v>
      </c>
    </row>
    <row r="62" spans="1:12" s="93" customFormat="1">
      <c r="A62" s="57" t="s">
        <v>341</v>
      </c>
      <c r="B62" s="57" t="s">
        <v>19</v>
      </c>
      <c r="C62" s="57" t="s">
        <v>106</v>
      </c>
      <c r="D62" s="101" t="s">
        <v>5</v>
      </c>
      <c r="E62" s="23" t="s">
        <v>132</v>
      </c>
      <c r="F62" s="47" t="s">
        <v>105</v>
      </c>
      <c r="G62" s="94">
        <f>Unbilled!E18</f>
        <v>187.52091162770995</v>
      </c>
      <c r="H62" s="96">
        <f t="shared" si="2"/>
        <v>0</v>
      </c>
    </row>
    <row r="63" spans="1:12">
      <c r="A63" s="57" t="s">
        <v>341</v>
      </c>
      <c r="B63" s="57" t="s">
        <v>19</v>
      </c>
      <c r="C63" s="57" t="s">
        <v>107</v>
      </c>
      <c r="D63" s="162" t="s">
        <v>104</v>
      </c>
      <c r="E63" s="23" t="s">
        <v>132</v>
      </c>
      <c r="F63" s="55" t="s">
        <v>273</v>
      </c>
      <c r="G63" s="94">
        <f t="shared" ref="G63:G74" si="3">SUMIFS(G$32:G$50,C$32:C$50,C63,E$32:E$50,E63,F$32:F$50,F63)*H63</f>
        <v>3304.7195154634046</v>
      </c>
      <c r="H63" s="96">
        <f t="shared" si="2"/>
        <v>382.93389518695301</v>
      </c>
      <c r="L63" s="93"/>
    </row>
    <row r="64" spans="1:12">
      <c r="A64" s="57" t="s">
        <v>341</v>
      </c>
      <c r="B64" s="57" t="s">
        <v>19</v>
      </c>
      <c r="C64" s="57" t="s">
        <v>107</v>
      </c>
      <c r="D64" s="162" t="s">
        <v>104</v>
      </c>
      <c r="E64" s="23" t="s">
        <v>132</v>
      </c>
      <c r="F64" s="55" t="s">
        <v>274</v>
      </c>
      <c r="G64" s="94">
        <f t="shared" si="3"/>
        <v>33696.50431140454</v>
      </c>
      <c r="H64" s="96">
        <f t="shared" si="2"/>
        <v>3558.2369917005844</v>
      </c>
      <c r="L64" s="93"/>
    </row>
    <row r="65" spans="1:8">
      <c r="A65" s="57" t="s">
        <v>341</v>
      </c>
      <c r="B65" s="57" t="s">
        <v>19</v>
      </c>
      <c r="C65" s="57" t="s">
        <v>107</v>
      </c>
      <c r="D65" s="162" t="s">
        <v>104</v>
      </c>
      <c r="E65" s="23" t="s">
        <v>132</v>
      </c>
      <c r="F65" s="55" t="s">
        <v>275</v>
      </c>
      <c r="G65" s="94">
        <f t="shared" si="3"/>
        <v>6736.5322047397731</v>
      </c>
      <c r="H65" s="96">
        <f t="shared" si="2"/>
        <v>670.30171191440525</v>
      </c>
    </row>
    <row r="66" spans="1:8">
      <c r="A66" s="57" t="s">
        <v>341</v>
      </c>
      <c r="B66" s="57" t="s">
        <v>19</v>
      </c>
      <c r="C66" s="57" t="s">
        <v>107</v>
      </c>
      <c r="D66" s="162" t="s">
        <v>104</v>
      </c>
      <c r="E66" s="23" t="s">
        <v>132</v>
      </c>
      <c r="F66" s="55" t="s">
        <v>276</v>
      </c>
      <c r="G66" s="94">
        <f t="shared" si="3"/>
        <v>24870.002249044213</v>
      </c>
      <c r="H66" s="96">
        <f t="shared" si="2"/>
        <v>2337.4062264139297</v>
      </c>
    </row>
    <row r="67" spans="1:8">
      <c r="A67" s="57" t="s">
        <v>341</v>
      </c>
      <c r="B67" s="57" t="s">
        <v>19</v>
      </c>
      <c r="C67" s="57" t="s">
        <v>107</v>
      </c>
      <c r="D67" s="162" t="s">
        <v>104</v>
      </c>
      <c r="E67" s="23" t="s">
        <v>132</v>
      </c>
      <c r="F67" s="55" t="s">
        <v>277</v>
      </c>
      <c r="G67" s="94">
        <f t="shared" si="3"/>
        <v>33905.468260874513</v>
      </c>
      <c r="H67" s="96">
        <f t="shared" si="2"/>
        <v>2940.6303782198192</v>
      </c>
    </row>
    <row r="68" spans="1:8">
      <c r="A68" s="57" t="s">
        <v>341</v>
      </c>
      <c r="B68" s="57" t="s">
        <v>19</v>
      </c>
      <c r="C68" s="57" t="s">
        <v>107</v>
      </c>
      <c r="D68" s="162" t="s">
        <v>104</v>
      </c>
      <c r="E68" s="23" t="s">
        <v>132</v>
      </c>
      <c r="F68" s="55" t="s">
        <v>278</v>
      </c>
      <c r="G68" s="94">
        <f t="shared" si="3"/>
        <v>17370.75991073126</v>
      </c>
      <c r="H68" s="96">
        <f t="shared" si="2"/>
        <v>1226.7485812663319</v>
      </c>
    </row>
    <row r="69" spans="1:8">
      <c r="A69" s="57" t="s">
        <v>341</v>
      </c>
      <c r="B69" s="57" t="s">
        <v>19</v>
      </c>
      <c r="C69" s="57" t="s">
        <v>107</v>
      </c>
      <c r="D69" s="162" t="s">
        <v>104</v>
      </c>
      <c r="E69" s="23" t="s">
        <v>132</v>
      </c>
      <c r="F69" s="55" t="s">
        <v>279</v>
      </c>
      <c r="G69" s="94">
        <f t="shared" si="3"/>
        <v>116416.4409602548</v>
      </c>
      <c r="H69" s="96">
        <f t="shared" si="2"/>
        <v>26579.096109647213</v>
      </c>
    </row>
    <row r="70" spans="1:8">
      <c r="A70" s="57" t="s">
        <v>341</v>
      </c>
      <c r="B70" s="57" t="s">
        <v>19</v>
      </c>
      <c r="C70" s="57" t="s">
        <v>107</v>
      </c>
      <c r="D70" s="162" t="s">
        <v>104</v>
      </c>
      <c r="E70" s="23" t="s">
        <v>132</v>
      </c>
      <c r="F70" s="55" t="s">
        <v>280</v>
      </c>
      <c r="G70" s="94">
        <f t="shared" si="3"/>
        <v>101279.27080763338</v>
      </c>
      <c r="H70" s="96">
        <f t="shared" si="2"/>
        <v>20543.462638465189</v>
      </c>
    </row>
    <row r="71" spans="1:8">
      <c r="A71" s="57" t="s">
        <v>341</v>
      </c>
      <c r="B71" s="57" t="s">
        <v>19</v>
      </c>
      <c r="C71" s="57" t="s">
        <v>107</v>
      </c>
      <c r="D71" s="162" t="s">
        <v>104</v>
      </c>
      <c r="E71" s="23" t="s">
        <v>132</v>
      </c>
      <c r="F71" s="55" t="s">
        <v>281</v>
      </c>
      <c r="G71" s="94">
        <f t="shared" si="3"/>
        <v>5402.1437523551749</v>
      </c>
      <c r="H71" s="96">
        <f t="shared" si="2"/>
        <v>983.99704050185335</v>
      </c>
    </row>
    <row r="72" spans="1:8">
      <c r="A72" s="57" t="s">
        <v>341</v>
      </c>
      <c r="B72" s="57" t="s">
        <v>19</v>
      </c>
      <c r="C72" s="57" t="s">
        <v>107</v>
      </c>
      <c r="D72" s="162" t="s">
        <v>104</v>
      </c>
      <c r="E72" s="23" t="s">
        <v>132</v>
      </c>
      <c r="F72" s="55" t="s">
        <v>282</v>
      </c>
      <c r="G72" s="94">
        <f t="shared" si="3"/>
        <v>112698.0520850193</v>
      </c>
      <c r="H72" s="96">
        <f t="shared" si="2"/>
        <v>18658.617894870746</v>
      </c>
    </row>
    <row r="73" spans="1:8">
      <c r="A73" s="57" t="s">
        <v>341</v>
      </c>
      <c r="B73" s="57" t="s">
        <v>19</v>
      </c>
      <c r="C73" s="57" t="s">
        <v>107</v>
      </c>
      <c r="D73" s="162" t="s">
        <v>104</v>
      </c>
      <c r="E73" s="23" t="s">
        <v>132</v>
      </c>
      <c r="F73" s="55" t="s">
        <v>283</v>
      </c>
      <c r="G73" s="94">
        <f t="shared" si="3"/>
        <v>16299.439029294097</v>
      </c>
      <c r="H73" s="96">
        <f t="shared" si="2"/>
        <v>2440.0357828284577</v>
      </c>
    </row>
    <row r="74" spans="1:8">
      <c r="A74" s="57" t="s">
        <v>341</v>
      </c>
      <c r="B74" s="57" t="s">
        <v>19</v>
      </c>
      <c r="C74" s="57" t="s">
        <v>107</v>
      </c>
      <c r="D74" s="162" t="s">
        <v>104</v>
      </c>
      <c r="E74" s="23" t="s">
        <v>132</v>
      </c>
      <c r="F74" s="55" t="s">
        <v>284</v>
      </c>
      <c r="G74" s="94">
        <f t="shared" si="3"/>
        <v>25572.939965939528</v>
      </c>
      <c r="H74" s="96">
        <f t="shared" si="2"/>
        <v>3095.9975745689503</v>
      </c>
    </row>
    <row r="75" spans="1:8">
      <c r="A75" s="57" t="s">
        <v>341</v>
      </c>
      <c r="B75" s="57" t="s">
        <v>19</v>
      </c>
      <c r="C75" s="57" t="s">
        <v>107</v>
      </c>
      <c r="D75" s="162" t="s">
        <v>104</v>
      </c>
      <c r="E75" s="23" t="s">
        <v>132</v>
      </c>
      <c r="F75" s="47" t="s">
        <v>105</v>
      </c>
      <c r="G75" s="94">
        <f>Unbilled!E19</f>
        <v>-33281.311721933365</v>
      </c>
      <c r="H75" s="96">
        <f t="shared" si="2"/>
        <v>0</v>
      </c>
    </row>
    <row r="76" spans="1:8">
      <c r="A76" s="57" t="s">
        <v>341</v>
      </c>
      <c r="B76" s="57" t="s">
        <v>19</v>
      </c>
      <c r="C76" s="55" t="s">
        <v>163</v>
      </c>
      <c r="D76" s="57" t="s">
        <v>104</v>
      </c>
      <c r="E76" s="57" t="s">
        <v>132</v>
      </c>
      <c r="F76" s="55" t="s">
        <v>4</v>
      </c>
      <c r="G76" s="94">
        <f>SUMIFS(G$32:G$50,C$32:C$50,C76,E$32:E$50,E76,F$32:F$50,F76)*H76</f>
        <v>115393.61578728679</v>
      </c>
      <c r="H76" s="96">
        <f t="shared" si="2"/>
        <v>2111889.0151406806</v>
      </c>
    </row>
    <row r="77" spans="1:8">
      <c r="A77" s="57" t="s">
        <v>341</v>
      </c>
      <c r="B77" s="57" t="s">
        <v>19</v>
      </c>
      <c r="C77" s="55" t="s">
        <v>163</v>
      </c>
      <c r="D77" s="57" t="s">
        <v>104</v>
      </c>
      <c r="E77" s="57" t="s">
        <v>132</v>
      </c>
      <c r="F77" s="47" t="s">
        <v>105</v>
      </c>
      <c r="G77" s="94">
        <f>Unbilled!E20</f>
        <v>-7718.6882780666365</v>
      </c>
      <c r="H77" s="96">
        <f t="shared" si="2"/>
        <v>0</v>
      </c>
    </row>
    <row r="78" spans="1:8">
      <c r="A78" s="57" t="s">
        <v>341</v>
      </c>
      <c r="B78" s="57" t="s">
        <v>19</v>
      </c>
      <c r="C78" s="55" t="s">
        <v>108</v>
      </c>
      <c r="D78" s="57" t="s">
        <v>3</v>
      </c>
      <c r="E78" s="55" t="s">
        <v>136</v>
      </c>
      <c r="F78" s="57" t="s">
        <v>271</v>
      </c>
      <c r="G78" s="94">
        <f>SUMIFS(G$32:G$50,C$32:C$50,C78,E$32:E$50,E78,F$32:F$50,F78)*H78</f>
        <v>976.47</v>
      </c>
      <c r="H78" s="96">
        <f t="shared" si="2"/>
        <v>138.90042674253201</v>
      </c>
    </row>
    <row r="79" spans="1:8">
      <c r="A79" s="57" t="s">
        <v>341</v>
      </c>
      <c r="B79" s="57" t="s">
        <v>19</v>
      </c>
      <c r="C79" s="55" t="s">
        <v>108</v>
      </c>
      <c r="D79" s="57" t="s">
        <v>3</v>
      </c>
      <c r="E79" s="55" t="s">
        <v>137</v>
      </c>
      <c r="F79" s="57" t="s">
        <v>271</v>
      </c>
      <c r="G79" s="94">
        <f>SUMIFS(G$32:G$50,C$32:C$50,C79,E$32:E$50,E79,F$32:F$50,F79)*H79</f>
        <v>2125.2000000000003</v>
      </c>
      <c r="H79" s="96">
        <f t="shared" si="2"/>
        <v>168</v>
      </c>
    </row>
    <row r="80" spans="1:8">
      <c r="A80" s="57" t="s">
        <v>341</v>
      </c>
      <c r="B80" s="57" t="s">
        <v>19</v>
      </c>
      <c r="C80" s="55" t="s">
        <v>108</v>
      </c>
      <c r="D80" s="57" t="s">
        <v>3</v>
      </c>
      <c r="E80" s="57" t="s">
        <v>132</v>
      </c>
      <c r="F80" s="55" t="s">
        <v>4</v>
      </c>
      <c r="G80" s="94">
        <f>SUMIFS(G$32:G$50,C$32:C$50,C80,E$32:E$50,E80,F$32:F$50,F80)*H80</f>
        <v>17870.111458159325</v>
      </c>
      <c r="H80" s="96">
        <f t="shared" si="2"/>
        <v>312414.5359818064</v>
      </c>
    </row>
    <row r="81" spans="1:12">
      <c r="A81" s="103" t="s">
        <v>341</v>
      </c>
      <c r="B81" s="103" t="s">
        <v>19</v>
      </c>
      <c r="C81" s="103" t="s">
        <v>108</v>
      </c>
      <c r="D81" s="103" t="s">
        <v>3</v>
      </c>
      <c r="E81" s="103" t="s">
        <v>132</v>
      </c>
      <c r="F81" s="211" t="s">
        <v>105</v>
      </c>
      <c r="G81" s="95">
        <f>Unbilled!E21</f>
        <v>299.67134569970966</v>
      </c>
      <c r="H81" s="96">
        <f t="shared" si="2"/>
        <v>0</v>
      </c>
    </row>
    <row r="82" spans="1:12">
      <c r="A82" s="180" t="s">
        <v>466</v>
      </c>
      <c r="B82" s="177" t="s">
        <v>19</v>
      </c>
      <c r="C82" s="180" t="s">
        <v>132</v>
      </c>
      <c r="D82" s="180" t="s">
        <v>132</v>
      </c>
      <c r="E82" s="180" t="s">
        <v>132</v>
      </c>
      <c r="F82" s="180" t="s">
        <v>132</v>
      </c>
      <c r="G82" s="182">
        <f ca="1">'Cost of Service and Proposed $'!R128</f>
        <v>1002230.8253898566</v>
      </c>
    </row>
    <row r="83" spans="1:12">
      <c r="A83" s="166" t="s">
        <v>439</v>
      </c>
      <c r="B83" s="166" t="s">
        <v>338</v>
      </c>
      <c r="C83" s="98" t="s">
        <v>106</v>
      </c>
      <c r="D83" s="34" t="s">
        <v>132</v>
      </c>
      <c r="E83" s="34" t="s">
        <v>132</v>
      </c>
      <c r="F83" s="99" t="s">
        <v>273</v>
      </c>
      <c r="G83" s="269">
        <f ca="1">ROUND(H83/100*K83/L83,I83)</f>
        <v>8.89</v>
      </c>
      <c r="H83" s="183">
        <f>100+Summary!$P$19</f>
        <v>90.95</v>
      </c>
      <c r="I83" s="93">
        <v>2</v>
      </c>
      <c r="J83" s="257">
        <f ca="1">K83/L83</f>
        <v>9.7707206007496517</v>
      </c>
      <c r="K83" s="93">
        <f ca="1">SUMIFS(G$51:G$81,C$51:C$81,C83,E$51:E$81,E83,F$51:F$81,F83)/SUMIFS(G$51:G$81,F$51:F$81,"&lt;&gt;Unbilled")*(G$82-SUMIFS(G$51:G$81,F$51:F$81,"Unbilled"))</f>
        <v>246271.93130067582</v>
      </c>
      <c r="L83" s="96">
        <f t="shared" ref="L83:L101" si="4">SUMIFS(G$7:G$31,C$7:C$31,C83,E$7:E$31,E83,F$7:F$31,F83)</f>
        <v>25205.094011365014</v>
      </c>
    </row>
    <row r="84" spans="1:12">
      <c r="A84" s="162" t="s">
        <v>439</v>
      </c>
      <c r="B84" s="162" t="s">
        <v>338</v>
      </c>
      <c r="C84" s="57" t="s">
        <v>106</v>
      </c>
      <c r="D84" s="23" t="s">
        <v>132</v>
      </c>
      <c r="E84" s="23" t="s">
        <v>132</v>
      </c>
      <c r="F84" s="101" t="s">
        <v>274</v>
      </c>
      <c r="G84" s="270">
        <f t="shared" ref="G84:G101" ca="1" si="5">ROUND(H84/100*K84/L84,I84)</f>
        <v>10.53</v>
      </c>
      <c r="H84" s="183">
        <f>100+Summary!$P$19</f>
        <v>90.95</v>
      </c>
      <c r="I84" s="93">
        <v>2</v>
      </c>
      <c r="J84" s="257">
        <f t="shared" ref="J84:J101" ca="1" si="6">K84/L84</f>
        <v>11.578865447555048</v>
      </c>
      <c r="K84" s="93">
        <f t="shared" ref="K84:K101" ca="1" si="7">SUMIFS(G$51:G$81,C$51:C$81,C84,E$51:E$81,E84,F$51:F$81,F84)/SUMIFS(G$51:G$81,F$51:F$81,"&lt;&gt;Unbilled")*(G$82-SUMIFS(G$51:G$81,F$51:F$81,"Unbilled"))</f>
        <v>63977.115648527964</v>
      </c>
      <c r="L84" s="96">
        <f t="shared" si="4"/>
        <v>5525.3354431229827</v>
      </c>
    </row>
    <row r="85" spans="1:12">
      <c r="A85" s="162" t="s">
        <v>439</v>
      </c>
      <c r="B85" s="162" t="s">
        <v>338</v>
      </c>
      <c r="C85" s="57" t="s">
        <v>106</v>
      </c>
      <c r="D85" s="23" t="s">
        <v>132</v>
      </c>
      <c r="E85" s="23" t="s">
        <v>132</v>
      </c>
      <c r="F85" s="101" t="s">
        <v>275</v>
      </c>
      <c r="G85" s="270">
        <f t="shared" ca="1" si="5"/>
        <v>13.09</v>
      </c>
      <c r="H85" s="183">
        <f>100+Summary!$P$19</f>
        <v>90.95</v>
      </c>
      <c r="I85" s="93">
        <v>2</v>
      </c>
      <c r="J85" s="257">
        <f t="shared" ca="1" si="6"/>
        <v>14.397774494437993</v>
      </c>
      <c r="K85" s="93">
        <f t="shared" ca="1" si="7"/>
        <v>14586.615987403591</v>
      </c>
      <c r="L85" s="96">
        <f t="shared" si="4"/>
        <v>1013.1160196347394</v>
      </c>
    </row>
    <row r="86" spans="1:12">
      <c r="A86" s="162" t="s">
        <v>439</v>
      </c>
      <c r="B86" s="162" t="s">
        <v>338</v>
      </c>
      <c r="C86" s="57" t="s">
        <v>107</v>
      </c>
      <c r="D86" s="23" t="s">
        <v>132</v>
      </c>
      <c r="E86" s="23" t="s">
        <v>132</v>
      </c>
      <c r="F86" s="55" t="s">
        <v>273</v>
      </c>
      <c r="G86" s="270">
        <f t="shared" ca="1" si="5"/>
        <v>8.81</v>
      </c>
      <c r="H86" s="183">
        <f>100+Summary!$P$19</f>
        <v>90.95</v>
      </c>
      <c r="I86" s="93">
        <v>2</v>
      </c>
      <c r="J86" s="257">
        <f t="shared" ca="1" si="6"/>
        <v>9.6921056074102871</v>
      </c>
      <c r="K86" s="93">
        <f t="shared" ca="1" si="7"/>
        <v>3711.4357528089304</v>
      </c>
      <c r="L86" s="96">
        <f t="shared" si="4"/>
        <v>382.93389518695301</v>
      </c>
    </row>
    <row r="87" spans="1:12">
      <c r="A87" s="162" t="s">
        <v>439</v>
      </c>
      <c r="B87" s="162" t="s">
        <v>338</v>
      </c>
      <c r="C87" s="57" t="s">
        <v>107</v>
      </c>
      <c r="D87" s="23" t="s">
        <v>132</v>
      </c>
      <c r="E87" s="23" t="s">
        <v>132</v>
      </c>
      <c r="F87" s="55" t="s">
        <v>274</v>
      </c>
      <c r="G87" s="270">
        <f t="shared" ca="1" si="5"/>
        <v>9.67</v>
      </c>
      <c r="H87" s="183">
        <f>100+Summary!$P$19</f>
        <v>90.95</v>
      </c>
      <c r="I87" s="93">
        <v>2</v>
      </c>
      <c r="J87" s="257">
        <f t="shared" ca="1" si="6"/>
        <v>10.635485527482668</v>
      </c>
      <c r="K87" s="93">
        <f t="shared" ca="1" si="7"/>
        <v>37843.578028585034</v>
      </c>
      <c r="L87" s="96">
        <f t="shared" si="4"/>
        <v>3558.2369917005844</v>
      </c>
    </row>
    <row r="88" spans="1:12">
      <c r="A88" s="162" t="s">
        <v>439</v>
      </c>
      <c r="B88" s="162" t="s">
        <v>338</v>
      </c>
      <c r="C88" s="57" t="s">
        <v>107</v>
      </c>
      <c r="D88" s="23" t="s">
        <v>132</v>
      </c>
      <c r="E88" s="23" t="s">
        <v>132</v>
      </c>
      <c r="F88" s="55" t="s">
        <v>275</v>
      </c>
      <c r="G88" s="270">
        <f t="shared" ca="1" si="5"/>
        <v>10.27</v>
      </c>
      <c r="H88" s="183">
        <f>100+Summary!$P$19</f>
        <v>90.95</v>
      </c>
      <c r="I88" s="93">
        <v>2</v>
      </c>
      <c r="J88" s="257">
        <f t="shared" ca="1" si="6"/>
        <v>11.286866900865977</v>
      </c>
      <c r="K88" s="93">
        <f t="shared" ca="1" si="7"/>
        <v>7565.6062058005027</v>
      </c>
      <c r="L88" s="96">
        <f t="shared" si="4"/>
        <v>670.30171191440525</v>
      </c>
    </row>
    <row r="89" spans="1:12">
      <c r="A89" s="162" t="s">
        <v>439</v>
      </c>
      <c r="B89" s="162" t="s">
        <v>338</v>
      </c>
      <c r="C89" s="57" t="s">
        <v>107</v>
      </c>
      <c r="D89" s="23" t="s">
        <v>132</v>
      </c>
      <c r="E89" s="23" t="s">
        <v>132</v>
      </c>
      <c r="F89" s="55" t="s">
        <v>276</v>
      </c>
      <c r="G89" s="270">
        <f t="shared" ca="1" si="5"/>
        <v>10.87</v>
      </c>
      <c r="H89" s="183">
        <f>100+Summary!$P$19</f>
        <v>90.95</v>
      </c>
      <c r="I89" s="93">
        <v>2</v>
      </c>
      <c r="J89" s="257">
        <f t="shared" ca="1" si="6"/>
        <v>11.949478987583483</v>
      </c>
      <c r="K89" s="93">
        <f t="shared" ca="1" si="7"/>
        <v>27930.786587980056</v>
      </c>
      <c r="L89" s="96">
        <f t="shared" si="4"/>
        <v>2337.4062264139297</v>
      </c>
    </row>
    <row r="90" spans="1:12">
      <c r="A90" s="162" t="s">
        <v>439</v>
      </c>
      <c r="B90" s="162" t="s">
        <v>338</v>
      </c>
      <c r="C90" s="57" t="s">
        <v>107</v>
      </c>
      <c r="D90" s="23" t="s">
        <v>132</v>
      </c>
      <c r="E90" s="23" t="s">
        <v>132</v>
      </c>
      <c r="F90" s="55" t="s">
        <v>277</v>
      </c>
      <c r="G90" s="270">
        <f t="shared" ca="1" si="5"/>
        <v>11.78</v>
      </c>
      <c r="H90" s="183">
        <f>100+Summary!$P$19</f>
        <v>90.95</v>
      </c>
      <c r="I90" s="93">
        <v>2</v>
      </c>
      <c r="J90" s="257">
        <f t="shared" ca="1" si="6"/>
        <v>12.949012474326835</v>
      </c>
      <c r="K90" s="93">
        <f t="shared" ca="1" si="7"/>
        <v>38078.259449952879</v>
      </c>
      <c r="L90" s="96">
        <f t="shared" si="4"/>
        <v>2940.6303782198192</v>
      </c>
    </row>
    <row r="91" spans="1:12">
      <c r="A91" s="162" t="s">
        <v>439</v>
      </c>
      <c r="B91" s="162" t="s">
        <v>338</v>
      </c>
      <c r="C91" s="57" t="s">
        <v>107</v>
      </c>
      <c r="D91" s="23" t="s">
        <v>132</v>
      </c>
      <c r="E91" s="23" t="s">
        <v>132</v>
      </c>
      <c r="F91" s="55" t="s">
        <v>278</v>
      </c>
      <c r="G91" s="270">
        <f t="shared" ca="1" si="5"/>
        <v>14.46</v>
      </c>
      <c r="H91" s="183">
        <f>100+Summary!$P$19</f>
        <v>90.95</v>
      </c>
      <c r="I91" s="93">
        <v>2</v>
      </c>
      <c r="J91" s="257">
        <f t="shared" ca="1" si="6"/>
        <v>15.902690081220122</v>
      </c>
      <c r="K91" s="93">
        <f t="shared" ca="1" si="7"/>
        <v>19508.602495454954</v>
      </c>
      <c r="L91" s="96">
        <f t="shared" si="4"/>
        <v>1226.7485812663319</v>
      </c>
    </row>
    <row r="92" spans="1:12">
      <c r="A92" s="162" t="s">
        <v>439</v>
      </c>
      <c r="B92" s="162" t="s">
        <v>338</v>
      </c>
      <c r="C92" s="57" t="s">
        <v>107</v>
      </c>
      <c r="D92" s="23" t="s">
        <v>132</v>
      </c>
      <c r="E92" s="23" t="s">
        <v>132</v>
      </c>
      <c r="F92" s="55" t="s">
        <v>279</v>
      </c>
      <c r="G92" s="270">
        <f t="shared" ca="1" si="5"/>
        <v>4.47</v>
      </c>
      <c r="H92" s="183">
        <f>100+Summary!$P$19</f>
        <v>90.95</v>
      </c>
      <c r="I92" s="93">
        <v>2</v>
      </c>
      <c r="J92" s="257">
        <f t="shared" ca="1" si="6"/>
        <v>4.9190524403774107</v>
      </c>
      <c r="K92" s="93">
        <f t="shared" ca="1" si="7"/>
        <v>130743.96758118586</v>
      </c>
      <c r="L92" s="96">
        <f t="shared" si="4"/>
        <v>26579.096109647213</v>
      </c>
    </row>
    <row r="93" spans="1:12">
      <c r="A93" s="162" t="s">
        <v>439</v>
      </c>
      <c r="B93" s="162" t="s">
        <v>338</v>
      </c>
      <c r="C93" s="57" t="s">
        <v>107</v>
      </c>
      <c r="D93" s="23" t="s">
        <v>132</v>
      </c>
      <c r="E93" s="23" t="s">
        <v>132</v>
      </c>
      <c r="F93" s="55" t="s">
        <v>280</v>
      </c>
      <c r="G93" s="270">
        <f t="shared" ca="1" si="5"/>
        <v>5.04</v>
      </c>
      <c r="H93" s="183">
        <f>100+Summary!$P$19</f>
        <v>90.95</v>
      </c>
      <c r="I93" s="93">
        <v>2</v>
      </c>
      <c r="J93" s="257">
        <f t="shared" ca="1" si="6"/>
        <v>5.5367416737581356</v>
      </c>
      <c r="K93" s="93">
        <f t="shared" ca="1" si="7"/>
        <v>113743.84571368348</v>
      </c>
      <c r="L93" s="96">
        <f t="shared" si="4"/>
        <v>20543.462638465189</v>
      </c>
    </row>
    <row r="94" spans="1:12">
      <c r="A94" s="162" t="s">
        <v>439</v>
      </c>
      <c r="B94" s="162" t="s">
        <v>338</v>
      </c>
      <c r="C94" s="57" t="s">
        <v>107</v>
      </c>
      <c r="D94" s="23" t="s">
        <v>132</v>
      </c>
      <c r="E94" s="23" t="s">
        <v>132</v>
      </c>
      <c r="F94" s="55" t="s">
        <v>281</v>
      </c>
      <c r="G94" s="270">
        <f t="shared" ca="1" si="5"/>
        <v>5.61</v>
      </c>
      <c r="H94" s="183">
        <f>100+Summary!$P$19</f>
        <v>90.95</v>
      </c>
      <c r="I94" s="93">
        <v>2</v>
      </c>
      <c r="J94" s="257">
        <f t="shared" ca="1" si="6"/>
        <v>6.1656616204730561</v>
      </c>
      <c r="K94" s="93">
        <f t="shared" ca="1" si="7"/>
        <v>6066.9927872813487</v>
      </c>
      <c r="L94" s="96">
        <f t="shared" si="4"/>
        <v>983.99704050185335</v>
      </c>
    </row>
    <row r="95" spans="1:12">
      <c r="A95" s="162" t="s">
        <v>439</v>
      </c>
      <c r="B95" s="162" t="s">
        <v>338</v>
      </c>
      <c r="C95" s="57" t="s">
        <v>107</v>
      </c>
      <c r="D95" s="23" t="s">
        <v>132</v>
      </c>
      <c r="E95" s="23" t="s">
        <v>132</v>
      </c>
      <c r="F95" s="55" t="s">
        <v>282</v>
      </c>
      <c r="G95" s="270">
        <f t="shared" ca="1" si="5"/>
        <v>6.17</v>
      </c>
      <c r="H95" s="183">
        <f>100+Summary!$P$19</f>
        <v>90.95</v>
      </c>
      <c r="I95" s="93">
        <v>2</v>
      </c>
      <c r="J95" s="257">
        <f t="shared" ca="1" si="6"/>
        <v>6.783350853853781</v>
      </c>
      <c r="K95" s="93">
        <f t="shared" ca="1" si="7"/>
        <v>126567.95162890291</v>
      </c>
      <c r="L95" s="96">
        <f t="shared" si="4"/>
        <v>18658.617894870746</v>
      </c>
    </row>
    <row r="96" spans="1:12">
      <c r="A96" s="162" t="s">
        <v>439</v>
      </c>
      <c r="B96" s="162" t="s">
        <v>338</v>
      </c>
      <c r="C96" s="57" t="s">
        <v>107</v>
      </c>
      <c r="D96" s="23" t="s">
        <v>132</v>
      </c>
      <c r="E96" s="23" t="s">
        <v>132</v>
      </c>
      <c r="F96" s="55" t="s">
        <v>283</v>
      </c>
      <c r="G96" s="270">
        <f t="shared" ca="1" si="5"/>
        <v>6.82</v>
      </c>
      <c r="H96" s="183">
        <f>100+Summary!$P$19</f>
        <v>90.95</v>
      </c>
      <c r="I96" s="93">
        <v>2</v>
      </c>
      <c r="J96" s="257">
        <f t="shared" ca="1" si="6"/>
        <v>7.5021165072422615</v>
      </c>
      <c r="K96" s="93">
        <f t="shared" ca="1" si="7"/>
        <v>18305.432724619168</v>
      </c>
      <c r="L96" s="96">
        <f t="shared" si="4"/>
        <v>2440.0357828284577</v>
      </c>
    </row>
    <row r="97" spans="1:12">
      <c r="A97" s="162" t="s">
        <v>439</v>
      </c>
      <c r="B97" s="162" t="s">
        <v>338</v>
      </c>
      <c r="C97" s="57" t="s">
        <v>107</v>
      </c>
      <c r="D97" s="23" t="s">
        <v>132</v>
      </c>
      <c r="E97" s="23" t="s">
        <v>132</v>
      </c>
      <c r="F97" s="55" t="s">
        <v>284</v>
      </c>
      <c r="G97" s="270">
        <f t="shared" ca="1" si="5"/>
        <v>8.44</v>
      </c>
      <c r="H97" s="183">
        <f>100+Summary!$P$19</f>
        <v>90.95</v>
      </c>
      <c r="I97" s="93">
        <v>2</v>
      </c>
      <c r="J97" s="257">
        <f t="shared" ca="1" si="6"/>
        <v>9.27656921404507</v>
      </c>
      <c r="K97" s="93">
        <f t="shared" ca="1" si="7"/>
        <v>28720.235787004531</v>
      </c>
      <c r="L97" s="96">
        <f t="shared" si="4"/>
        <v>3095.9975745689503</v>
      </c>
    </row>
    <row r="98" spans="1:12">
      <c r="A98" s="162" t="s">
        <v>439</v>
      </c>
      <c r="B98" s="162" t="s">
        <v>338</v>
      </c>
      <c r="C98" s="55" t="s">
        <v>163</v>
      </c>
      <c r="D98" s="57" t="s">
        <v>132</v>
      </c>
      <c r="E98" s="57" t="s">
        <v>132</v>
      </c>
      <c r="F98" s="55" t="s">
        <v>4</v>
      </c>
      <c r="G98" s="270">
        <f t="shared" ca="1" si="5"/>
        <v>5.5809999999999998E-2</v>
      </c>
      <c r="H98" s="183">
        <f>100+Summary!$P$19</f>
        <v>90.95</v>
      </c>
      <c r="I98" s="93">
        <v>5</v>
      </c>
      <c r="J98" s="257">
        <f t="shared" ca="1" si="6"/>
        <v>6.1364617658041493E-2</v>
      </c>
      <c r="K98" s="93">
        <f t="shared" ca="1" si="7"/>
        <v>129595.26195032567</v>
      </c>
      <c r="L98" s="96">
        <f t="shared" si="4"/>
        <v>2111889.0151406806</v>
      </c>
    </row>
    <row r="99" spans="1:12">
      <c r="A99" s="162" t="s">
        <v>439</v>
      </c>
      <c r="B99" s="162" t="s">
        <v>338</v>
      </c>
      <c r="C99" s="55" t="s">
        <v>108</v>
      </c>
      <c r="D99" s="57" t="s">
        <v>132</v>
      </c>
      <c r="E99" s="55" t="s">
        <v>136</v>
      </c>
      <c r="F99" s="57" t="s">
        <v>271</v>
      </c>
      <c r="G99" s="270">
        <f t="shared" ca="1" si="5"/>
        <v>7.18</v>
      </c>
      <c r="H99" s="183">
        <f>100+Summary!$P$19</f>
        <v>90.95</v>
      </c>
      <c r="I99" s="93">
        <v>2</v>
      </c>
      <c r="J99" s="257">
        <f t="shared" ca="1" si="6"/>
        <v>7.8951914739390867</v>
      </c>
      <c r="K99" s="93">
        <f t="shared" ca="1" si="7"/>
        <v>1096.6454649441393</v>
      </c>
      <c r="L99" s="96">
        <f t="shared" si="4"/>
        <v>138.90042674253201</v>
      </c>
    </row>
    <row r="100" spans="1:12">
      <c r="A100" s="162" t="s">
        <v>439</v>
      </c>
      <c r="B100" s="162" t="s">
        <v>338</v>
      </c>
      <c r="C100" s="55" t="s">
        <v>108</v>
      </c>
      <c r="D100" s="57" t="s">
        <v>132</v>
      </c>
      <c r="E100" s="55" t="s">
        <v>137</v>
      </c>
      <c r="F100" s="57" t="s">
        <v>271</v>
      </c>
      <c r="G100" s="270">
        <f t="shared" ca="1" si="5"/>
        <v>12.92</v>
      </c>
      <c r="H100" s="183">
        <f>100+Summary!$P$19</f>
        <v>90.95</v>
      </c>
      <c r="I100" s="93">
        <v>2</v>
      </c>
      <c r="J100" s="257">
        <f t="shared" ca="1" si="6"/>
        <v>14.20685236775668</v>
      </c>
      <c r="K100" s="93">
        <f t="shared" ca="1" si="7"/>
        <v>2386.7511977831223</v>
      </c>
      <c r="L100" s="96">
        <f t="shared" si="4"/>
        <v>168</v>
      </c>
    </row>
    <row r="101" spans="1:12">
      <c r="A101" s="163" t="s">
        <v>439</v>
      </c>
      <c r="B101" s="163" t="s">
        <v>338</v>
      </c>
      <c r="C101" s="105" t="s">
        <v>108</v>
      </c>
      <c r="D101" s="103" t="s">
        <v>132</v>
      </c>
      <c r="E101" s="103" t="s">
        <v>132</v>
      </c>
      <c r="F101" s="105" t="s">
        <v>4</v>
      </c>
      <c r="G101" s="271">
        <f t="shared" ca="1" si="5"/>
        <v>5.8430000000000003E-2</v>
      </c>
      <c r="H101" s="183">
        <f>100+Summary!$P$19</f>
        <v>90.95</v>
      </c>
      <c r="I101" s="93">
        <v>5</v>
      </c>
      <c r="J101" s="257">
        <f t="shared" ca="1" si="6"/>
        <v>6.4239680271595406E-2</v>
      </c>
      <c r="K101" s="93">
        <f t="shared" ca="1" si="7"/>
        <v>20069.409903670083</v>
      </c>
      <c r="L101" s="96">
        <f t="shared" si="4"/>
        <v>312414.5359818064</v>
      </c>
    </row>
    <row r="102" spans="1:12">
      <c r="A102" s="166" t="s">
        <v>439</v>
      </c>
      <c r="B102" s="166" t="s">
        <v>19</v>
      </c>
      <c r="C102" s="98" t="s">
        <v>106</v>
      </c>
      <c r="D102" s="99" t="s">
        <v>2</v>
      </c>
      <c r="E102" s="34" t="s">
        <v>132</v>
      </c>
      <c r="F102" s="99" t="s">
        <v>273</v>
      </c>
      <c r="G102" s="167">
        <f t="shared" ref="G102:G132" ca="1" si="8">IF(F102="Unbilled",SUMIFS(G$51:G$81,C$51:C$81,C102,D$51:D$81,D102,F$51:F$81,F102),SUMIFS(G$83:G$101,C$83:C$101,C102,E$83:E$101,E102,F$83:F$101,F102)*I102)</f>
        <v>100981.1052924175</v>
      </c>
      <c r="H102" s="93">
        <f t="shared" ref="H102:H132" ca="1" si="9">IF(F102="Unbilled",SUMIFS(G$51:G$81,C$51:C$81,C102,D$51:D$81,D102,F$51:F$81,F102),SUMIFS(J$83:J$101,C$83:C$101,C102,E$83:E$101,E102,F$83:F$101,F102)*I102)</f>
        <v>110985.17050248518</v>
      </c>
      <c r="I102" s="93">
        <f t="shared" ref="I102:I132" si="10">SUMIFS(G$7:G$31,C$7:C$31,C102,D$7:D$31,D102,E$7:E$31,E102,F$7:F$31,F102)</f>
        <v>11358.954476087458</v>
      </c>
    </row>
    <row r="103" spans="1:12">
      <c r="A103" s="162" t="s">
        <v>439</v>
      </c>
      <c r="B103" s="162" t="s">
        <v>19</v>
      </c>
      <c r="C103" s="57" t="s">
        <v>106</v>
      </c>
      <c r="D103" s="101" t="s">
        <v>2</v>
      </c>
      <c r="E103" s="23" t="s">
        <v>132</v>
      </c>
      <c r="F103" s="101" t="s">
        <v>274</v>
      </c>
      <c r="G103" s="164">
        <f t="shared" ca="1" si="8"/>
        <v>5542.2893110937803</v>
      </c>
      <c r="H103" s="93">
        <f t="shared" ca="1" si="9"/>
        <v>6094.3420897034612</v>
      </c>
      <c r="I103" s="93">
        <f t="shared" si="10"/>
        <v>526.33326791014065</v>
      </c>
    </row>
    <row r="104" spans="1:12">
      <c r="A104" s="162" t="s">
        <v>439</v>
      </c>
      <c r="B104" s="162" t="s">
        <v>19</v>
      </c>
      <c r="C104" s="57" t="s">
        <v>106</v>
      </c>
      <c r="D104" s="101" t="s">
        <v>2</v>
      </c>
      <c r="E104" s="23" t="s">
        <v>132</v>
      </c>
      <c r="F104" s="101" t="s">
        <v>275</v>
      </c>
      <c r="G104" s="164">
        <f t="shared" ca="1" si="8"/>
        <v>314.16198054168945</v>
      </c>
      <c r="H104" s="93">
        <f t="shared" ca="1" si="9"/>
        <v>345.54876627694892</v>
      </c>
      <c r="I104" s="93">
        <f t="shared" si="10"/>
        <v>24.000151301886131</v>
      </c>
    </row>
    <row r="105" spans="1:12">
      <c r="A105" s="162" t="s">
        <v>439</v>
      </c>
      <c r="B105" s="162" t="s">
        <v>19</v>
      </c>
      <c r="C105" s="57" t="s">
        <v>106</v>
      </c>
      <c r="D105" s="101" t="s">
        <v>2</v>
      </c>
      <c r="E105" s="23" t="s">
        <v>132</v>
      </c>
      <c r="F105" s="47" t="s">
        <v>105</v>
      </c>
      <c r="G105" s="164">
        <f t="shared" si="8"/>
        <v>3473.3244412401559</v>
      </c>
      <c r="H105" s="93">
        <f t="shared" si="9"/>
        <v>3473.3244412401559</v>
      </c>
      <c r="I105" s="93">
        <f t="shared" si="10"/>
        <v>0</v>
      </c>
    </row>
    <row r="106" spans="1:12">
      <c r="A106" s="162" t="s">
        <v>439</v>
      </c>
      <c r="B106" s="162" t="s">
        <v>19</v>
      </c>
      <c r="C106" s="57" t="s">
        <v>106</v>
      </c>
      <c r="D106" s="101" t="s">
        <v>3</v>
      </c>
      <c r="E106" s="23" t="s">
        <v>132</v>
      </c>
      <c r="F106" s="101" t="s">
        <v>273</v>
      </c>
      <c r="G106" s="164">
        <f t="shared" ca="1" si="8"/>
        <v>118169.13166975592</v>
      </c>
      <c r="H106" s="93">
        <f t="shared" ca="1" si="9"/>
        <v>129875.9920335638</v>
      </c>
      <c r="I106" s="93">
        <f t="shared" si="10"/>
        <v>13292.36576712665</v>
      </c>
    </row>
    <row r="107" spans="1:12">
      <c r="A107" s="162" t="s">
        <v>439</v>
      </c>
      <c r="B107" s="162" t="s">
        <v>19</v>
      </c>
      <c r="C107" s="57" t="s">
        <v>106</v>
      </c>
      <c r="D107" s="101" t="s">
        <v>3</v>
      </c>
      <c r="E107" s="23" t="s">
        <v>132</v>
      </c>
      <c r="F107" s="101" t="s">
        <v>274</v>
      </c>
      <c r="G107" s="164">
        <f t="shared" ca="1" si="8"/>
        <v>48090.51419502827</v>
      </c>
      <c r="H107" s="93">
        <f t="shared" ca="1" si="9"/>
        <v>52880.683111867846</v>
      </c>
      <c r="I107" s="93">
        <f t="shared" si="10"/>
        <v>4567.0003983882498</v>
      </c>
    </row>
    <row r="108" spans="1:12">
      <c r="A108" s="162" t="s">
        <v>439</v>
      </c>
      <c r="B108" s="162" t="s">
        <v>19</v>
      </c>
      <c r="C108" s="57" t="s">
        <v>106</v>
      </c>
      <c r="D108" s="101" t="s">
        <v>3</v>
      </c>
      <c r="E108" s="23" t="s">
        <v>132</v>
      </c>
      <c r="F108" s="101" t="s">
        <v>275</v>
      </c>
      <c r="G108" s="164">
        <f t="shared" ca="1" si="8"/>
        <v>12476.274271681212</v>
      </c>
      <c r="H108" s="93">
        <f t="shared" ca="1" si="9"/>
        <v>13722.733651216555</v>
      </c>
      <c r="I108" s="93">
        <f t="shared" si="10"/>
        <v>953.11491762270532</v>
      </c>
    </row>
    <row r="109" spans="1:12">
      <c r="A109" s="162" t="s">
        <v>439</v>
      </c>
      <c r="B109" s="162" t="s">
        <v>19</v>
      </c>
      <c r="C109" s="57" t="s">
        <v>106</v>
      </c>
      <c r="D109" s="101" t="s">
        <v>3</v>
      </c>
      <c r="E109" s="23" t="s">
        <v>132</v>
      </c>
      <c r="F109" s="47" t="s">
        <v>105</v>
      </c>
      <c r="G109" s="164">
        <f t="shared" si="8"/>
        <v>2499.8824946992781</v>
      </c>
      <c r="H109" s="93">
        <f t="shared" si="9"/>
        <v>2499.8824946992781</v>
      </c>
      <c r="I109" s="93">
        <f t="shared" si="10"/>
        <v>0</v>
      </c>
    </row>
    <row r="110" spans="1:12">
      <c r="A110" s="162" t="s">
        <v>439</v>
      </c>
      <c r="B110" s="162" t="s">
        <v>19</v>
      </c>
      <c r="C110" s="57" t="s">
        <v>106</v>
      </c>
      <c r="D110" s="101" t="s">
        <v>5</v>
      </c>
      <c r="E110" s="23" t="s">
        <v>132</v>
      </c>
      <c r="F110" s="101" t="s">
        <v>273</v>
      </c>
      <c r="G110" s="164">
        <f t="shared" ca="1" si="8"/>
        <v>4923.0487988615578</v>
      </c>
      <c r="H110" s="93">
        <f t="shared" ca="1" si="9"/>
        <v>5410.7687646268223</v>
      </c>
      <c r="I110" s="93">
        <f t="shared" si="10"/>
        <v>553.77376815090633</v>
      </c>
    </row>
    <row r="111" spans="1:12">
      <c r="A111" s="162" t="s">
        <v>439</v>
      </c>
      <c r="B111" s="162" t="s">
        <v>19</v>
      </c>
      <c r="C111" s="57" t="s">
        <v>106</v>
      </c>
      <c r="D111" s="101" t="s">
        <v>5</v>
      </c>
      <c r="E111" s="23" t="s">
        <v>132</v>
      </c>
      <c r="F111" s="101" t="s">
        <v>274</v>
      </c>
      <c r="G111" s="164">
        <f t="shared" ca="1" si="8"/>
        <v>4548.9787099629557</v>
      </c>
      <c r="H111" s="93">
        <f t="shared" ca="1" si="9"/>
        <v>5002.0904469566576</v>
      </c>
      <c r="I111" s="93">
        <f t="shared" si="10"/>
        <v>432.00177682459218</v>
      </c>
    </row>
    <row r="112" spans="1:12">
      <c r="A112" s="162" t="s">
        <v>439</v>
      </c>
      <c r="B112" s="162" t="s">
        <v>19</v>
      </c>
      <c r="C112" s="57" t="s">
        <v>106</v>
      </c>
      <c r="D112" s="101" t="s">
        <v>5</v>
      </c>
      <c r="E112" s="23" t="s">
        <v>132</v>
      </c>
      <c r="F112" s="101" t="s">
        <v>275</v>
      </c>
      <c r="G112" s="164">
        <f t="shared" ca="1" si="8"/>
        <v>471.25244479583569</v>
      </c>
      <c r="H112" s="93">
        <f t="shared" ca="1" si="9"/>
        <v>518.33356991008645</v>
      </c>
      <c r="I112" s="93">
        <f t="shared" si="10"/>
        <v>36.000950710147876</v>
      </c>
    </row>
    <row r="113" spans="1:9">
      <c r="A113" s="162" t="s">
        <v>439</v>
      </c>
      <c r="B113" s="162" t="s">
        <v>19</v>
      </c>
      <c r="C113" s="57" t="s">
        <v>106</v>
      </c>
      <c r="D113" s="101" t="s">
        <v>5</v>
      </c>
      <c r="E113" s="23" t="s">
        <v>132</v>
      </c>
      <c r="F113" s="47" t="s">
        <v>105</v>
      </c>
      <c r="G113" s="164">
        <f t="shared" si="8"/>
        <v>187.52091162770995</v>
      </c>
      <c r="H113" s="93">
        <f t="shared" si="9"/>
        <v>187.52091162770995</v>
      </c>
      <c r="I113" s="93">
        <f t="shared" si="10"/>
        <v>0</v>
      </c>
    </row>
    <row r="114" spans="1:9">
      <c r="A114" s="162" t="s">
        <v>439</v>
      </c>
      <c r="B114" s="162" t="s">
        <v>19</v>
      </c>
      <c r="C114" s="57" t="s">
        <v>107</v>
      </c>
      <c r="D114" s="162" t="s">
        <v>104</v>
      </c>
      <c r="E114" s="23" t="s">
        <v>132</v>
      </c>
      <c r="F114" s="55" t="s">
        <v>273</v>
      </c>
      <c r="G114" s="164">
        <f t="shared" ca="1" si="8"/>
        <v>3373.6476165970562</v>
      </c>
      <c r="H114" s="93">
        <f t="shared" ca="1" si="9"/>
        <v>3711.4357528089304</v>
      </c>
      <c r="I114" s="93">
        <f t="shared" si="10"/>
        <v>382.93389518695301</v>
      </c>
    </row>
    <row r="115" spans="1:9">
      <c r="A115" s="162" t="s">
        <v>439</v>
      </c>
      <c r="B115" s="162" t="s">
        <v>19</v>
      </c>
      <c r="C115" s="57" t="s">
        <v>107</v>
      </c>
      <c r="D115" s="162" t="s">
        <v>104</v>
      </c>
      <c r="E115" s="23" t="s">
        <v>132</v>
      </c>
      <c r="F115" s="55" t="s">
        <v>274</v>
      </c>
      <c r="G115" s="164">
        <f t="shared" ca="1" si="8"/>
        <v>34408.151709744649</v>
      </c>
      <c r="H115" s="93">
        <f t="shared" ca="1" si="9"/>
        <v>37843.578028585034</v>
      </c>
      <c r="I115" s="93">
        <f t="shared" si="10"/>
        <v>3558.2369917005844</v>
      </c>
    </row>
    <row r="116" spans="1:9">
      <c r="A116" s="162" t="s">
        <v>439</v>
      </c>
      <c r="B116" s="162" t="s">
        <v>19</v>
      </c>
      <c r="C116" s="57" t="s">
        <v>107</v>
      </c>
      <c r="D116" s="162" t="s">
        <v>104</v>
      </c>
      <c r="E116" s="23" t="s">
        <v>132</v>
      </c>
      <c r="F116" s="55" t="s">
        <v>275</v>
      </c>
      <c r="G116" s="164">
        <f t="shared" ca="1" si="8"/>
        <v>6883.9985813609419</v>
      </c>
      <c r="H116" s="93">
        <f t="shared" ca="1" si="9"/>
        <v>7565.6062058005018</v>
      </c>
      <c r="I116" s="93">
        <f t="shared" si="10"/>
        <v>670.30171191440525</v>
      </c>
    </row>
    <row r="117" spans="1:9">
      <c r="A117" s="162" t="s">
        <v>439</v>
      </c>
      <c r="B117" s="162" t="s">
        <v>19</v>
      </c>
      <c r="C117" s="57" t="s">
        <v>107</v>
      </c>
      <c r="D117" s="162" t="s">
        <v>104</v>
      </c>
      <c r="E117" s="23" t="s">
        <v>132</v>
      </c>
      <c r="F117" s="55" t="s">
        <v>276</v>
      </c>
      <c r="G117" s="164">
        <f t="shared" ca="1" si="8"/>
        <v>25407.605681119414</v>
      </c>
      <c r="H117" s="93">
        <f t="shared" ca="1" si="9"/>
        <v>27930.786587980052</v>
      </c>
      <c r="I117" s="93">
        <f t="shared" si="10"/>
        <v>2337.4062264139297</v>
      </c>
    </row>
    <row r="118" spans="1:9">
      <c r="A118" s="162" t="s">
        <v>439</v>
      </c>
      <c r="B118" s="162" t="s">
        <v>19</v>
      </c>
      <c r="C118" s="57" t="s">
        <v>107</v>
      </c>
      <c r="D118" s="162" t="s">
        <v>104</v>
      </c>
      <c r="E118" s="23" t="s">
        <v>132</v>
      </c>
      <c r="F118" s="55" t="s">
        <v>277</v>
      </c>
      <c r="G118" s="164">
        <f t="shared" ca="1" si="8"/>
        <v>34640.625855429469</v>
      </c>
      <c r="H118" s="93">
        <f t="shared" ca="1" si="9"/>
        <v>38078.259449952879</v>
      </c>
      <c r="I118" s="93">
        <f t="shared" si="10"/>
        <v>2940.6303782198192</v>
      </c>
    </row>
    <row r="119" spans="1:9">
      <c r="A119" s="162" t="s">
        <v>439</v>
      </c>
      <c r="B119" s="162" t="s">
        <v>19</v>
      </c>
      <c r="C119" s="57" t="s">
        <v>107</v>
      </c>
      <c r="D119" s="162" t="s">
        <v>104</v>
      </c>
      <c r="E119" s="23" t="s">
        <v>132</v>
      </c>
      <c r="F119" s="55" t="s">
        <v>278</v>
      </c>
      <c r="G119" s="164">
        <f t="shared" ca="1" si="8"/>
        <v>17738.784485111162</v>
      </c>
      <c r="H119" s="93">
        <f t="shared" ca="1" si="9"/>
        <v>19508.602495454954</v>
      </c>
      <c r="I119" s="93">
        <f t="shared" si="10"/>
        <v>1226.7485812663319</v>
      </c>
    </row>
    <row r="120" spans="1:9">
      <c r="A120" s="162" t="s">
        <v>439</v>
      </c>
      <c r="B120" s="162" t="s">
        <v>19</v>
      </c>
      <c r="C120" s="57" t="s">
        <v>107</v>
      </c>
      <c r="D120" s="162" t="s">
        <v>104</v>
      </c>
      <c r="E120" s="23" t="s">
        <v>132</v>
      </c>
      <c r="F120" s="55" t="s">
        <v>279</v>
      </c>
      <c r="G120" s="164">
        <f t="shared" ca="1" si="8"/>
        <v>118808.55961012303</v>
      </c>
      <c r="H120" s="93">
        <f t="shared" ca="1" si="9"/>
        <v>130743.96758118586</v>
      </c>
      <c r="I120" s="93">
        <f t="shared" si="10"/>
        <v>26579.096109647213</v>
      </c>
    </row>
    <row r="121" spans="1:9">
      <c r="A121" s="162" t="s">
        <v>439</v>
      </c>
      <c r="B121" s="162" t="s">
        <v>19</v>
      </c>
      <c r="C121" s="57" t="s">
        <v>107</v>
      </c>
      <c r="D121" s="162" t="s">
        <v>104</v>
      </c>
      <c r="E121" s="23" t="s">
        <v>132</v>
      </c>
      <c r="F121" s="55" t="s">
        <v>280</v>
      </c>
      <c r="G121" s="164">
        <f t="shared" ca="1" si="8"/>
        <v>103539.05169786456</v>
      </c>
      <c r="H121" s="93">
        <f t="shared" ca="1" si="9"/>
        <v>113743.84571368348</v>
      </c>
      <c r="I121" s="93">
        <f t="shared" si="10"/>
        <v>20543.462638465189</v>
      </c>
    </row>
    <row r="122" spans="1:9">
      <c r="A122" s="162" t="s">
        <v>439</v>
      </c>
      <c r="B122" s="162" t="s">
        <v>19</v>
      </c>
      <c r="C122" s="57" t="s">
        <v>107</v>
      </c>
      <c r="D122" s="162" t="s">
        <v>104</v>
      </c>
      <c r="E122" s="23" t="s">
        <v>132</v>
      </c>
      <c r="F122" s="55" t="s">
        <v>281</v>
      </c>
      <c r="G122" s="164">
        <f t="shared" ca="1" si="8"/>
        <v>5520.2233972153972</v>
      </c>
      <c r="H122" s="93">
        <f t="shared" ca="1" si="9"/>
        <v>6066.9927872813487</v>
      </c>
      <c r="I122" s="93">
        <f t="shared" si="10"/>
        <v>983.99704050185335</v>
      </c>
    </row>
    <row r="123" spans="1:9">
      <c r="A123" s="162" t="s">
        <v>439</v>
      </c>
      <c r="B123" s="162" t="s">
        <v>19</v>
      </c>
      <c r="C123" s="57" t="s">
        <v>107</v>
      </c>
      <c r="D123" s="162" t="s">
        <v>104</v>
      </c>
      <c r="E123" s="23" t="s">
        <v>132</v>
      </c>
      <c r="F123" s="55" t="s">
        <v>282</v>
      </c>
      <c r="G123" s="164">
        <f t="shared" ca="1" si="8"/>
        <v>115123.6724113525</v>
      </c>
      <c r="H123" s="93">
        <f t="shared" ca="1" si="9"/>
        <v>126567.95162890291</v>
      </c>
      <c r="I123" s="93">
        <f t="shared" si="10"/>
        <v>18658.617894870746</v>
      </c>
    </row>
    <row r="124" spans="1:9">
      <c r="A124" s="162" t="s">
        <v>439</v>
      </c>
      <c r="B124" s="162" t="s">
        <v>19</v>
      </c>
      <c r="C124" s="57" t="s">
        <v>107</v>
      </c>
      <c r="D124" s="162" t="s">
        <v>104</v>
      </c>
      <c r="E124" s="23" t="s">
        <v>132</v>
      </c>
      <c r="F124" s="55" t="s">
        <v>283</v>
      </c>
      <c r="G124" s="164">
        <f t="shared" ca="1" si="8"/>
        <v>16641.044038890082</v>
      </c>
      <c r="H124" s="93">
        <f t="shared" ca="1" si="9"/>
        <v>18305.432724619168</v>
      </c>
      <c r="I124" s="93">
        <f t="shared" si="10"/>
        <v>2440.0357828284577</v>
      </c>
    </row>
    <row r="125" spans="1:9">
      <c r="A125" s="162" t="s">
        <v>439</v>
      </c>
      <c r="B125" s="162" t="s">
        <v>19</v>
      </c>
      <c r="C125" s="57" t="s">
        <v>107</v>
      </c>
      <c r="D125" s="162" t="s">
        <v>104</v>
      </c>
      <c r="E125" s="23" t="s">
        <v>132</v>
      </c>
      <c r="F125" s="55" t="s">
        <v>284</v>
      </c>
      <c r="G125" s="164">
        <f t="shared" ca="1" si="8"/>
        <v>26130.219529361941</v>
      </c>
      <c r="H125" s="93">
        <f t="shared" ca="1" si="9"/>
        <v>28720.235787004531</v>
      </c>
      <c r="I125" s="93">
        <f t="shared" si="10"/>
        <v>3095.9975745689503</v>
      </c>
    </row>
    <row r="126" spans="1:9">
      <c r="A126" s="162" t="s">
        <v>439</v>
      </c>
      <c r="B126" s="162" t="s">
        <v>19</v>
      </c>
      <c r="C126" s="57" t="s">
        <v>107</v>
      </c>
      <c r="D126" s="162" t="s">
        <v>104</v>
      </c>
      <c r="E126" s="23" t="s">
        <v>132</v>
      </c>
      <c r="F126" s="47" t="s">
        <v>105</v>
      </c>
      <c r="G126" s="164">
        <f t="shared" si="8"/>
        <v>-33281.311721933365</v>
      </c>
      <c r="H126" s="93">
        <f t="shared" si="9"/>
        <v>-33281.311721933365</v>
      </c>
      <c r="I126" s="93">
        <f t="shared" si="10"/>
        <v>0</v>
      </c>
    </row>
    <row r="127" spans="1:9">
      <c r="A127" s="162" t="s">
        <v>439</v>
      </c>
      <c r="B127" s="162" t="s">
        <v>19</v>
      </c>
      <c r="C127" s="55" t="s">
        <v>163</v>
      </c>
      <c r="D127" s="57" t="s">
        <v>104</v>
      </c>
      <c r="E127" s="57" t="s">
        <v>132</v>
      </c>
      <c r="F127" s="55" t="s">
        <v>4</v>
      </c>
      <c r="G127" s="164">
        <f t="shared" ca="1" si="8"/>
        <v>117864.52593500138</v>
      </c>
      <c r="H127" s="93">
        <f t="shared" ca="1" si="9"/>
        <v>129595.26195032567</v>
      </c>
      <c r="I127" s="93">
        <f t="shared" si="10"/>
        <v>2111889.0151406806</v>
      </c>
    </row>
    <row r="128" spans="1:9">
      <c r="A128" s="162" t="s">
        <v>439</v>
      </c>
      <c r="B128" s="162" t="s">
        <v>19</v>
      </c>
      <c r="C128" s="55" t="s">
        <v>163</v>
      </c>
      <c r="D128" s="57" t="s">
        <v>104</v>
      </c>
      <c r="E128" s="57" t="s">
        <v>132</v>
      </c>
      <c r="F128" s="47" t="s">
        <v>105</v>
      </c>
      <c r="G128" s="164">
        <f t="shared" si="8"/>
        <v>-7718.6882780666365</v>
      </c>
      <c r="H128" s="93">
        <f t="shared" si="9"/>
        <v>-7718.6882780666365</v>
      </c>
      <c r="I128" s="93">
        <f t="shared" si="10"/>
        <v>0</v>
      </c>
    </row>
    <row r="129" spans="1:12">
      <c r="A129" s="162" t="s">
        <v>439</v>
      </c>
      <c r="B129" s="162" t="s">
        <v>19</v>
      </c>
      <c r="C129" s="55" t="s">
        <v>108</v>
      </c>
      <c r="D129" s="57" t="s">
        <v>3</v>
      </c>
      <c r="E129" s="55" t="s">
        <v>136</v>
      </c>
      <c r="F129" s="57" t="s">
        <v>271</v>
      </c>
      <c r="G129" s="164">
        <f t="shared" ca="1" si="8"/>
        <v>997.30506401137973</v>
      </c>
      <c r="H129" s="93">
        <f t="shared" ca="1" si="9"/>
        <v>1096.6454649441393</v>
      </c>
      <c r="I129" s="93">
        <f t="shared" si="10"/>
        <v>138.90042674253201</v>
      </c>
    </row>
    <row r="130" spans="1:12">
      <c r="A130" s="162" t="s">
        <v>439</v>
      </c>
      <c r="B130" s="162" t="s">
        <v>19</v>
      </c>
      <c r="C130" s="55" t="s">
        <v>108</v>
      </c>
      <c r="D130" s="57" t="s">
        <v>3</v>
      </c>
      <c r="E130" s="55" t="s">
        <v>137</v>
      </c>
      <c r="F130" s="57" t="s">
        <v>271</v>
      </c>
      <c r="G130" s="164">
        <f t="shared" ca="1" si="8"/>
        <v>2170.56</v>
      </c>
      <c r="H130" s="93">
        <f t="shared" ca="1" si="9"/>
        <v>2386.7511977831223</v>
      </c>
      <c r="I130" s="93">
        <f t="shared" si="10"/>
        <v>168</v>
      </c>
    </row>
    <row r="131" spans="1:12">
      <c r="A131" s="162" t="s">
        <v>439</v>
      </c>
      <c r="B131" s="162" t="s">
        <v>19</v>
      </c>
      <c r="C131" s="55" t="s">
        <v>108</v>
      </c>
      <c r="D131" s="57" t="s">
        <v>3</v>
      </c>
      <c r="E131" s="57" t="s">
        <v>132</v>
      </c>
      <c r="F131" s="55" t="s">
        <v>4</v>
      </c>
      <c r="G131" s="164">
        <f t="shared" ca="1" si="8"/>
        <v>18254.381337416948</v>
      </c>
      <c r="H131" s="93">
        <f t="shared" ca="1" si="9"/>
        <v>20069.409903670083</v>
      </c>
      <c r="I131" s="93">
        <f t="shared" si="10"/>
        <v>312414.5359818064</v>
      </c>
    </row>
    <row r="132" spans="1:12">
      <c r="A132" s="163" t="s">
        <v>439</v>
      </c>
      <c r="B132" s="163" t="s">
        <v>19</v>
      </c>
      <c r="C132" s="103" t="s">
        <v>108</v>
      </c>
      <c r="D132" s="103" t="s">
        <v>3</v>
      </c>
      <c r="E132" s="103" t="s">
        <v>132</v>
      </c>
      <c r="F132" s="211" t="s">
        <v>105</v>
      </c>
      <c r="G132" s="165">
        <f t="shared" si="8"/>
        <v>299.67134569970966</v>
      </c>
      <c r="H132" s="93">
        <f t="shared" si="9"/>
        <v>299.67134569970966</v>
      </c>
      <c r="I132" s="93">
        <f t="shared" si="10"/>
        <v>0</v>
      </c>
    </row>
    <row r="133" spans="1:12">
      <c r="A133" s="180" t="s">
        <v>467</v>
      </c>
      <c r="B133" s="177" t="s">
        <v>19</v>
      </c>
      <c r="C133" s="180" t="s">
        <v>132</v>
      </c>
      <c r="D133" s="180" t="s">
        <v>132</v>
      </c>
      <c r="E133" s="180" t="s">
        <v>132</v>
      </c>
      <c r="F133" s="180" t="s">
        <v>132</v>
      </c>
      <c r="G133" s="182">
        <f ca="1">'Cost of Service and Proposed $'!AA128</f>
        <v>1002217.6922047171</v>
      </c>
    </row>
    <row r="134" spans="1:12">
      <c r="A134" s="166" t="s">
        <v>440</v>
      </c>
      <c r="B134" s="166" t="s">
        <v>338</v>
      </c>
      <c r="C134" s="98" t="s">
        <v>106</v>
      </c>
      <c r="D134" s="34" t="s">
        <v>132</v>
      </c>
      <c r="E134" s="34" t="s">
        <v>132</v>
      </c>
      <c r="F134" s="99" t="s">
        <v>273</v>
      </c>
      <c r="G134" s="269">
        <f ca="1">ROUND(H134/100*K134/L134,I134)</f>
        <v>8.83</v>
      </c>
      <c r="H134" s="183">
        <f>100+Summary!$Q$19</f>
        <v>90.37</v>
      </c>
      <c r="I134" s="93">
        <v>2</v>
      </c>
      <c r="J134" s="257">
        <f ca="1">K134/L134</f>
        <v>9.7736856037251858</v>
      </c>
      <c r="K134" s="93">
        <f ca="1">SUMIFS(G$102:G$132,C$102:C$132,C134,E$102:E$132,E134,F$102:F$132,F134)/SUMIFS(G$102:G$132,F$102:F$132,"&lt;&gt;Unbilled")*(G$133-SUMIFS(G$102:G$132,F$102:F$132,"Unbilled"))</f>
        <v>246346.66447941813</v>
      </c>
      <c r="L134" s="96">
        <f t="shared" ref="L134" si="11">SUMIFS(G$7:G$31,C$7:C$31,C134,E$7:E$31,E134,F$7:F$31,F134)</f>
        <v>25205.094011365014</v>
      </c>
    </row>
    <row r="135" spans="1:12">
      <c r="A135" s="162" t="s">
        <v>440</v>
      </c>
      <c r="B135" s="162" t="s">
        <v>338</v>
      </c>
      <c r="C135" s="57" t="s">
        <v>106</v>
      </c>
      <c r="D135" s="23" t="s">
        <v>132</v>
      </c>
      <c r="E135" s="23" t="s">
        <v>132</v>
      </c>
      <c r="F135" s="101" t="s">
        <v>274</v>
      </c>
      <c r="G135" s="270">
        <f t="shared" ref="G135:G152" ca="1" si="12">ROUND(H135/100*K135/L135,I135)</f>
        <v>10.46</v>
      </c>
      <c r="H135" s="183">
        <f>100+Summary!$Q$19</f>
        <v>90.37</v>
      </c>
      <c r="I135" s="93">
        <v>2</v>
      </c>
      <c r="J135" s="257">
        <f t="shared" ref="J135:J152" ca="1" si="13">K135/L135</f>
        <v>11.576705220160425</v>
      </c>
      <c r="K135" s="93">
        <f t="shared" ref="K135:K152" ca="1" si="14">SUMIFS(G$102:G$132,C$102:C$132,C135,E$102:E$132,E135,F$102:F$132,F135)/SUMIFS(G$102:G$132,F$102:F$132,"&lt;&gt;Unbilled")*(G$133-SUMIFS(G$102:G$132,F$102:F$132,"Unbilled"))</f>
        <v>63965.179667539254</v>
      </c>
      <c r="L135" s="96">
        <f t="shared" ref="L135:L152" si="15">SUMIFS(G$7:G$31,C$7:C$31,C135,E$7:E$31,E135,F$7:F$31,F135)</f>
        <v>5525.3354431229827</v>
      </c>
    </row>
    <row r="136" spans="1:12">
      <c r="A136" s="162" t="s">
        <v>440</v>
      </c>
      <c r="B136" s="162" t="s">
        <v>338</v>
      </c>
      <c r="C136" s="57" t="s">
        <v>106</v>
      </c>
      <c r="D136" s="23" t="s">
        <v>132</v>
      </c>
      <c r="E136" s="23" t="s">
        <v>132</v>
      </c>
      <c r="F136" s="101" t="s">
        <v>275</v>
      </c>
      <c r="G136" s="270">
        <f t="shared" ca="1" si="12"/>
        <v>13.01</v>
      </c>
      <c r="H136" s="183">
        <f>100+Summary!$Q$19</f>
        <v>90.37</v>
      </c>
      <c r="I136" s="93">
        <v>2</v>
      </c>
      <c r="J136" s="257">
        <f t="shared" ca="1" si="13"/>
        <v>14.391174865327631</v>
      </c>
      <c r="K136" s="93">
        <f t="shared" ca="1" si="14"/>
        <v>14579.929797428236</v>
      </c>
      <c r="L136" s="96">
        <f t="shared" si="15"/>
        <v>1013.1160196347394</v>
      </c>
    </row>
    <row r="137" spans="1:12">
      <c r="A137" s="162" t="s">
        <v>440</v>
      </c>
      <c r="B137" s="162" t="s">
        <v>338</v>
      </c>
      <c r="C137" s="57" t="s">
        <v>107</v>
      </c>
      <c r="D137" s="23" t="s">
        <v>132</v>
      </c>
      <c r="E137" s="23" t="s">
        <v>132</v>
      </c>
      <c r="F137" s="55" t="s">
        <v>273</v>
      </c>
      <c r="G137" s="270">
        <f t="shared" ca="1" si="12"/>
        <v>8.75</v>
      </c>
      <c r="H137" s="183">
        <f>100+Summary!$Q$19</f>
        <v>90.37</v>
      </c>
      <c r="I137" s="93">
        <v>2</v>
      </c>
      <c r="J137" s="257">
        <f t="shared" ca="1" si="13"/>
        <v>9.6857334273137106</v>
      </c>
      <c r="K137" s="93">
        <f t="shared" ca="1" si="14"/>
        <v>3708.9956290637156</v>
      </c>
      <c r="L137" s="96">
        <f t="shared" si="15"/>
        <v>382.93389518695301</v>
      </c>
    </row>
    <row r="138" spans="1:12">
      <c r="A138" s="162" t="s">
        <v>440</v>
      </c>
      <c r="B138" s="162" t="s">
        <v>338</v>
      </c>
      <c r="C138" s="57" t="s">
        <v>107</v>
      </c>
      <c r="D138" s="23" t="s">
        <v>132</v>
      </c>
      <c r="E138" s="23" t="s">
        <v>132</v>
      </c>
      <c r="F138" s="55" t="s">
        <v>274</v>
      </c>
      <c r="G138" s="270">
        <f t="shared" ca="1" si="12"/>
        <v>9.61</v>
      </c>
      <c r="H138" s="183">
        <f>100+Summary!$Q$19</f>
        <v>90.37</v>
      </c>
      <c r="I138" s="93">
        <v>2</v>
      </c>
      <c r="J138" s="257">
        <f t="shared" ca="1" si="13"/>
        <v>10.631219323737067</v>
      </c>
      <c r="K138" s="93">
        <f t="shared" ca="1" si="14"/>
        <v>37828.397864603307</v>
      </c>
      <c r="L138" s="96">
        <f t="shared" si="15"/>
        <v>3558.2369917005844</v>
      </c>
    </row>
    <row r="139" spans="1:12">
      <c r="A139" s="162" t="s">
        <v>440</v>
      </c>
      <c r="B139" s="162" t="s">
        <v>338</v>
      </c>
      <c r="C139" s="57" t="s">
        <v>107</v>
      </c>
      <c r="D139" s="23" t="s">
        <v>132</v>
      </c>
      <c r="E139" s="23" t="s">
        <v>132</v>
      </c>
      <c r="F139" s="55" t="s">
        <v>275</v>
      </c>
      <c r="G139" s="270">
        <f t="shared" ca="1" si="12"/>
        <v>10.199999999999999</v>
      </c>
      <c r="H139" s="183">
        <f>100+Summary!$Q$19</f>
        <v>90.37</v>
      </c>
      <c r="I139" s="93">
        <v>2</v>
      </c>
      <c r="J139" s="257">
        <f t="shared" ca="1" si="13"/>
        <v>11.290860646823132</v>
      </c>
      <c r="K139" s="93">
        <f t="shared" ca="1" si="14"/>
        <v>7568.2832205525347</v>
      </c>
      <c r="L139" s="96">
        <f t="shared" si="15"/>
        <v>670.30171191440525</v>
      </c>
    </row>
    <row r="140" spans="1:12">
      <c r="A140" s="162" t="s">
        <v>440</v>
      </c>
      <c r="B140" s="162" t="s">
        <v>338</v>
      </c>
      <c r="C140" s="57" t="s">
        <v>107</v>
      </c>
      <c r="D140" s="23" t="s">
        <v>132</v>
      </c>
      <c r="E140" s="23" t="s">
        <v>132</v>
      </c>
      <c r="F140" s="55" t="s">
        <v>276</v>
      </c>
      <c r="G140" s="270">
        <f t="shared" ca="1" si="12"/>
        <v>10.8</v>
      </c>
      <c r="H140" s="183">
        <f>100+Summary!$Q$19</f>
        <v>90.37</v>
      </c>
      <c r="I140" s="93">
        <v>2</v>
      </c>
      <c r="J140" s="257">
        <f t="shared" ca="1" si="13"/>
        <v>11.950501969909196</v>
      </c>
      <c r="K140" s="93">
        <f t="shared" ca="1" si="14"/>
        <v>27933.177713237688</v>
      </c>
      <c r="L140" s="96">
        <f t="shared" si="15"/>
        <v>2337.4062264139297</v>
      </c>
    </row>
    <row r="141" spans="1:12">
      <c r="A141" s="162" t="s">
        <v>440</v>
      </c>
      <c r="B141" s="162" t="s">
        <v>338</v>
      </c>
      <c r="C141" s="57" t="s">
        <v>107</v>
      </c>
      <c r="D141" s="23" t="s">
        <v>132</v>
      </c>
      <c r="E141" s="23" t="s">
        <v>132</v>
      </c>
      <c r="F141" s="55" t="s">
        <v>277</v>
      </c>
      <c r="G141" s="270">
        <f t="shared" ca="1" si="12"/>
        <v>11.7</v>
      </c>
      <c r="H141" s="183">
        <f>100+Summary!$Q$19</f>
        <v>90.37</v>
      </c>
      <c r="I141" s="93">
        <v>2</v>
      </c>
      <c r="J141" s="257">
        <f t="shared" ca="1" si="13"/>
        <v>12.950957976589727</v>
      </c>
      <c r="K141" s="93">
        <f t="shared" ca="1" si="14"/>
        <v>38083.980453008036</v>
      </c>
      <c r="L141" s="96">
        <f t="shared" si="15"/>
        <v>2940.6303782198192</v>
      </c>
    </row>
    <row r="142" spans="1:12">
      <c r="A142" s="162" t="s">
        <v>440</v>
      </c>
      <c r="B142" s="162" t="s">
        <v>338</v>
      </c>
      <c r="C142" s="57" t="s">
        <v>107</v>
      </c>
      <c r="D142" s="23" t="s">
        <v>132</v>
      </c>
      <c r="E142" s="23" t="s">
        <v>132</v>
      </c>
      <c r="F142" s="55" t="s">
        <v>278</v>
      </c>
      <c r="G142" s="270">
        <f t="shared" ca="1" si="12"/>
        <v>14.37</v>
      </c>
      <c r="H142" s="183">
        <f>100+Summary!$Q$19</f>
        <v>90.37</v>
      </c>
      <c r="I142" s="93">
        <v>2</v>
      </c>
      <c r="J142" s="257">
        <f t="shared" ca="1" si="13"/>
        <v>15.89735588637415</v>
      </c>
      <c r="K142" s="93">
        <f t="shared" ca="1" si="14"/>
        <v>19502.058779495459</v>
      </c>
      <c r="L142" s="96">
        <f t="shared" si="15"/>
        <v>1226.7485812663319</v>
      </c>
    </row>
    <row r="143" spans="1:12">
      <c r="A143" s="162" t="s">
        <v>440</v>
      </c>
      <c r="B143" s="162" t="s">
        <v>338</v>
      </c>
      <c r="C143" s="57" t="s">
        <v>107</v>
      </c>
      <c r="D143" s="23" t="s">
        <v>132</v>
      </c>
      <c r="E143" s="23" t="s">
        <v>132</v>
      </c>
      <c r="F143" s="55" t="s">
        <v>279</v>
      </c>
      <c r="G143" s="270">
        <f t="shared" ca="1" si="12"/>
        <v>4.4400000000000004</v>
      </c>
      <c r="H143" s="183">
        <f>100+Summary!$Q$19</f>
        <v>90.37</v>
      </c>
      <c r="I143" s="93">
        <v>2</v>
      </c>
      <c r="J143" s="257">
        <f t="shared" ca="1" si="13"/>
        <v>4.9143278569911777</v>
      </c>
      <c r="K143" s="93">
        <f t="shared" ca="1" si="14"/>
        <v>130618.39242528514</v>
      </c>
      <c r="L143" s="96">
        <f t="shared" si="15"/>
        <v>26579.096109647213</v>
      </c>
    </row>
    <row r="144" spans="1:12">
      <c r="A144" s="162" t="s">
        <v>440</v>
      </c>
      <c r="B144" s="162" t="s">
        <v>338</v>
      </c>
      <c r="C144" s="57" t="s">
        <v>107</v>
      </c>
      <c r="D144" s="23" t="s">
        <v>132</v>
      </c>
      <c r="E144" s="23" t="s">
        <v>132</v>
      </c>
      <c r="F144" s="55" t="s">
        <v>280</v>
      </c>
      <c r="G144" s="270">
        <f t="shared" ca="1" si="12"/>
        <v>5.01</v>
      </c>
      <c r="H144" s="183">
        <f>100+Summary!$Q$19</f>
        <v>90.37</v>
      </c>
      <c r="I144" s="93">
        <v>2</v>
      </c>
      <c r="J144" s="257">
        <f t="shared" ca="1" si="13"/>
        <v>5.5409871139229399</v>
      </c>
      <c r="K144" s="93">
        <f t="shared" ca="1" si="14"/>
        <v>113831.06175509297</v>
      </c>
      <c r="L144" s="96">
        <f t="shared" si="15"/>
        <v>20543.462638465189</v>
      </c>
    </row>
    <row r="145" spans="1:12">
      <c r="A145" s="162" t="s">
        <v>440</v>
      </c>
      <c r="B145" s="162" t="s">
        <v>338</v>
      </c>
      <c r="C145" s="57" t="s">
        <v>107</v>
      </c>
      <c r="D145" s="23" t="s">
        <v>132</v>
      </c>
      <c r="E145" s="23" t="s">
        <v>132</v>
      </c>
      <c r="F145" s="55" t="s">
        <v>281</v>
      </c>
      <c r="G145" s="270">
        <f t="shared" ca="1" si="12"/>
        <v>5.57</v>
      </c>
      <c r="H145" s="183">
        <f>100+Summary!$Q$19</f>
        <v>90.37</v>
      </c>
      <c r="I145" s="93">
        <v>2</v>
      </c>
      <c r="J145" s="257">
        <f t="shared" ca="1" si="13"/>
        <v>6.1676463708547002</v>
      </c>
      <c r="K145" s="93">
        <f t="shared" ca="1" si="14"/>
        <v>6068.9457757830214</v>
      </c>
      <c r="L145" s="96">
        <f t="shared" si="15"/>
        <v>983.99704050185335</v>
      </c>
    </row>
    <row r="146" spans="1:12">
      <c r="A146" s="162" t="s">
        <v>440</v>
      </c>
      <c r="B146" s="162" t="s">
        <v>338</v>
      </c>
      <c r="C146" s="57" t="s">
        <v>107</v>
      </c>
      <c r="D146" s="23" t="s">
        <v>132</v>
      </c>
      <c r="E146" s="23" t="s">
        <v>132</v>
      </c>
      <c r="F146" s="55" t="s">
        <v>282</v>
      </c>
      <c r="G146" s="270">
        <f t="shared" ca="1" si="12"/>
        <v>6.13</v>
      </c>
      <c r="H146" s="183">
        <f>100+Summary!$Q$19</f>
        <v>90.37</v>
      </c>
      <c r="I146" s="93">
        <v>2</v>
      </c>
      <c r="J146" s="257">
        <f t="shared" ca="1" si="13"/>
        <v>6.783311605735026</v>
      </c>
      <c r="K146" s="93">
        <f t="shared" ca="1" si="14"/>
        <v>126567.21931325198</v>
      </c>
      <c r="L146" s="96">
        <f t="shared" si="15"/>
        <v>18658.617894870746</v>
      </c>
    </row>
    <row r="147" spans="1:12">
      <c r="A147" s="162" t="s">
        <v>440</v>
      </c>
      <c r="B147" s="162" t="s">
        <v>338</v>
      </c>
      <c r="C147" s="57" t="s">
        <v>107</v>
      </c>
      <c r="D147" s="23" t="s">
        <v>132</v>
      </c>
      <c r="E147" s="23" t="s">
        <v>132</v>
      </c>
      <c r="F147" s="55" t="s">
        <v>283</v>
      </c>
      <c r="G147" s="270">
        <f t="shared" ca="1" si="12"/>
        <v>6.78</v>
      </c>
      <c r="H147" s="183">
        <f>100+Summary!$Q$19</f>
        <v>90.37</v>
      </c>
      <c r="I147" s="93">
        <v>2</v>
      </c>
      <c r="J147" s="257">
        <f t="shared" ca="1" si="13"/>
        <v>7.4979230390782643</v>
      </c>
      <c r="K147" s="93">
        <f t="shared" ca="1" si="14"/>
        <v>18295.200512244861</v>
      </c>
      <c r="L147" s="96">
        <f t="shared" si="15"/>
        <v>2440.0357828284577</v>
      </c>
    </row>
    <row r="148" spans="1:12">
      <c r="A148" s="162" t="s">
        <v>440</v>
      </c>
      <c r="B148" s="162" t="s">
        <v>338</v>
      </c>
      <c r="C148" s="57" t="s">
        <v>107</v>
      </c>
      <c r="D148" s="23" t="s">
        <v>132</v>
      </c>
      <c r="E148" s="23" t="s">
        <v>132</v>
      </c>
      <c r="F148" s="55" t="s">
        <v>284</v>
      </c>
      <c r="G148" s="270">
        <f t="shared" ca="1" si="12"/>
        <v>8.39</v>
      </c>
      <c r="H148" s="183">
        <f>100+Summary!$Q$19</f>
        <v>90.37</v>
      </c>
      <c r="I148" s="93">
        <v>2</v>
      </c>
      <c r="J148" s="257">
        <f t="shared" ca="1" si="13"/>
        <v>9.2789546114106383</v>
      </c>
      <c r="K148" s="93">
        <f t="shared" ca="1" si="14"/>
        <v>28727.620971462711</v>
      </c>
      <c r="L148" s="96">
        <f t="shared" si="15"/>
        <v>3095.9975745689503</v>
      </c>
    </row>
    <row r="149" spans="1:12">
      <c r="A149" s="162" t="s">
        <v>440</v>
      </c>
      <c r="B149" s="162" t="s">
        <v>338</v>
      </c>
      <c r="C149" s="55" t="s">
        <v>163</v>
      </c>
      <c r="D149" s="57" t="s">
        <v>132</v>
      </c>
      <c r="E149" s="57" t="s">
        <v>132</v>
      </c>
      <c r="F149" s="55" t="s">
        <v>4</v>
      </c>
      <c r="G149" s="270">
        <f t="shared" ca="1" si="12"/>
        <v>5.5449999999999999E-2</v>
      </c>
      <c r="H149" s="183">
        <f>100+Summary!$Q$19</f>
        <v>90.37</v>
      </c>
      <c r="I149" s="93">
        <v>5</v>
      </c>
      <c r="J149" s="257">
        <f t="shared" ca="1" si="13"/>
        <v>6.1357637069055407E-2</v>
      </c>
      <c r="K149" s="93">
        <f t="shared" ca="1" si="14"/>
        <v>129580.51972112674</v>
      </c>
      <c r="L149" s="96">
        <f t="shared" si="15"/>
        <v>2111889.0151406806</v>
      </c>
    </row>
    <row r="150" spans="1:12">
      <c r="A150" s="162" t="s">
        <v>440</v>
      </c>
      <c r="B150" s="162" t="s">
        <v>338</v>
      </c>
      <c r="C150" s="55" t="s">
        <v>108</v>
      </c>
      <c r="D150" s="57" t="s">
        <v>132</v>
      </c>
      <c r="E150" s="55" t="s">
        <v>136</v>
      </c>
      <c r="F150" s="57" t="s">
        <v>271</v>
      </c>
      <c r="G150" s="270">
        <f t="shared" ca="1" si="12"/>
        <v>7.13</v>
      </c>
      <c r="H150" s="183">
        <f>100+Summary!$Q$19</f>
        <v>90.37</v>
      </c>
      <c r="I150" s="93">
        <v>2</v>
      </c>
      <c r="J150" s="257">
        <f t="shared" ca="1" si="13"/>
        <v>7.893707832929902</v>
      </c>
      <c r="K150" s="93">
        <f t="shared" ca="1" si="14"/>
        <v>1096.4393865748309</v>
      </c>
      <c r="L150" s="96">
        <f t="shared" si="15"/>
        <v>138.90042674253201</v>
      </c>
    </row>
    <row r="151" spans="1:12">
      <c r="A151" s="162" t="s">
        <v>440</v>
      </c>
      <c r="B151" s="162" t="s">
        <v>338</v>
      </c>
      <c r="C151" s="55" t="s">
        <v>108</v>
      </c>
      <c r="D151" s="57" t="s">
        <v>132</v>
      </c>
      <c r="E151" s="55" t="s">
        <v>137</v>
      </c>
      <c r="F151" s="57" t="s">
        <v>271</v>
      </c>
      <c r="G151" s="270">
        <f t="shared" ca="1" si="12"/>
        <v>12.84</v>
      </c>
      <c r="H151" s="183">
        <f>100+Summary!$Q$19</f>
        <v>90.37</v>
      </c>
      <c r="I151" s="93">
        <v>2</v>
      </c>
      <c r="J151" s="257">
        <f t="shared" ca="1" si="13"/>
        <v>14.20427649045325</v>
      </c>
      <c r="K151" s="93">
        <f t="shared" ca="1" si="14"/>
        <v>2386.3184503961461</v>
      </c>
      <c r="L151" s="96">
        <f t="shared" si="15"/>
        <v>168</v>
      </c>
    </row>
    <row r="152" spans="1:12">
      <c r="A152" s="163" t="s">
        <v>440</v>
      </c>
      <c r="B152" s="163" t="s">
        <v>338</v>
      </c>
      <c r="C152" s="105" t="s">
        <v>108</v>
      </c>
      <c r="D152" s="103" t="s">
        <v>132</v>
      </c>
      <c r="E152" s="103" t="s">
        <v>132</v>
      </c>
      <c r="F152" s="105" t="s">
        <v>4</v>
      </c>
      <c r="G152" s="271">
        <f t="shared" ca="1" si="12"/>
        <v>5.8049999999999997E-2</v>
      </c>
      <c r="H152" s="183">
        <f>100+Summary!$Q$19</f>
        <v>90.37</v>
      </c>
      <c r="I152" s="93">
        <v>5</v>
      </c>
      <c r="J152" s="257">
        <f t="shared" ca="1" si="13"/>
        <v>6.4238070846531228E-2</v>
      </c>
      <c r="K152" s="93">
        <f t="shared" ca="1" si="14"/>
        <v>20068.907095885457</v>
      </c>
      <c r="L152" s="96">
        <f t="shared" si="15"/>
        <v>312414.5359818064</v>
      </c>
    </row>
    <row r="153" spans="1:12">
      <c r="A153" s="166" t="s">
        <v>440</v>
      </c>
      <c r="B153" s="166" t="s">
        <v>19</v>
      </c>
      <c r="C153" s="98" t="s">
        <v>106</v>
      </c>
      <c r="D153" s="99" t="s">
        <v>2</v>
      </c>
      <c r="E153" s="34" t="s">
        <v>132</v>
      </c>
      <c r="F153" s="99" t="s">
        <v>273</v>
      </c>
      <c r="G153" s="167">
        <f t="shared" ref="G153:G183" ca="1" si="16">IF(F153="Unbilled",SUMIFS(G$51:G$81,C$51:C$81,C153,D$51:D$81,D153,F$51:F$81,F153),SUMIFS(G$134:G$152,C$134:C$152,C153,E$134:E$152,E153,F$134:F$152,F153)*I153)</f>
        <v>100299.56802385225</v>
      </c>
      <c r="H153" s="93">
        <f t="shared" ref="H153:H183" ca="1" si="17">IF(F153="Unbilled",SUMIFS(G$51:G$81,C$51:C$81,C153,D$51:D$81,D153,F$51:F$81,F153),SUMIFS(J$134:J$152,C$134:C$152,C153,E$134:E$152,E153,F$134:F$152,F153)*I153)</f>
        <v>111018.84983630574</v>
      </c>
      <c r="I153" s="93">
        <f t="shared" ref="I153:I183" si="18">SUMIFS(G$7:G$31,C$7:C$31,C153,D$7:D$31,D153,E$7:E$31,E153,F$7:F$31,F153)</f>
        <v>11358.954476087458</v>
      </c>
    </row>
    <row r="154" spans="1:12">
      <c r="A154" s="162" t="s">
        <v>440</v>
      </c>
      <c r="B154" s="162" t="s">
        <v>19</v>
      </c>
      <c r="C154" s="57" t="s">
        <v>106</v>
      </c>
      <c r="D154" s="101" t="s">
        <v>2</v>
      </c>
      <c r="E154" s="23" t="s">
        <v>132</v>
      </c>
      <c r="F154" s="101" t="s">
        <v>274</v>
      </c>
      <c r="G154" s="164">
        <f t="shared" ca="1" si="16"/>
        <v>5505.4459823400721</v>
      </c>
      <c r="H154" s="93">
        <f t="shared" ca="1" si="17"/>
        <v>6093.2050901594212</v>
      </c>
      <c r="I154" s="93">
        <f t="shared" si="18"/>
        <v>526.33326791014065</v>
      </c>
    </row>
    <row r="155" spans="1:12">
      <c r="A155" s="162" t="s">
        <v>440</v>
      </c>
      <c r="B155" s="162" t="s">
        <v>19</v>
      </c>
      <c r="C155" s="57" t="s">
        <v>106</v>
      </c>
      <c r="D155" s="101" t="s">
        <v>2</v>
      </c>
      <c r="E155" s="23" t="s">
        <v>132</v>
      </c>
      <c r="F155" s="101" t="s">
        <v>275</v>
      </c>
      <c r="G155" s="164">
        <f t="shared" ca="1" si="16"/>
        <v>312.24196843753856</v>
      </c>
      <c r="H155" s="93">
        <f t="shared" ca="1" si="17"/>
        <v>345.39037417976391</v>
      </c>
      <c r="I155" s="93">
        <f t="shared" si="18"/>
        <v>24.000151301886131</v>
      </c>
    </row>
    <row r="156" spans="1:12">
      <c r="A156" s="162" t="s">
        <v>440</v>
      </c>
      <c r="B156" s="162" t="s">
        <v>19</v>
      </c>
      <c r="C156" s="57" t="s">
        <v>106</v>
      </c>
      <c r="D156" s="101" t="s">
        <v>2</v>
      </c>
      <c r="E156" s="23" t="s">
        <v>132</v>
      </c>
      <c r="F156" s="47" t="s">
        <v>105</v>
      </c>
      <c r="G156" s="164">
        <f t="shared" si="16"/>
        <v>3473.3244412401559</v>
      </c>
      <c r="H156" s="93">
        <f t="shared" si="17"/>
        <v>3473.3244412401559</v>
      </c>
      <c r="I156" s="93">
        <f t="shared" si="18"/>
        <v>0</v>
      </c>
    </row>
    <row r="157" spans="1:12">
      <c r="A157" s="162" t="s">
        <v>440</v>
      </c>
      <c r="B157" s="162" t="s">
        <v>19</v>
      </c>
      <c r="C157" s="57" t="s">
        <v>106</v>
      </c>
      <c r="D157" s="101" t="s">
        <v>3</v>
      </c>
      <c r="E157" s="23" t="s">
        <v>132</v>
      </c>
      <c r="F157" s="101" t="s">
        <v>273</v>
      </c>
      <c r="G157" s="164">
        <f t="shared" ca="1" si="16"/>
        <v>117371.58972372832</v>
      </c>
      <c r="H157" s="93">
        <f t="shared" ca="1" si="17"/>
        <v>129915.40393761522</v>
      </c>
      <c r="I157" s="93">
        <f t="shared" si="18"/>
        <v>13292.36576712665</v>
      </c>
    </row>
    <row r="158" spans="1:12">
      <c r="A158" s="162" t="s">
        <v>440</v>
      </c>
      <c r="B158" s="162" t="s">
        <v>19</v>
      </c>
      <c r="C158" s="57" t="s">
        <v>106</v>
      </c>
      <c r="D158" s="101" t="s">
        <v>3</v>
      </c>
      <c r="E158" s="23" t="s">
        <v>132</v>
      </c>
      <c r="F158" s="101" t="s">
        <v>274</v>
      </c>
      <c r="G158" s="164">
        <f t="shared" ca="1" si="16"/>
        <v>47770.824167141094</v>
      </c>
      <c r="H158" s="93">
        <f t="shared" ca="1" si="17"/>
        <v>52870.817352495993</v>
      </c>
      <c r="I158" s="93">
        <f t="shared" si="18"/>
        <v>4567.0003983882498</v>
      </c>
    </row>
    <row r="159" spans="1:12">
      <c r="A159" s="162" t="s">
        <v>440</v>
      </c>
      <c r="B159" s="162" t="s">
        <v>19</v>
      </c>
      <c r="C159" s="57" t="s">
        <v>106</v>
      </c>
      <c r="D159" s="101" t="s">
        <v>3</v>
      </c>
      <c r="E159" s="23" t="s">
        <v>132</v>
      </c>
      <c r="F159" s="101" t="s">
        <v>275</v>
      </c>
      <c r="G159" s="164">
        <f t="shared" ca="1" si="16"/>
        <v>12400.025078271396</v>
      </c>
      <c r="H159" s="93">
        <f t="shared" ca="1" si="17"/>
        <v>13716.443446260693</v>
      </c>
      <c r="I159" s="93">
        <f t="shared" si="18"/>
        <v>953.11491762270532</v>
      </c>
    </row>
    <row r="160" spans="1:12">
      <c r="A160" s="162" t="s">
        <v>440</v>
      </c>
      <c r="B160" s="162" t="s">
        <v>19</v>
      </c>
      <c r="C160" s="57" t="s">
        <v>106</v>
      </c>
      <c r="D160" s="101" t="s">
        <v>3</v>
      </c>
      <c r="E160" s="23" t="s">
        <v>132</v>
      </c>
      <c r="F160" s="47" t="s">
        <v>105</v>
      </c>
      <c r="G160" s="164">
        <f t="shared" si="16"/>
        <v>2499.8824946992781</v>
      </c>
      <c r="H160" s="93">
        <f t="shared" si="17"/>
        <v>2499.8824946992781</v>
      </c>
      <c r="I160" s="93">
        <f t="shared" si="18"/>
        <v>0</v>
      </c>
    </row>
    <row r="161" spans="1:9">
      <c r="A161" s="162" t="s">
        <v>440</v>
      </c>
      <c r="B161" s="162" t="s">
        <v>19</v>
      </c>
      <c r="C161" s="57" t="s">
        <v>106</v>
      </c>
      <c r="D161" s="101" t="s">
        <v>5</v>
      </c>
      <c r="E161" s="23" t="s">
        <v>132</v>
      </c>
      <c r="F161" s="101" t="s">
        <v>273</v>
      </c>
      <c r="G161" s="164">
        <f t="shared" ca="1" si="16"/>
        <v>4889.8223727725026</v>
      </c>
      <c r="H161" s="93">
        <f t="shared" ca="1" si="17"/>
        <v>5412.4107054971619</v>
      </c>
      <c r="I161" s="93">
        <f t="shared" si="18"/>
        <v>553.77376815090633</v>
      </c>
    </row>
    <row r="162" spans="1:9">
      <c r="A162" s="162" t="s">
        <v>440</v>
      </c>
      <c r="B162" s="162" t="s">
        <v>19</v>
      </c>
      <c r="C162" s="57" t="s">
        <v>106</v>
      </c>
      <c r="D162" s="101" t="s">
        <v>5</v>
      </c>
      <c r="E162" s="23" t="s">
        <v>132</v>
      </c>
      <c r="F162" s="101" t="s">
        <v>274</v>
      </c>
      <c r="G162" s="164">
        <f t="shared" ca="1" si="16"/>
        <v>4518.7385855852344</v>
      </c>
      <c r="H162" s="93">
        <f t="shared" ca="1" si="17"/>
        <v>5001.1572248838356</v>
      </c>
      <c r="I162" s="93">
        <f t="shared" si="18"/>
        <v>432.00177682459218</v>
      </c>
    </row>
    <row r="163" spans="1:9">
      <c r="A163" s="162" t="s">
        <v>440</v>
      </c>
      <c r="B163" s="162" t="s">
        <v>19</v>
      </c>
      <c r="C163" s="57" t="s">
        <v>106</v>
      </c>
      <c r="D163" s="101" t="s">
        <v>5</v>
      </c>
      <c r="E163" s="23" t="s">
        <v>132</v>
      </c>
      <c r="F163" s="101" t="s">
        <v>275</v>
      </c>
      <c r="G163" s="164">
        <f t="shared" ca="1" si="16"/>
        <v>468.37236873902384</v>
      </c>
      <c r="H163" s="93">
        <f t="shared" ca="1" si="17"/>
        <v>518.09597698777907</v>
      </c>
      <c r="I163" s="93">
        <f t="shared" si="18"/>
        <v>36.000950710147876</v>
      </c>
    </row>
    <row r="164" spans="1:9">
      <c r="A164" s="162" t="s">
        <v>440</v>
      </c>
      <c r="B164" s="162" t="s">
        <v>19</v>
      </c>
      <c r="C164" s="57" t="s">
        <v>106</v>
      </c>
      <c r="D164" s="101" t="s">
        <v>5</v>
      </c>
      <c r="E164" s="23" t="s">
        <v>132</v>
      </c>
      <c r="F164" s="47" t="s">
        <v>105</v>
      </c>
      <c r="G164" s="164">
        <f t="shared" si="16"/>
        <v>187.52091162770995</v>
      </c>
      <c r="H164" s="93">
        <f t="shared" si="17"/>
        <v>187.52091162770995</v>
      </c>
      <c r="I164" s="93">
        <f t="shared" si="18"/>
        <v>0</v>
      </c>
    </row>
    <row r="165" spans="1:9">
      <c r="A165" s="162" t="s">
        <v>440</v>
      </c>
      <c r="B165" s="162" t="s">
        <v>19</v>
      </c>
      <c r="C165" s="57" t="s">
        <v>107</v>
      </c>
      <c r="D165" s="162" t="s">
        <v>104</v>
      </c>
      <c r="E165" s="23" t="s">
        <v>132</v>
      </c>
      <c r="F165" s="55" t="s">
        <v>273</v>
      </c>
      <c r="G165" s="164">
        <f t="shared" ca="1" si="16"/>
        <v>3350.6715828858387</v>
      </c>
      <c r="H165" s="93">
        <f t="shared" ca="1" si="17"/>
        <v>3708.9956290637156</v>
      </c>
      <c r="I165" s="93">
        <f t="shared" si="18"/>
        <v>382.93389518695301</v>
      </c>
    </row>
    <row r="166" spans="1:9">
      <c r="A166" s="162" t="s">
        <v>440</v>
      </c>
      <c r="B166" s="162" t="s">
        <v>19</v>
      </c>
      <c r="C166" s="57" t="s">
        <v>107</v>
      </c>
      <c r="D166" s="162" t="s">
        <v>104</v>
      </c>
      <c r="E166" s="23" t="s">
        <v>132</v>
      </c>
      <c r="F166" s="55" t="s">
        <v>274</v>
      </c>
      <c r="G166" s="164">
        <f t="shared" ca="1" si="16"/>
        <v>34194.657490242615</v>
      </c>
      <c r="H166" s="93">
        <f t="shared" ca="1" si="17"/>
        <v>37828.397864603307</v>
      </c>
      <c r="I166" s="93">
        <f t="shared" si="18"/>
        <v>3558.2369917005844</v>
      </c>
    </row>
    <row r="167" spans="1:9">
      <c r="A167" s="162" t="s">
        <v>440</v>
      </c>
      <c r="B167" s="162" t="s">
        <v>19</v>
      </c>
      <c r="C167" s="57" t="s">
        <v>107</v>
      </c>
      <c r="D167" s="162" t="s">
        <v>104</v>
      </c>
      <c r="E167" s="23" t="s">
        <v>132</v>
      </c>
      <c r="F167" s="55" t="s">
        <v>275</v>
      </c>
      <c r="G167" s="164">
        <f t="shared" ca="1" si="16"/>
        <v>6837.0774615269329</v>
      </c>
      <c r="H167" s="93">
        <f t="shared" ca="1" si="17"/>
        <v>7568.2832205525347</v>
      </c>
      <c r="I167" s="93">
        <f t="shared" si="18"/>
        <v>670.30171191440525</v>
      </c>
    </row>
    <row r="168" spans="1:9">
      <c r="A168" s="162" t="s">
        <v>440</v>
      </c>
      <c r="B168" s="162" t="s">
        <v>19</v>
      </c>
      <c r="C168" s="57" t="s">
        <v>107</v>
      </c>
      <c r="D168" s="162" t="s">
        <v>104</v>
      </c>
      <c r="E168" s="23" t="s">
        <v>132</v>
      </c>
      <c r="F168" s="55" t="s">
        <v>276</v>
      </c>
      <c r="G168" s="164">
        <f t="shared" ca="1" si="16"/>
        <v>25243.987245270444</v>
      </c>
      <c r="H168" s="93">
        <f t="shared" ca="1" si="17"/>
        <v>27933.177713237688</v>
      </c>
      <c r="I168" s="93">
        <f t="shared" si="18"/>
        <v>2337.4062264139297</v>
      </c>
    </row>
    <row r="169" spans="1:9">
      <c r="A169" s="162" t="s">
        <v>440</v>
      </c>
      <c r="B169" s="162" t="s">
        <v>19</v>
      </c>
      <c r="C169" s="57" t="s">
        <v>107</v>
      </c>
      <c r="D169" s="162" t="s">
        <v>104</v>
      </c>
      <c r="E169" s="23" t="s">
        <v>132</v>
      </c>
      <c r="F169" s="55" t="s">
        <v>277</v>
      </c>
      <c r="G169" s="164">
        <f t="shared" ca="1" si="16"/>
        <v>34405.375425171886</v>
      </c>
      <c r="H169" s="93">
        <f t="shared" ca="1" si="17"/>
        <v>38083.980453008036</v>
      </c>
      <c r="I169" s="93">
        <f t="shared" si="18"/>
        <v>2940.6303782198192</v>
      </c>
    </row>
    <row r="170" spans="1:9">
      <c r="A170" s="162" t="s">
        <v>440</v>
      </c>
      <c r="B170" s="162" t="s">
        <v>19</v>
      </c>
      <c r="C170" s="57" t="s">
        <v>107</v>
      </c>
      <c r="D170" s="162" t="s">
        <v>104</v>
      </c>
      <c r="E170" s="23" t="s">
        <v>132</v>
      </c>
      <c r="F170" s="55" t="s">
        <v>278</v>
      </c>
      <c r="G170" s="164">
        <f t="shared" ca="1" si="16"/>
        <v>17628.377112797189</v>
      </c>
      <c r="H170" s="93">
        <f t="shared" ca="1" si="17"/>
        <v>19502.058779495459</v>
      </c>
      <c r="I170" s="93">
        <f t="shared" si="18"/>
        <v>1226.7485812663319</v>
      </c>
    </row>
    <row r="171" spans="1:9">
      <c r="A171" s="162" t="s">
        <v>440</v>
      </c>
      <c r="B171" s="162" t="s">
        <v>19</v>
      </c>
      <c r="C171" s="57" t="s">
        <v>107</v>
      </c>
      <c r="D171" s="162" t="s">
        <v>104</v>
      </c>
      <c r="E171" s="23" t="s">
        <v>132</v>
      </c>
      <c r="F171" s="55" t="s">
        <v>279</v>
      </c>
      <c r="G171" s="164">
        <f t="shared" ca="1" si="16"/>
        <v>118011.18672683364</v>
      </c>
      <c r="H171" s="93">
        <f t="shared" ca="1" si="17"/>
        <v>130618.39242528513</v>
      </c>
      <c r="I171" s="93">
        <f t="shared" si="18"/>
        <v>26579.096109647213</v>
      </c>
    </row>
    <row r="172" spans="1:9">
      <c r="A172" s="162" t="s">
        <v>440</v>
      </c>
      <c r="B172" s="162" t="s">
        <v>19</v>
      </c>
      <c r="C172" s="57" t="s">
        <v>107</v>
      </c>
      <c r="D172" s="162" t="s">
        <v>104</v>
      </c>
      <c r="E172" s="23" t="s">
        <v>132</v>
      </c>
      <c r="F172" s="55" t="s">
        <v>280</v>
      </c>
      <c r="G172" s="164">
        <f t="shared" ca="1" si="16"/>
        <v>102922.74781871059</v>
      </c>
      <c r="H172" s="93">
        <f t="shared" ca="1" si="17"/>
        <v>113831.06175509297</v>
      </c>
      <c r="I172" s="93">
        <f t="shared" si="18"/>
        <v>20543.462638465189</v>
      </c>
    </row>
    <row r="173" spans="1:9">
      <c r="A173" s="162" t="s">
        <v>440</v>
      </c>
      <c r="B173" s="162" t="s">
        <v>19</v>
      </c>
      <c r="C173" s="57" t="s">
        <v>107</v>
      </c>
      <c r="D173" s="162" t="s">
        <v>104</v>
      </c>
      <c r="E173" s="23" t="s">
        <v>132</v>
      </c>
      <c r="F173" s="55" t="s">
        <v>281</v>
      </c>
      <c r="G173" s="164">
        <f t="shared" ca="1" si="16"/>
        <v>5480.8635155953234</v>
      </c>
      <c r="H173" s="93">
        <f t="shared" ca="1" si="17"/>
        <v>6068.9457757830214</v>
      </c>
      <c r="I173" s="93">
        <f t="shared" si="18"/>
        <v>983.99704050185335</v>
      </c>
    </row>
    <row r="174" spans="1:9">
      <c r="A174" s="162" t="s">
        <v>440</v>
      </c>
      <c r="B174" s="162" t="s">
        <v>19</v>
      </c>
      <c r="C174" s="57" t="s">
        <v>107</v>
      </c>
      <c r="D174" s="162" t="s">
        <v>104</v>
      </c>
      <c r="E174" s="23" t="s">
        <v>132</v>
      </c>
      <c r="F174" s="55" t="s">
        <v>282</v>
      </c>
      <c r="G174" s="164">
        <f t="shared" ca="1" si="16"/>
        <v>114377.32769555767</v>
      </c>
      <c r="H174" s="93">
        <f t="shared" ca="1" si="17"/>
        <v>126567.21931325198</v>
      </c>
      <c r="I174" s="93">
        <f t="shared" si="18"/>
        <v>18658.617894870746</v>
      </c>
    </row>
    <row r="175" spans="1:9">
      <c r="A175" s="162" t="s">
        <v>440</v>
      </c>
      <c r="B175" s="162" t="s">
        <v>19</v>
      </c>
      <c r="C175" s="57" t="s">
        <v>107</v>
      </c>
      <c r="D175" s="162" t="s">
        <v>104</v>
      </c>
      <c r="E175" s="23" t="s">
        <v>132</v>
      </c>
      <c r="F175" s="55" t="s">
        <v>283</v>
      </c>
      <c r="G175" s="164">
        <f t="shared" ca="1" si="16"/>
        <v>16543.442607576944</v>
      </c>
      <c r="H175" s="93">
        <f t="shared" ca="1" si="17"/>
        <v>18295.200512244861</v>
      </c>
      <c r="I175" s="93">
        <f t="shared" si="18"/>
        <v>2440.0357828284577</v>
      </c>
    </row>
    <row r="176" spans="1:9">
      <c r="A176" s="162" t="s">
        <v>440</v>
      </c>
      <c r="B176" s="162" t="s">
        <v>19</v>
      </c>
      <c r="C176" s="57" t="s">
        <v>107</v>
      </c>
      <c r="D176" s="162" t="s">
        <v>104</v>
      </c>
      <c r="E176" s="23" t="s">
        <v>132</v>
      </c>
      <c r="F176" s="55" t="s">
        <v>284</v>
      </c>
      <c r="G176" s="164">
        <f t="shared" ca="1" si="16"/>
        <v>25975.419650633496</v>
      </c>
      <c r="H176" s="93">
        <f t="shared" ca="1" si="17"/>
        <v>28727.620971462711</v>
      </c>
      <c r="I176" s="93">
        <f t="shared" si="18"/>
        <v>3095.9975745689503</v>
      </c>
    </row>
    <row r="177" spans="1:9">
      <c r="A177" s="162" t="s">
        <v>440</v>
      </c>
      <c r="B177" s="162" t="s">
        <v>19</v>
      </c>
      <c r="C177" s="57" t="s">
        <v>107</v>
      </c>
      <c r="D177" s="162" t="s">
        <v>104</v>
      </c>
      <c r="E177" s="23" t="s">
        <v>132</v>
      </c>
      <c r="F177" s="47" t="s">
        <v>105</v>
      </c>
      <c r="G177" s="164">
        <f t="shared" si="16"/>
        <v>-33281.311721933365</v>
      </c>
      <c r="H177" s="93">
        <f t="shared" si="17"/>
        <v>-33281.311721933365</v>
      </c>
      <c r="I177" s="93">
        <f t="shared" si="18"/>
        <v>0</v>
      </c>
    </row>
    <row r="178" spans="1:9">
      <c r="A178" s="162" t="s">
        <v>440</v>
      </c>
      <c r="B178" s="162" t="s">
        <v>19</v>
      </c>
      <c r="C178" s="55" t="s">
        <v>163</v>
      </c>
      <c r="D178" s="57" t="s">
        <v>104</v>
      </c>
      <c r="E178" s="57" t="s">
        <v>132</v>
      </c>
      <c r="F178" s="55" t="s">
        <v>4</v>
      </c>
      <c r="G178" s="164">
        <f t="shared" ca="1" si="16"/>
        <v>117104.24588955074</v>
      </c>
      <c r="H178" s="93">
        <f t="shared" ca="1" si="17"/>
        <v>129580.51972112674</v>
      </c>
      <c r="I178" s="93">
        <f t="shared" si="18"/>
        <v>2111889.0151406806</v>
      </c>
    </row>
    <row r="179" spans="1:9">
      <c r="A179" s="162" t="s">
        <v>440</v>
      </c>
      <c r="B179" s="162" t="s">
        <v>19</v>
      </c>
      <c r="C179" s="55" t="s">
        <v>163</v>
      </c>
      <c r="D179" s="57" t="s">
        <v>104</v>
      </c>
      <c r="E179" s="57" t="s">
        <v>132</v>
      </c>
      <c r="F179" s="47" t="s">
        <v>105</v>
      </c>
      <c r="G179" s="164">
        <f t="shared" si="16"/>
        <v>-7718.6882780666365</v>
      </c>
      <c r="H179" s="93">
        <f t="shared" si="17"/>
        <v>-7718.6882780666365</v>
      </c>
      <c r="I179" s="93">
        <f t="shared" si="18"/>
        <v>0</v>
      </c>
    </row>
    <row r="180" spans="1:9">
      <c r="A180" s="162" t="s">
        <v>440</v>
      </c>
      <c r="B180" s="162" t="s">
        <v>19</v>
      </c>
      <c r="C180" s="55" t="s">
        <v>108</v>
      </c>
      <c r="D180" s="57" t="s">
        <v>3</v>
      </c>
      <c r="E180" s="55" t="s">
        <v>136</v>
      </c>
      <c r="F180" s="57" t="s">
        <v>271</v>
      </c>
      <c r="G180" s="164">
        <f t="shared" ca="1" si="16"/>
        <v>990.36004267425324</v>
      </c>
      <c r="H180" s="93">
        <f t="shared" ca="1" si="17"/>
        <v>1096.4393865748309</v>
      </c>
      <c r="I180" s="93">
        <f t="shared" si="18"/>
        <v>138.90042674253201</v>
      </c>
    </row>
    <row r="181" spans="1:9">
      <c r="A181" s="162" t="s">
        <v>440</v>
      </c>
      <c r="B181" s="162" t="s">
        <v>19</v>
      </c>
      <c r="C181" s="55" t="s">
        <v>108</v>
      </c>
      <c r="D181" s="57" t="s">
        <v>3</v>
      </c>
      <c r="E181" s="55" t="s">
        <v>137</v>
      </c>
      <c r="F181" s="57" t="s">
        <v>271</v>
      </c>
      <c r="G181" s="164">
        <f t="shared" ca="1" si="16"/>
        <v>2157.12</v>
      </c>
      <c r="H181" s="93">
        <f t="shared" ca="1" si="17"/>
        <v>2386.3184503961461</v>
      </c>
      <c r="I181" s="93">
        <f t="shared" si="18"/>
        <v>168</v>
      </c>
    </row>
    <row r="182" spans="1:9">
      <c r="A182" s="162" t="s">
        <v>440</v>
      </c>
      <c r="B182" s="162" t="s">
        <v>19</v>
      </c>
      <c r="C182" s="55" t="s">
        <v>108</v>
      </c>
      <c r="D182" s="57" t="s">
        <v>3</v>
      </c>
      <c r="E182" s="57" t="s">
        <v>132</v>
      </c>
      <c r="F182" s="55" t="s">
        <v>4</v>
      </c>
      <c r="G182" s="164">
        <f t="shared" ca="1" si="16"/>
        <v>18135.66381374386</v>
      </c>
      <c r="H182" s="93">
        <f t="shared" ca="1" si="17"/>
        <v>20068.907095885461</v>
      </c>
      <c r="I182" s="93">
        <f t="shared" si="18"/>
        <v>312414.5359818064</v>
      </c>
    </row>
    <row r="183" spans="1:9">
      <c r="A183" s="163" t="s">
        <v>440</v>
      </c>
      <c r="B183" s="163" t="s">
        <v>19</v>
      </c>
      <c r="C183" s="103" t="s">
        <v>108</v>
      </c>
      <c r="D183" s="103" t="s">
        <v>3</v>
      </c>
      <c r="E183" s="103" t="s">
        <v>132</v>
      </c>
      <c r="F183" s="211" t="s">
        <v>105</v>
      </c>
      <c r="G183" s="165">
        <f t="shared" si="16"/>
        <v>299.67134569970966</v>
      </c>
      <c r="H183" s="93">
        <f t="shared" si="17"/>
        <v>299.67134569970966</v>
      </c>
      <c r="I183" s="93">
        <f t="shared" si="18"/>
        <v>0</v>
      </c>
    </row>
    <row r="185" spans="1:9">
      <c r="H185" s="481" t="s">
        <v>152</v>
      </c>
      <c r="I185" s="155"/>
    </row>
    <row r="186" spans="1:9">
      <c r="H186" s="482" t="s">
        <v>435</v>
      </c>
      <c r="I186" s="480">
        <f ca="1">SUM(H102:H132)-G82</f>
        <v>0</v>
      </c>
    </row>
    <row r="187" spans="1:9">
      <c r="H187" s="483" t="s">
        <v>437</v>
      </c>
      <c r="I187" s="471">
        <f ca="1">SUM(H153:H183)-G133</f>
        <v>0</v>
      </c>
    </row>
  </sheetData>
  <phoneticPr fontId="19" type="noConversion"/>
  <printOptions horizontalCentered="1"/>
  <pageMargins left="0.2" right="0.2" top="0.2" bottom="0.2" header="0" footer="0"/>
  <pageSetup fitToHeight="0" orientation="landscape" r:id="rId1"/>
  <rowBreaks count="6" manualBreakCount="6">
    <brk id="31" max="6" man="1"/>
    <brk id="50" max="6" man="1"/>
    <brk id="81" max="6" man="1"/>
    <brk id="101" max="6" man="1"/>
    <brk id="132" max="6" man="1"/>
    <brk id="152" max="6" man="1"/>
  </rowBreaks>
  <ignoredErrors>
    <ignoredError sqref="G54:G7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112-C604-4C53-80C3-E821868F2034}">
  <dimension ref="B2:AG137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5.75"/>
  <cols>
    <col min="1" max="1" width="0.875" style="227" customWidth="1"/>
    <col min="2" max="2" width="18.75" style="227" bestFit="1" customWidth="1"/>
    <col min="3" max="3" width="32.125" style="227" bestFit="1" customWidth="1"/>
    <col min="4" max="29" width="14.25" style="227" customWidth="1"/>
    <col min="30" max="30" width="0.875" style="227" customWidth="1"/>
    <col min="31" max="31" width="14.25" style="227" customWidth="1"/>
    <col min="32" max="32" width="0.875" style="227" customWidth="1"/>
    <col min="33" max="33" width="14.25" style="227" customWidth="1"/>
    <col min="34" max="16384" width="9" style="227"/>
  </cols>
  <sheetData>
    <row r="2" spans="2:33">
      <c r="B2" s="312" t="s">
        <v>465</v>
      </c>
      <c r="C2" s="308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  <c r="T2" s="226"/>
      <c r="U2" s="225"/>
      <c r="V2" s="225"/>
      <c r="W2" s="225"/>
      <c r="X2" s="225"/>
      <c r="Y2" s="225"/>
      <c r="Z2" s="225"/>
      <c r="AA2" s="225"/>
      <c r="AB2" s="226"/>
      <c r="AC2" s="226"/>
      <c r="AD2" s="305"/>
      <c r="AE2" s="228"/>
      <c r="AG2" s="228"/>
    </row>
    <row r="3" spans="2:33">
      <c r="B3" s="228"/>
      <c r="C3" s="314"/>
      <c r="D3" s="303"/>
      <c r="E3" s="303"/>
      <c r="F3" s="303"/>
      <c r="G3" s="303"/>
      <c r="H3" s="303"/>
      <c r="I3" s="303"/>
      <c r="J3" s="303"/>
      <c r="K3" s="315"/>
      <c r="L3" s="303"/>
      <c r="M3" s="303"/>
      <c r="N3" s="303"/>
      <c r="O3" s="303"/>
      <c r="P3" s="303"/>
      <c r="Q3" s="303"/>
      <c r="R3" s="303"/>
      <c r="S3" s="315"/>
      <c r="T3" s="551"/>
      <c r="U3" s="303"/>
      <c r="V3" s="303"/>
      <c r="W3" s="303"/>
      <c r="X3" s="303"/>
      <c r="Y3" s="303"/>
      <c r="Z3" s="303"/>
      <c r="AA3" s="303"/>
      <c r="AB3" s="315"/>
      <c r="AC3" s="552" t="s">
        <v>437</v>
      </c>
      <c r="AD3" s="305"/>
      <c r="AE3" s="237"/>
      <c r="AG3" s="237"/>
    </row>
    <row r="4" spans="2:33">
      <c r="B4" s="237"/>
      <c r="C4" s="318"/>
      <c r="D4" s="303"/>
      <c r="E4" s="303"/>
      <c r="F4" s="303"/>
      <c r="G4" s="320"/>
      <c r="H4" s="304"/>
      <c r="I4" s="303"/>
      <c r="J4" s="303"/>
      <c r="K4" s="315"/>
      <c r="L4" s="303"/>
      <c r="M4" s="303"/>
      <c r="N4" s="303"/>
      <c r="O4" s="303"/>
      <c r="P4" s="303"/>
      <c r="Q4" s="303"/>
      <c r="R4" s="303"/>
      <c r="S4" s="315"/>
      <c r="T4" s="552" t="s">
        <v>435</v>
      </c>
      <c r="U4" s="304"/>
      <c r="V4" s="303"/>
      <c r="W4" s="303"/>
      <c r="X4" s="303"/>
      <c r="Y4" s="303"/>
      <c r="Z4" s="303"/>
      <c r="AA4" s="303"/>
      <c r="AB4" s="315"/>
      <c r="AC4" s="552" t="s">
        <v>433</v>
      </c>
      <c r="AD4" s="305"/>
      <c r="AE4" s="237"/>
      <c r="AG4" s="237"/>
    </row>
    <row r="5" spans="2:33">
      <c r="B5" s="237"/>
      <c r="C5" s="237"/>
      <c r="D5" s="247"/>
      <c r="E5" s="247"/>
      <c r="F5" s="247"/>
      <c r="G5" s="247"/>
      <c r="H5" s="247"/>
      <c r="I5" s="247"/>
      <c r="J5" s="247"/>
      <c r="K5" s="245"/>
      <c r="L5" s="247"/>
      <c r="M5" s="247"/>
      <c r="N5" s="247"/>
      <c r="O5" s="247"/>
      <c r="P5" s="247"/>
      <c r="Q5" s="247"/>
      <c r="R5" s="247"/>
      <c r="S5" s="245"/>
      <c r="T5" s="552" t="s">
        <v>433</v>
      </c>
      <c r="U5" s="247"/>
      <c r="V5" s="303"/>
      <c r="W5" s="303"/>
      <c r="X5" s="303"/>
      <c r="Y5" s="303"/>
      <c r="Z5" s="303"/>
      <c r="AA5" s="303"/>
      <c r="AB5" s="315"/>
      <c r="AC5" s="552" t="s">
        <v>432</v>
      </c>
      <c r="AE5" s="520"/>
      <c r="AF5" s="305"/>
      <c r="AG5" s="520" t="s">
        <v>427</v>
      </c>
    </row>
    <row r="6" spans="2:33">
      <c r="B6" s="237"/>
      <c r="C6" s="237"/>
      <c r="D6" s="313" t="s">
        <v>431</v>
      </c>
      <c r="E6" s="307"/>
      <c r="F6" s="307"/>
      <c r="G6" s="307"/>
      <c r="H6" s="307"/>
      <c r="I6" s="307"/>
      <c r="J6" s="307"/>
      <c r="K6" s="309"/>
      <c r="L6" s="313" t="s">
        <v>434</v>
      </c>
      <c r="M6" s="307"/>
      <c r="N6" s="307"/>
      <c r="O6" s="307"/>
      <c r="P6" s="307"/>
      <c r="Q6" s="307"/>
      <c r="R6" s="307"/>
      <c r="S6" s="309"/>
      <c r="T6" s="552" t="s">
        <v>432</v>
      </c>
      <c r="U6" s="313" t="s">
        <v>436</v>
      </c>
      <c r="V6" s="307"/>
      <c r="W6" s="307"/>
      <c r="X6" s="307"/>
      <c r="Y6" s="307"/>
      <c r="Z6" s="307"/>
      <c r="AA6" s="307"/>
      <c r="AB6" s="309"/>
      <c r="AC6" s="552" t="s">
        <v>435</v>
      </c>
      <c r="AE6" s="520" t="s">
        <v>152</v>
      </c>
      <c r="AF6" s="305"/>
      <c r="AG6" s="370" t="s">
        <v>429</v>
      </c>
    </row>
    <row r="7" spans="2:33">
      <c r="B7" s="237"/>
      <c r="C7" s="256"/>
      <c r="D7" s="450" t="s">
        <v>377</v>
      </c>
      <c r="E7" s="451" t="s">
        <v>378</v>
      </c>
      <c r="F7" s="451" t="s">
        <v>498</v>
      </c>
      <c r="G7" s="451" t="s">
        <v>361</v>
      </c>
      <c r="H7" s="451" t="s">
        <v>379</v>
      </c>
      <c r="I7" s="451" t="s">
        <v>362</v>
      </c>
      <c r="J7" s="451" t="s">
        <v>438</v>
      </c>
      <c r="K7" s="452" t="s">
        <v>380</v>
      </c>
      <c r="L7" s="230" t="str">
        <f>D7</f>
        <v>Sch.16,17,19</v>
      </c>
      <c r="M7" s="230" t="str">
        <f t="shared" ref="M7:S7" si="0">E7</f>
        <v>Sch.24</v>
      </c>
      <c r="N7" s="230" t="str">
        <f t="shared" si="0"/>
        <v>Sch.29,36</v>
      </c>
      <c r="O7" s="230" t="str">
        <f t="shared" si="0"/>
        <v>Sch.48T</v>
      </c>
      <c r="P7" s="230" t="str">
        <f t="shared" si="0"/>
        <v>Sch.48T-DF</v>
      </c>
      <c r="Q7" s="230" t="str">
        <f t="shared" si="0"/>
        <v>Sch.40</v>
      </c>
      <c r="R7" s="230" t="str">
        <f t="shared" si="0"/>
        <v>Sch.15,51-54</v>
      </c>
      <c r="S7" s="230" t="str">
        <f t="shared" si="0"/>
        <v>Sch.47T</v>
      </c>
      <c r="T7" s="371" t="s">
        <v>431</v>
      </c>
      <c r="U7" s="310" t="str">
        <f>D7</f>
        <v>Sch.16,17,19</v>
      </c>
      <c r="V7" s="310" t="str">
        <f t="shared" ref="V7:AB7" si="1">E7</f>
        <v>Sch.24</v>
      </c>
      <c r="W7" s="310" t="str">
        <f t="shared" si="1"/>
        <v>Sch.29,36</v>
      </c>
      <c r="X7" s="310" t="str">
        <f t="shared" si="1"/>
        <v>Sch.48T</v>
      </c>
      <c r="Y7" s="310" t="str">
        <f t="shared" si="1"/>
        <v>Sch.48T-DF</v>
      </c>
      <c r="Z7" s="310" t="str">
        <f t="shared" si="1"/>
        <v>Sch.40</v>
      </c>
      <c r="AA7" s="310" t="str">
        <f t="shared" si="1"/>
        <v>Sch.15,51-54</v>
      </c>
      <c r="AB7" s="310" t="str">
        <f t="shared" si="1"/>
        <v>Sch.47T</v>
      </c>
      <c r="AC7" s="371" t="s">
        <v>433</v>
      </c>
      <c r="AE7" s="371" t="s">
        <v>441</v>
      </c>
      <c r="AF7" s="305"/>
      <c r="AG7" s="339" t="s">
        <v>430</v>
      </c>
    </row>
    <row r="8" spans="2:33">
      <c r="B8" s="228"/>
      <c r="C8" s="238"/>
      <c r="D8" s="232"/>
      <c r="E8" s="233"/>
      <c r="F8" s="232"/>
      <c r="G8" s="233"/>
      <c r="H8" s="233"/>
      <c r="I8" s="233"/>
      <c r="J8" s="233"/>
      <c r="K8" s="232"/>
      <c r="L8" s="306"/>
      <c r="M8" s="300"/>
      <c r="N8" s="306"/>
      <c r="O8" s="300"/>
      <c r="P8" s="300"/>
      <c r="Q8" s="300"/>
      <c r="R8" s="300"/>
      <c r="S8" s="311"/>
      <c r="T8" s="306"/>
      <c r="U8" s="232"/>
      <c r="V8" s="232"/>
      <c r="W8" s="232"/>
      <c r="X8" s="232"/>
      <c r="Y8" s="232"/>
      <c r="Z8" s="232"/>
      <c r="AA8" s="232"/>
      <c r="AB8" s="234"/>
      <c r="AC8" s="232"/>
      <c r="AE8" s="237"/>
      <c r="AG8" s="237"/>
    </row>
    <row r="9" spans="2:33">
      <c r="B9" s="237" t="s">
        <v>360</v>
      </c>
      <c r="C9" s="235"/>
      <c r="D9" s="236">
        <v>0.44607350485122216</v>
      </c>
      <c r="E9" s="236">
        <v>0.13512057369758831</v>
      </c>
      <c r="F9" s="236">
        <v>0.19919794991803652</v>
      </c>
      <c r="G9" s="236">
        <v>7.9000462986457839E-2</v>
      </c>
      <c r="H9" s="236">
        <v>9.9900856737727167E-2</v>
      </c>
      <c r="I9" s="236">
        <v>3.828305098880079E-2</v>
      </c>
      <c r="J9" s="236">
        <v>2.4236008201747642E-3</v>
      </c>
      <c r="K9" s="236"/>
      <c r="L9" s="236">
        <v>0.44667067293417156</v>
      </c>
      <c r="M9" s="236">
        <v>0.13515925411211091</v>
      </c>
      <c r="N9" s="236">
        <v>0.19891627455506913</v>
      </c>
      <c r="O9" s="236">
        <v>7.8871221643167719E-2</v>
      </c>
      <c r="P9" s="236">
        <v>9.9628150964621881E-2</v>
      </c>
      <c r="Q9" s="236">
        <v>3.8320724284933882E-2</v>
      </c>
      <c r="R9" s="236">
        <v>2.433701505925148E-3</v>
      </c>
      <c r="S9" s="237"/>
      <c r="T9" s="237"/>
      <c r="U9" s="273"/>
      <c r="V9" s="273"/>
      <c r="W9" s="273"/>
      <c r="X9" s="273"/>
      <c r="Y9" s="273"/>
      <c r="Z9" s="273"/>
      <c r="AA9" s="273"/>
      <c r="AB9" s="273"/>
      <c r="AC9" s="237"/>
      <c r="AE9" s="237"/>
      <c r="AG9" s="237"/>
    </row>
    <row r="10" spans="2:33">
      <c r="B10" s="237" t="s">
        <v>360</v>
      </c>
      <c r="C10" s="238" t="s">
        <v>132</v>
      </c>
      <c r="D10" s="236">
        <v>180494165.10119414</v>
      </c>
      <c r="E10" s="236">
        <v>54673668.963313147</v>
      </c>
      <c r="F10" s="236">
        <v>80601217.667740956</v>
      </c>
      <c r="G10" s="236">
        <v>31965858.662922155</v>
      </c>
      <c r="H10" s="236">
        <v>40422758.88092494</v>
      </c>
      <c r="I10" s="236">
        <v>15490423.10426995</v>
      </c>
      <c r="J10" s="236">
        <v>980658.57267607679</v>
      </c>
      <c r="K10" s="236"/>
      <c r="L10" s="236">
        <v>183949068.10627326</v>
      </c>
      <c r="M10" s="236">
        <v>55661632.487624496</v>
      </c>
      <c r="N10" s="236">
        <v>81918213.020824641</v>
      </c>
      <c r="O10" s="236">
        <v>32480949.837963063</v>
      </c>
      <c r="P10" s="236">
        <v>41029121.985347331</v>
      </c>
      <c r="Q10" s="236">
        <v>15781339.471127272</v>
      </c>
      <c r="R10" s="236">
        <v>1002253.2285878138</v>
      </c>
      <c r="S10" s="237"/>
      <c r="T10" s="237">
        <f>SUM(L10:S10)-SUM(D10:K10)</f>
        <v>7193827.1847065091</v>
      </c>
      <c r="U10" s="273"/>
      <c r="V10" s="273"/>
      <c r="W10" s="273"/>
      <c r="X10" s="273"/>
      <c r="Y10" s="273"/>
      <c r="Z10" s="273"/>
      <c r="AA10" s="273"/>
      <c r="AB10" s="273"/>
      <c r="AC10" s="236">
        <v>0</v>
      </c>
      <c r="AE10" s="237"/>
      <c r="AG10" s="237"/>
    </row>
    <row r="11" spans="2:33">
      <c r="B11" s="237" t="s">
        <v>360</v>
      </c>
      <c r="C11" s="235"/>
      <c r="D11" s="236">
        <v>13.437539810549946</v>
      </c>
      <c r="E11" s="236">
        <v>24.631261641663578</v>
      </c>
      <c r="F11" s="236">
        <v>34.403022169049926</v>
      </c>
      <c r="G11" s="236">
        <v>41.181297361738146</v>
      </c>
      <c r="H11" s="236">
        <v>49.605245379400159</v>
      </c>
      <c r="I11" s="236">
        <v>22.02789700582429</v>
      </c>
      <c r="J11" s="236">
        <v>48.583514147779404</v>
      </c>
      <c r="K11" s="236"/>
      <c r="L11" s="236">
        <v>13.694752538985298</v>
      </c>
      <c r="M11" s="236">
        <v>25.076353191602578</v>
      </c>
      <c r="N11" s="236">
        <v>34.965155368022771</v>
      </c>
      <c r="O11" s="236">
        <v>41.844884192658199</v>
      </c>
      <c r="P11" s="236">
        <v>50.349350715517659</v>
      </c>
      <c r="Q11" s="236">
        <v>22.441589758004522</v>
      </c>
      <c r="R11" s="236">
        <v>49.653350582433042</v>
      </c>
      <c r="S11" s="237"/>
      <c r="T11" s="237"/>
      <c r="U11" s="273"/>
      <c r="V11" s="273"/>
      <c r="W11" s="273"/>
      <c r="X11" s="273"/>
      <c r="Y11" s="273"/>
      <c r="Z11" s="273"/>
      <c r="AA11" s="273"/>
      <c r="AB11" s="273"/>
      <c r="AC11" s="237"/>
      <c r="AE11" s="237"/>
      <c r="AG11" s="237"/>
    </row>
    <row r="12" spans="2:33">
      <c r="B12" s="237" t="s">
        <v>360</v>
      </c>
      <c r="C12" s="235"/>
      <c r="D12" s="236">
        <v>0.11063304960775019</v>
      </c>
      <c r="E12" s="236">
        <v>9.9812306368608147E-2</v>
      </c>
      <c r="F12" s="236">
        <v>8.6426646597769871E-2</v>
      </c>
      <c r="G12" s="236">
        <v>8.4858374608138887E-2</v>
      </c>
      <c r="H12" s="236">
        <v>7.4283524369858814E-2</v>
      </c>
      <c r="I12" s="236">
        <v>0.10134959683735896</v>
      </c>
      <c r="J12" s="236">
        <v>0.1410426867150201</v>
      </c>
      <c r="K12" s="236"/>
      <c r="L12" s="236">
        <v>0.1127507161557884</v>
      </c>
      <c r="M12" s="236">
        <v>0.10161593359610853</v>
      </c>
      <c r="N12" s="236">
        <v>8.7838827396589547E-2</v>
      </c>
      <c r="O12" s="236">
        <v>8.622576474615723E-2</v>
      </c>
      <c r="P12" s="236">
        <v>7.5397817151730245E-2</v>
      </c>
      <c r="Q12" s="236">
        <v>0.10325298296799677</v>
      </c>
      <c r="R12" s="236">
        <v>0.14414852637557221</v>
      </c>
      <c r="S12" s="237"/>
      <c r="T12" s="237"/>
      <c r="U12" s="273"/>
      <c r="V12" s="273"/>
      <c r="W12" s="273"/>
      <c r="X12" s="273"/>
      <c r="Y12" s="273"/>
      <c r="Z12" s="273"/>
      <c r="AA12" s="273"/>
      <c r="AB12" s="273"/>
      <c r="AC12" s="237"/>
      <c r="AE12" s="237"/>
      <c r="AG12" s="237"/>
    </row>
    <row r="13" spans="2:33">
      <c r="B13" s="241" t="s">
        <v>360</v>
      </c>
      <c r="C13" s="239"/>
      <c r="D13" s="240">
        <v>1629.8663530480067</v>
      </c>
      <c r="E13" s="240">
        <v>2626.7440837228014</v>
      </c>
      <c r="F13" s="240">
        <v>75288.173117595114</v>
      </c>
      <c r="G13" s="240">
        <v>481091.51833829342</v>
      </c>
      <c r="H13" s="240">
        <v>40422758.88092494</v>
      </c>
      <c r="I13" s="240">
        <v>3013.194802870767</v>
      </c>
      <c r="J13" s="240">
        <v>364.21971954988652</v>
      </c>
      <c r="K13" s="240"/>
      <c r="L13" s="240">
        <v>1661.064204556757</v>
      </c>
      <c r="M13" s="240">
        <v>2674.2098454253887</v>
      </c>
      <c r="N13" s="240">
        <v>76518.355204257532</v>
      </c>
      <c r="O13" s="240">
        <v>488843.72665830707</v>
      </c>
      <c r="P13" s="240">
        <v>41029121.985347331</v>
      </c>
      <c r="Q13" s="240">
        <v>3069.7838113687271</v>
      </c>
      <c r="R13" s="240">
        <v>372.24004358426083</v>
      </c>
      <c r="S13" s="241"/>
      <c r="T13" s="241"/>
      <c r="U13" s="256"/>
      <c r="V13" s="256"/>
      <c r="W13" s="256"/>
      <c r="X13" s="256"/>
      <c r="Y13" s="256"/>
      <c r="Z13" s="256"/>
      <c r="AA13" s="256"/>
      <c r="AB13" s="256"/>
      <c r="AC13" s="241"/>
      <c r="AE13" s="237"/>
      <c r="AG13" s="237"/>
    </row>
    <row r="14" spans="2:33">
      <c r="B14" s="228"/>
      <c r="C14" s="24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28"/>
      <c r="T14" s="228"/>
      <c r="U14" s="255"/>
      <c r="V14" s="255"/>
      <c r="W14" s="255"/>
      <c r="X14" s="255"/>
      <c r="Y14" s="255"/>
      <c r="Z14" s="255"/>
      <c r="AA14" s="255"/>
      <c r="AB14" s="255"/>
      <c r="AC14" s="228"/>
      <c r="AE14" s="237"/>
      <c r="AG14" s="237"/>
    </row>
    <row r="15" spans="2:33">
      <c r="B15" s="237" t="s">
        <v>360</v>
      </c>
      <c r="C15" s="235"/>
      <c r="D15" s="236">
        <v>0.39922818460711895</v>
      </c>
      <c r="E15" s="236">
        <v>0.12931872490925758</v>
      </c>
      <c r="F15" s="236">
        <v>0.22065862633060407</v>
      </c>
      <c r="G15" s="236">
        <v>8.8544274473192686E-2</v>
      </c>
      <c r="H15" s="236">
        <v>0.12398856987600453</v>
      </c>
      <c r="I15" s="236">
        <v>3.6889171734038807E-2</v>
      </c>
      <c r="J15" s="236">
        <v>1.372448069783312E-3</v>
      </c>
      <c r="K15" s="236"/>
      <c r="L15" s="236">
        <v>0.39955362907087105</v>
      </c>
      <c r="M15" s="236">
        <v>0.12928079626606206</v>
      </c>
      <c r="N15" s="236">
        <v>0.22053744783637028</v>
      </c>
      <c r="O15" s="236">
        <v>8.8487296562673221E-2</v>
      </c>
      <c r="P15" s="236">
        <v>0.12387405537559765</v>
      </c>
      <c r="Q15" s="236">
        <v>3.6896363532255581E-2</v>
      </c>
      <c r="R15" s="236">
        <v>1.3704113561702114E-3</v>
      </c>
      <c r="S15" s="237"/>
      <c r="T15" s="237"/>
      <c r="U15" s="273"/>
      <c r="V15" s="273"/>
      <c r="W15" s="273"/>
      <c r="X15" s="273"/>
      <c r="Y15" s="273"/>
      <c r="Z15" s="273"/>
      <c r="AA15" s="273"/>
      <c r="AB15" s="273"/>
      <c r="AC15" s="237"/>
      <c r="AE15" s="237"/>
      <c r="AG15" s="237"/>
    </row>
    <row r="16" spans="2:33">
      <c r="B16" s="237" t="s">
        <v>360</v>
      </c>
      <c r="C16" s="238" t="s">
        <v>363</v>
      </c>
      <c r="D16" s="236">
        <v>92975071.699703574</v>
      </c>
      <c r="E16" s="236">
        <v>30116655.54721478</v>
      </c>
      <c r="F16" s="236">
        <v>51388535.166763358</v>
      </c>
      <c r="G16" s="236">
        <v>20620814.32413109</v>
      </c>
      <c r="H16" s="236">
        <v>28875331.498726241</v>
      </c>
      <c r="I16" s="236">
        <v>8591010.1519765779</v>
      </c>
      <c r="J16" s="236">
        <v>319625.37368897966</v>
      </c>
      <c r="K16" s="236"/>
      <c r="L16" s="236">
        <v>93812815.121387422</v>
      </c>
      <c r="M16" s="236">
        <v>30354361.858899772</v>
      </c>
      <c r="N16" s="236">
        <v>51780880.752671778</v>
      </c>
      <c r="O16" s="236">
        <v>20776290.813148905</v>
      </c>
      <c r="P16" s="236">
        <v>29084891.263060391</v>
      </c>
      <c r="Q16" s="236">
        <v>8663046.6572211627</v>
      </c>
      <c r="R16" s="236">
        <v>321764.43371470936</v>
      </c>
      <c r="S16" s="237"/>
      <c r="T16" s="237"/>
      <c r="U16" s="273"/>
      <c r="V16" s="273"/>
      <c r="W16" s="273"/>
      <c r="X16" s="273"/>
      <c r="Y16" s="273"/>
      <c r="Z16" s="273"/>
      <c r="AA16" s="273"/>
      <c r="AB16" s="273"/>
      <c r="AC16" s="237"/>
      <c r="AE16" s="237"/>
      <c r="AG16" s="237"/>
    </row>
    <row r="17" spans="2:33">
      <c r="B17" s="237" t="s">
        <v>360</v>
      </c>
      <c r="C17" s="235"/>
      <c r="D17" s="236">
        <v>6.9218649071179126</v>
      </c>
      <c r="E17" s="236">
        <v>13.567979552516816</v>
      </c>
      <c r="F17" s="236">
        <v>21.934171290872904</v>
      </c>
      <c r="G17" s="236">
        <v>26.565589727399587</v>
      </c>
      <c r="H17" s="236">
        <v>35.434689369551087</v>
      </c>
      <c r="I17" s="236">
        <v>12.216702250796896</v>
      </c>
      <c r="J17" s="236">
        <v>15.834791330312552</v>
      </c>
      <c r="K17" s="236"/>
      <c r="L17" s="236">
        <v>6.9842337408893069</v>
      </c>
      <c r="M17" s="236">
        <v>13.675069610089441</v>
      </c>
      <c r="N17" s="236">
        <v>22.101636178879659</v>
      </c>
      <c r="O17" s="236">
        <v>26.76588853978307</v>
      </c>
      <c r="P17" s="236">
        <v>35.691853002594208</v>
      </c>
      <c r="Q17" s="236">
        <v>12.319140557840287</v>
      </c>
      <c r="R17" s="236">
        <v>15.94076404693236</v>
      </c>
      <c r="S17" s="237"/>
      <c r="T17" s="237"/>
      <c r="U17" s="273"/>
      <c r="V17" s="273"/>
      <c r="W17" s="273"/>
      <c r="X17" s="273"/>
      <c r="Y17" s="273"/>
      <c r="Z17" s="273"/>
      <c r="AA17" s="273"/>
      <c r="AB17" s="273"/>
      <c r="AC17" s="237"/>
      <c r="AE17" s="237"/>
      <c r="AG17" s="237"/>
    </row>
    <row r="18" spans="2:33">
      <c r="B18" s="237" t="s">
        <v>360</v>
      </c>
      <c r="C18" s="235"/>
      <c r="D18" s="236">
        <v>5.6988632922679361E-2</v>
      </c>
      <c r="E18" s="236">
        <v>5.49809973845641E-2</v>
      </c>
      <c r="F18" s="236">
        <v>5.5102626195342008E-2</v>
      </c>
      <c r="G18" s="236">
        <v>5.4741178865051962E-2</v>
      </c>
      <c r="H18" s="236">
        <v>5.3063211182390789E-2</v>
      </c>
      <c r="I18" s="236">
        <v>5.6208627063806679E-2</v>
      </c>
      <c r="J18" s="236">
        <v>4.5969945813420961E-2</v>
      </c>
      <c r="K18" s="236"/>
      <c r="L18" s="236">
        <v>5.7502123812967994E-2</v>
      </c>
      <c r="M18" s="236">
        <v>5.5414954271993312E-2</v>
      </c>
      <c r="N18" s="236">
        <v>5.5523328441271891E-2</v>
      </c>
      <c r="O18" s="236">
        <v>5.5153915537855161E-2</v>
      </c>
      <c r="P18" s="236">
        <v>5.3448312009049197E-2</v>
      </c>
      <c r="Q18" s="236">
        <v>5.6679942192836202E-2</v>
      </c>
      <c r="R18" s="236">
        <v>4.6277594960106458E-2</v>
      </c>
      <c r="S18" s="237"/>
      <c r="T18" s="237"/>
      <c r="U18" s="273"/>
      <c r="V18" s="273"/>
      <c r="W18" s="273"/>
      <c r="X18" s="273"/>
      <c r="Y18" s="273"/>
      <c r="Z18" s="273"/>
      <c r="AA18" s="273"/>
      <c r="AB18" s="273"/>
      <c r="AC18" s="237"/>
      <c r="AE18" s="237"/>
      <c r="AG18" s="237"/>
    </row>
    <row r="19" spans="2:33">
      <c r="B19" s="241" t="s">
        <v>360</v>
      </c>
      <c r="C19" s="239"/>
      <c r="D19" s="240">
        <v>839.56697963401507</v>
      </c>
      <c r="E19" s="240">
        <v>1446.9258837055011</v>
      </c>
      <c r="F19" s="240">
        <v>48001.122611369363</v>
      </c>
      <c r="G19" s="240">
        <v>310346.70387488272</v>
      </c>
      <c r="H19" s="240">
        <v>28875331.498726241</v>
      </c>
      <c r="I19" s="240">
        <v>1671.1220195276794</v>
      </c>
      <c r="J19" s="240">
        <v>118.70988253164512</v>
      </c>
      <c r="K19" s="240"/>
      <c r="L19" s="240">
        <v>847.13182149316481</v>
      </c>
      <c r="M19" s="240">
        <v>1458.3462558832143</v>
      </c>
      <c r="N19" s="240">
        <v>48367.605690019176</v>
      </c>
      <c r="O19" s="240">
        <v>312686.65103401372</v>
      </c>
      <c r="P19" s="240">
        <v>29084891.263060391</v>
      </c>
      <c r="Q19" s="240">
        <v>1685.1345498348808</v>
      </c>
      <c r="R19" s="240">
        <v>119.50433624303788</v>
      </c>
      <c r="S19" s="241"/>
      <c r="T19" s="241"/>
      <c r="U19" s="256"/>
      <c r="V19" s="256"/>
      <c r="W19" s="256"/>
      <c r="X19" s="256"/>
      <c r="Y19" s="256"/>
      <c r="Z19" s="256"/>
      <c r="AA19" s="256"/>
      <c r="AB19" s="256"/>
      <c r="AC19" s="241"/>
      <c r="AE19" s="237"/>
      <c r="AG19" s="237"/>
    </row>
    <row r="20" spans="2:33">
      <c r="B20" s="228"/>
      <c r="C20" s="242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28"/>
      <c r="T20" s="228"/>
      <c r="U20" s="255"/>
      <c r="V20" s="255"/>
      <c r="W20" s="255"/>
      <c r="X20" s="255"/>
      <c r="Y20" s="255"/>
      <c r="Z20" s="255"/>
      <c r="AA20" s="255"/>
      <c r="AB20" s="255"/>
      <c r="AC20" s="228"/>
      <c r="AE20" s="237"/>
      <c r="AG20" s="237"/>
    </row>
    <row r="21" spans="2:33">
      <c r="B21" s="237" t="s">
        <v>360</v>
      </c>
      <c r="C21" s="235"/>
      <c r="D21" s="236">
        <v>0.44884009402610059</v>
      </c>
      <c r="E21" s="236">
        <v>0.12072600586742757</v>
      </c>
      <c r="F21" s="236">
        <v>0.20501989096104958</v>
      </c>
      <c r="G21" s="236">
        <v>8.0643760835638498E-2</v>
      </c>
      <c r="H21" s="236">
        <v>0.10617270434773396</v>
      </c>
      <c r="I21" s="236">
        <v>3.8408195021635679E-2</v>
      </c>
      <c r="J21" s="236">
        <v>1.8934894041422473E-4</v>
      </c>
      <c r="K21" s="236"/>
      <c r="L21" s="236">
        <v>0.44916106402209277</v>
      </c>
      <c r="M21" s="236">
        <v>0.12077317082021803</v>
      </c>
      <c r="N21" s="236">
        <v>0.20481512594994009</v>
      </c>
      <c r="O21" s="236">
        <v>8.0563938090135179E-2</v>
      </c>
      <c r="P21" s="236">
        <v>0.10607052996505756</v>
      </c>
      <c r="Q21" s="236">
        <v>3.8402582338641134E-2</v>
      </c>
      <c r="R21" s="236">
        <v>2.1358881391531954E-4</v>
      </c>
      <c r="S21" s="237"/>
      <c r="T21" s="237"/>
      <c r="U21" s="273"/>
      <c r="V21" s="273"/>
      <c r="W21" s="273"/>
      <c r="X21" s="273"/>
      <c r="Y21" s="273"/>
      <c r="Z21" s="273"/>
      <c r="AA21" s="273"/>
      <c r="AB21" s="273"/>
      <c r="AC21" s="237"/>
      <c r="AE21" s="237"/>
      <c r="AG21" s="237"/>
    </row>
    <row r="22" spans="2:33">
      <c r="B22" s="237" t="s">
        <v>360</v>
      </c>
      <c r="C22" s="174" t="s">
        <v>373</v>
      </c>
      <c r="D22" s="236">
        <v>18174326.909967914</v>
      </c>
      <c r="E22" s="236">
        <v>4888408.8707140833</v>
      </c>
      <c r="F22" s="236">
        <v>8301616.9254153389</v>
      </c>
      <c r="G22" s="236">
        <v>3265408.086718143</v>
      </c>
      <c r="H22" s="236">
        <v>4299120.0282987151</v>
      </c>
      <c r="I22" s="236">
        <v>1555215.5469970489</v>
      </c>
      <c r="J22" s="236">
        <v>7667.0725029841196</v>
      </c>
      <c r="K22" s="236"/>
      <c r="L22" s="236">
        <v>18820477.30669035</v>
      </c>
      <c r="M22" s="236">
        <v>5060564.9125614073</v>
      </c>
      <c r="N22" s="236">
        <v>8582040.4722751584</v>
      </c>
      <c r="O22" s="236">
        <v>3375741.7773158001</v>
      </c>
      <c r="P22" s="236">
        <v>4444503.6803497141</v>
      </c>
      <c r="Q22" s="236">
        <v>1609121.9549412082</v>
      </c>
      <c r="R22" s="236">
        <v>8949.6702792084761</v>
      </c>
      <c r="S22" s="237"/>
      <c r="T22" s="237"/>
      <c r="U22" s="273"/>
      <c r="V22" s="273"/>
      <c r="W22" s="273"/>
      <c r="X22" s="273"/>
      <c r="Y22" s="273"/>
      <c r="Z22" s="273"/>
      <c r="AA22" s="273"/>
      <c r="AB22" s="273"/>
      <c r="AC22" s="237"/>
      <c r="AE22" s="237"/>
      <c r="AG22" s="237"/>
    </row>
    <row r="23" spans="2:33">
      <c r="B23" s="237" t="s">
        <v>360</v>
      </c>
      <c r="C23" s="235"/>
      <c r="D23" s="236">
        <v>1.3530533867713781</v>
      </c>
      <c r="E23" s="236">
        <v>2.202297379873722</v>
      </c>
      <c r="F23" s="236">
        <v>3.543379608746656</v>
      </c>
      <c r="G23" s="236">
        <v>4.2067927173357331</v>
      </c>
      <c r="H23" s="236">
        <v>5.2757137271965391</v>
      </c>
      <c r="I23" s="236">
        <v>2.2115682483627186</v>
      </c>
      <c r="J23" s="236">
        <v>0.37983997264644154</v>
      </c>
      <c r="K23" s="236"/>
      <c r="L23" s="236">
        <v>1.401158386036548</v>
      </c>
      <c r="M23" s="236">
        <v>2.2798561131787798</v>
      </c>
      <c r="N23" s="236">
        <v>3.6630728066721652</v>
      </c>
      <c r="O23" s="236">
        <v>4.3489345120997331</v>
      </c>
      <c r="P23" s="236">
        <v>5.4541229187954405</v>
      </c>
      <c r="Q23" s="236">
        <v>2.2882249538739172</v>
      </c>
      <c r="R23" s="236">
        <v>0.4433820748044463</v>
      </c>
      <c r="S23" s="237"/>
      <c r="T23" s="237"/>
      <c r="U23" s="273"/>
      <c r="V23" s="273"/>
      <c r="W23" s="273"/>
      <c r="X23" s="273"/>
      <c r="Y23" s="273"/>
      <c r="Z23" s="273"/>
      <c r="AA23" s="273"/>
      <c r="AB23" s="273"/>
      <c r="AC23" s="237"/>
      <c r="AE23" s="237"/>
      <c r="AG23" s="237"/>
    </row>
    <row r="24" spans="2:33">
      <c r="B24" s="237" t="s">
        <v>360</v>
      </c>
      <c r="C24" s="235"/>
      <c r="D24" s="236">
        <v>1.1139868202889884E-2</v>
      </c>
      <c r="E24" s="236">
        <v>8.9242842690169522E-3</v>
      </c>
      <c r="F24" s="236">
        <v>8.9016138088704577E-3</v>
      </c>
      <c r="G24" s="236">
        <v>8.6685368158930434E-3</v>
      </c>
      <c r="H24" s="236">
        <v>7.9003461473723235E-3</v>
      </c>
      <c r="I24" s="236">
        <v>1.0175349480279552E-2</v>
      </c>
      <c r="J24" s="236">
        <v>1.1027125395016849E-3</v>
      </c>
      <c r="K24" s="236"/>
      <c r="L24" s="236">
        <v>1.1535923049619042E-2</v>
      </c>
      <c r="M24" s="236">
        <v>9.2385725163193644E-3</v>
      </c>
      <c r="N24" s="236">
        <v>9.2023048838124535E-3</v>
      </c>
      <c r="O24" s="236">
        <v>8.9614348652576458E-3</v>
      </c>
      <c r="P24" s="236">
        <v>8.1675127228137065E-3</v>
      </c>
      <c r="Q24" s="236">
        <v>1.05280443469927E-2</v>
      </c>
      <c r="R24" s="236">
        <v>1.2871814682132755E-3</v>
      </c>
      <c r="S24" s="237"/>
      <c r="T24" s="237"/>
      <c r="U24" s="273"/>
      <c r="V24" s="273"/>
      <c r="W24" s="273"/>
      <c r="X24" s="273"/>
      <c r="Y24" s="273"/>
      <c r="Z24" s="273"/>
      <c r="AA24" s="273"/>
      <c r="AB24" s="273"/>
      <c r="AC24" s="237"/>
      <c r="AE24" s="237"/>
      <c r="AG24" s="237"/>
    </row>
    <row r="25" spans="2:33">
      <c r="B25" s="241" t="s">
        <v>360</v>
      </c>
      <c r="C25" s="239"/>
      <c r="D25" s="240">
        <v>164.11457901281307</v>
      </c>
      <c r="E25" s="240">
        <v>234.85892429466392</v>
      </c>
      <c r="F25" s="240">
        <v>7754.3936719801823</v>
      </c>
      <c r="G25" s="240">
        <v>49144.937759972061</v>
      </c>
      <c r="H25" s="240">
        <v>4299120.0282987151</v>
      </c>
      <c r="I25" s="240">
        <v>302.52029734833894</v>
      </c>
      <c r="J25" s="240">
        <v>2.8475751649069792</v>
      </c>
      <c r="K25" s="240"/>
      <c r="L25" s="240">
        <v>169.94933156581709</v>
      </c>
      <c r="M25" s="240">
        <v>243.1299965123165</v>
      </c>
      <c r="N25" s="240">
        <v>8016.3323517314448</v>
      </c>
      <c r="O25" s="240">
        <v>50805.478253916735</v>
      </c>
      <c r="P25" s="240">
        <v>4444503.6803497141</v>
      </c>
      <c r="Q25" s="240">
        <v>313.00616381986214</v>
      </c>
      <c r="R25" s="240">
        <v>3.3239360670270361</v>
      </c>
      <c r="S25" s="241"/>
      <c r="T25" s="241"/>
      <c r="U25" s="256"/>
      <c r="V25" s="256"/>
      <c r="W25" s="256"/>
      <c r="X25" s="256"/>
      <c r="Y25" s="256"/>
      <c r="Z25" s="256"/>
      <c r="AA25" s="256"/>
      <c r="AB25" s="256"/>
      <c r="AC25" s="241"/>
      <c r="AE25" s="237"/>
      <c r="AG25" s="237"/>
    </row>
    <row r="26" spans="2:33">
      <c r="B26" s="228"/>
      <c r="C26" s="242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28"/>
      <c r="T26" s="228"/>
      <c r="U26" s="255"/>
      <c r="V26" s="255"/>
      <c r="W26" s="255"/>
      <c r="X26" s="255"/>
      <c r="Y26" s="255"/>
      <c r="Z26" s="255"/>
      <c r="AA26" s="255"/>
      <c r="AB26" s="255"/>
      <c r="AC26" s="228"/>
      <c r="AE26" s="237"/>
      <c r="AG26" s="237"/>
    </row>
    <row r="27" spans="2:33">
      <c r="B27" s="237" t="s">
        <v>360</v>
      </c>
      <c r="C27" s="235"/>
      <c r="D27" s="236">
        <v>0.38878679697706514</v>
      </c>
      <c r="E27" s="236">
        <v>0.13112715984680839</v>
      </c>
      <c r="F27" s="236">
        <v>0.22394997512063627</v>
      </c>
      <c r="G27" s="236">
        <v>9.020702695202934E-2</v>
      </c>
      <c r="H27" s="236">
        <v>0.1277381203392732</v>
      </c>
      <c r="I27" s="236">
        <v>3.6569476097434092E-2</v>
      </c>
      <c r="J27" s="236">
        <v>1.6214446667535405E-3</v>
      </c>
      <c r="K27" s="236"/>
      <c r="L27" s="236">
        <v>0.38877757849795486</v>
      </c>
      <c r="M27" s="236">
        <v>0.1311288781543917</v>
      </c>
      <c r="N27" s="236">
        <v>0.22395275314168248</v>
      </c>
      <c r="O27" s="236">
        <v>9.02084601683176E-2</v>
      </c>
      <c r="P27" s="236">
        <v>0.12774145328457687</v>
      </c>
      <c r="Q27" s="236">
        <v>3.6569172859175061E-2</v>
      </c>
      <c r="R27" s="236">
        <v>1.6217038939014159E-3</v>
      </c>
      <c r="S27" s="237"/>
      <c r="T27" s="237"/>
      <c r="U27" s="273"/>
      <c r="V27" s="273"/>
      <c r="W27" s="273"/>
      <c r="X27" s="273"/>
      <c r="Y27" s="273"/>
      <c r="Z27" s="273"/>
      <c r="AA27" s="273"/>
      <c r="AB27" s="273"/>
      <c r="AC27" s="237"/>
      <c r="AE27" s="237"/>
      <c r="AG27" s="237"/>
    </row>
    <row r="28" spans="2:33">
      <c r="B28" s="237" t="s">
        <v>360</v>
      </c>
      <c r="C28" s="174" t="s">
        <v>374</v>
      </c>
      <c r="D28" s="236">
        <v>74800744.789735973</v>
      </c>
      <c r="E28" s="236">
        <v>25228246.676500786</v>
      </c>
      <c r="F28" s="236">
        <v>43086918.24134817</v>
      </c>
      <c r="G28" s="236">
        <v>17355406.237413004</v>
      </c>
      <c r="H28" s="236">
        <v>24576211.470427603</v>
      </c>
      <c r="I28" s="236">
        <v>7035794.6049795561</v>
      </c>
      <c r="J28" s="236">
        <v>311958.30118599633</v>
      </c>
      <c r="K28" s="236"/>
      <c r="L28" s="236">
        <v>74992337.814697072</v>
      </c>
      <c r="M28" s="236">
        <v>25293796.946338363</v>
      </c>
      <c r="N28" s="236">
        <v>43198840.280396625</v>
      </c>
      <c r="O28" s="236">
        <v>17400549.035833105</v>
      </c>
      <c r="P28" s="236">
        <v>24640387.582710676</v>
      </c>
      <c r="Q28" s="236">
        <v>7053924.7022799542</v>
      </c>
      <c r="R28" s="236">
        <v>312814.76343550091</v>
      </c>
      <c r="S28" s="237"/>
      <c r="T28" s="237"/>
      <c r="U28" s="273"/>
      <c r="V28" s="273"/>
      <c r="W28" s="273"/>
      <c r="X28" s="273"/>
      <c r="Y28" s="273"/>
      <c r="Z28" s="273"/>
      <c r="AA28" s="273"/>
      <c r="AB28" s="273"/>
      <c r="AC28" s="237"/>
      <c r="AE28" s="237"/>
      <c r="AG28" s="237"/>
    </row>
    <row r="29" spans="2:33">
      <c r="B29" s="237" t="s">
        <v>360</v>
      </c>
      <c r="C29" s="235"/>
      <c r="D29" s="236">
        <v>5.568811520346558</v>
      </c>
      <c r="E29" s="236">
        <v>11.365682172643135</v>
      </c>
      <c r="F29" s="236">
        <v>18.390791682126313</v>
      </c>
      <c r="G29" s="236">
        <v>22.358797010063928</v>
      </c>
      <c r="H29" s="236">
        <v>30.15897564235464</v>
      </c>
      <c r="I29" s="236">
        <v>10.005134002434216</v>
      </c>
      <c r="J29" s="236">
        <v>15.454951357666149</v>
      </c>
      <c r="K29" s="236"/>
      <c r="L29" s="236">
        <v>5.5830753548527596</v>
      </c>
      <c r="M29" s="236">
        <v>11.39521349691066</v>
      </c>
      <c r="N29" s="236">
        <v>18.438563372207497</v>
      </c>
      <c r="O29" s="236">
        <v>22.416954027683339</v>
      </c>
      <c r="P29" s="236">
        <v>30.237730083798763</v>
      </c>
      <c r="Q29" s="236">
        <v>10.030915603966369</v>
      </c>
      <c r="R29" s="236">
        <v>15.497381972127915</v>
      </c>
      <c r="S29" s="237"/>
      <c r="T29" s="237"/>
      <c r="U29" s="273"/>
      <c r="V29" s="273"/>
      <c r="W29" s="273"/>
      <c r="X29" s="273"/>
      <c r="Y29" s="273"/>
      <c r="Z29" s="273"/>
      <c r="AA29" s="273"/>
      <c r="AB29" s="273"/>
      <c r="AC29" s="237"/>
      <c r="AE29" s="237"/>
      <c r="AG29" s="237"/>
    </row>
    <row r="30" spans="2:33">
      <c r="B30" s="237" t="s">
        <v>360</v>
      </c>
      <c r="C30" s="235"/>
      <c r="D30" s="236">
        <v>4.5848764719789672E-2</v>
      </c>
      <c r="E30" s="236">
        <v>4.6056713115547314E-2</v>
      </c>
      <c r="F30" s="236">
        <v>4.6201012386471715E-2</v>
      </c>
      <c r="G30" s="236">
        <v>4.607264204915907E-2</v>
      </c>
      <c r="H30" s="236">
        <v>4.5162865035018603E-2</v>
      </c>
      <c r="I30" s="236">
        <v>4.60332775835273E-2</v>
      </c>
      <c r="J30" s="236">
        <v>4.4867233273919387E-2</v>
      </c>
      <c r="K30" s="236"/>
      <c r="L30" s="236">
        <v>4.5966200763348952E-2</v>
      </c>
      <c r="M30" s="236">
        <v>4.6176381755673943E-2</v>
      </c>
      <c r="N30" s="236">
        <v>4.6321023557459443E-2</v>
      </c>
      <c r="O30" s="236">
        <v>4.619248067259752E-2</v>
      </c>
      <c r="P30" s="236">
        <v>4.5280799286235483E-2</v>
      </c>
      <c r="Q30" s="236">
        <v>4.6151897845843504E-2</v>
      </c>
      <c r="R30" s="236">
        <v>4.4990413491893186E-2</v>
      </c>
      <c r="S30" s="237"/>
      <c r="T30" s="237"/>
      <c r="U30" s="273"/>
      <c r="V30" s="273"/>
      <c r="W30" s="273"/>
      <c r="X30" s="273"/>
      <c r="Y30" s="273"/>
      <c r="Z30" s="273"/>
      <c r="AA30" s="273"/>
      <c r="AB30" s="273"/>
      <c r="AC30" s="237"/>
      <c r="AE30" s="237"/>
      <c r="AG30" s="237"/>
    </row>
    <row r="31" spans="2:33">
      <c r="B31" s="241" t="s">
        <v>360</v>
      </c>
      <c r="C31" s="239"/>
      <c r="D31" s="240">
        <v>675.45240062120479</v>
      </c>
      <c r="E31" s="240">
        <v>1212.0669594108415</v>
      </c>
      <c r="F31" s="240">
        <v>40246.728939389322</v>
      </c>
      <c r="G31" s="240">
        <v>261201.7661149115</v>
      </c>
      <c r="H31" s="240">
        <v>24576211.470427603</v>
      </c>
      <c r="I31" s="240">
        <v>1368.6017221793456</v>
      </c>
      <c r="J31" s="240">
        <v>115.86230736673843</v>
      </c>
      <c r="K31" s="240"/>
      <c r="L31" s="240">
        <v>677.18248992734777</v>
      </c>
      <c r="M31" s="240">
        <v>1215.2162593708977</v>
      </c>
      <c r="N31" s="240">
        <v>40351.273338287741</v>
      </c>
      <c r="O31" s="240">
        <v>261881.17278009697</v>
      </c>
      <c r="P31" s="240">
        <v>24640387.582710676</v>
      </c>
      <c r="Q31" s="240">
        <v>1372.1283860150186</v>
      </c>
      <c r="R31" s="240">
        <v>116.18040017601086</v>
      </c>
      <c r="S31" s="241"/>
      <c r="T31" s="241"/>
      <c r="U31" s="256"/>
      <c r="V31" s="256"/>
      <c r="W31" s="256"/>
      <c r="X31" s="256"/>
      <c r="Y31" s="256"/>
      <c r="Z31" s="256"/>
      <c r="AA31" s="256"/>
      <c r="AB31" s="256"/>
      <c r="AC31" s="241"/>
      <c r="AE31" s="237"/>
      <c r="AG31" s="237"/>
    </row>
    <row r="32" spans="2:33">
      <c r="B32" s="228"/>
      <c r="C32" s="242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28"/>
      <c r="T32" s="228"/>
      <c r="U32" s="255"/>
      <c r="V32" s="255"/>
      <c r="W32" s="255"/>
      <c r="X32" s="255"/>
      <c r="Y32" s="255"/>
      <c r="Z32" s="255"/>
      <c r="AA32" s="255"/>
      <c r="AB32" s="255"/>
      <c r="AC32" s="228"/>
      <c r="AE32" s="237"/>
      <c r="AG32" s="237"/>
    </row>
    <row r="33" spans="2:33">
      <c r="B33" s="237" t="s">
        <v>360</v>
      </c>
      <c r="C33" s="235"/>
      <c r="D33" s="236">
        <v>0.35477274113323548</v>
      </c>
      <c r="E33" s="236">
        <v>0.12725962304996194</v>
      </c>
      <c r="F33" s="236">
        <v>0.24941076110303637</v>
      </c>
      <c r="G33" s="236">
        <v>0.10062352788451727</v>
      </c>
      <c r="H33" s="236">
        <v>0.13232352696292191</v>
      </c>
      <c r="I33" s="236">
        <v>3.6933162021597028E-2</v>
      </c>
      <c r="J33" s="236">
        <v>-1.3233421552700487E-3</v>
      </c>
      <c r="K33" s="236"/>
      <c r="L33" s="236">
        <v>0.35756511532500723</v>
      </c>
      <c r="M33" s="236">
        <v>0.1273937918595083</v>
      </c>
      <c r="N33" s="236">
        <v>0.2478523641600468</v>
      </c>
      <c r="O33" s="236">
        <v>9.9978098398216558E-2</v>
      </c>
      <c r="P33" s="236">
        <v>0.13147117495483468</v>
      </c>
      <c r="Q33" s="236">
        <v>3.6930754687809937E-2</v>
      </c>
      <c r="R33" s="236">
        <v>-1.1912993854234393E-3</v>
      </c>
      <c r="S33" s="237"/>
      <c r="T33" s="237"/>
      <c r="U33" s="273"/>
      <c r="V33" s="273"/>
      <c r="W33" s="273"/>
      <c r="X33" s="273"/>
      <c r="Y33" s="273"/>
      <c r="Z33" s="273"/>
      <c r="AA33" s="273"/>
      <c r="AB33" s="273"/>
      <c r="AC33" s="237"/>
      <c r="AE33" s="237"/>
      <c r="AG33" s="237"/>
    </row>
    <row r="34" spans="2:33">
      <c r="B34" s="237" t="s">
        <v>360</v>
      </c>
      <c r="C34" s="238" t="s">
        <v>364</v>
      </c>
      <c r="D34" s="236">
        <v>23908385.549537126</v>
      </c>
      <c r="E34" s="236">
        <v>8576115.8623644598</v>
      </c>
      <c r="F34" s="236">
        <v>16807967.313406162</v>
      </c>
      <c r="G34" s="236">
        <v>6781090.599951623</v>
      </c>
      <c r="H34" s="236">
        <v>8917375.9229602609</v>
      </c>
      <c r="I34" s="236">
        <v>2488951.8691748925</v>
      </c>
      <c r="J34" s="236">
        <v>-89180.962328419642</v>
      </c>
      <c r="K34" s="236"/>
      <c r="L34" s="236">
        <v>25221838.632865865</v>
      </c>
      <c r="M34" s="236">
        <v>8986071.4130037017</v>
      </c>
      <c r="N34" s="236">
        <v>17482948.044125952</v>
      </c>
      <c r="O34" s="236">
        <v>7052230.0877382196</v>
      </c>
      <c r="P34" s="236">
        <v>9273680.8415163849</v>
      </c>
      <c r="Q34" s="236">
        <v>2605012.3331501423</v>
      </c>
      <c r="R34" s="236">
        <v>-84031.577955448462</v>
      </c>
      <c r="S34" s="237"/>
      <c r="T34" s="237"/>
      <c r="U34" s="273"/>
      <c r="V34" s="273"/>
      <c r="W34" s="273"/>
      <c r="X34" s="273"/>
      <c r="Y34" s="273"/>
      <c r="Z34" s="273"/>
      <c r="AA34" s="273"/>
      <c r="AB34" s="273"/>
      <c r="AC34" s="237"/>
      <c r="AE34" s="237"/>
      <c r="AG34" s="237"/>
    </row>
    <row r="35" spans="2:33">
      <c r="B35" s="237" t="s">
        <v>360</v>
      </c>
      <c r="C35" s="235"/>
      <c r="D35" s="236">
        <v>1.7799460855023321</v>
      </c>
      <c r="E35" s="236">
        <v>3.8636615701950761</v>
      </c>
      <c r="F35" s="236">
        <v>7.174145612581853</v>
      </c>
      <c r="G35" s="236">
        <v>8.7360114858233917</v>
      </c>
      <c r="H35" s="236">
        <v>10.943058639363137</v>
      </c>
      <c r="I35" s="236">
        <v>3.5393723630134701</v>
      </c>
      <c r="J35" s="236">
        <v>-4.4181784218456102</v>
      </c>
      <c r="K35" s="236"/>
      <c r="L35" s="236">
        <v>1.8777308426252246</v>
      </c>
      <c r="M35" s="236">
        <v>4.0483523476884091</v>
      </c>
      <c r="N35" s="236">
        <v>7.462247674989384</v>
      </c>
      <c r="O35" s="236">
        <v>9.0853177876122047</v>
      </c>
      <c r="P35" s="236">
        <v>11.380302246780646</v>
      </c>
      <c r="Q35" s="236">
        <v>3.7044142040068424</v>
      </c>
      <c r="R35" s="236">
        <v>-4.1630690540113928</v>
      </c>
      <c r="S35" s="237"/>
      <c r="T35" s="237"/>
      <c r="U35" s="273"/>
      <c r="V35" s="273"/>
      <c r="W35" s="273"/>
      <c r="X35" s="273"/>
      <c r="Y35" s="273"/>
      <c r="Z35" s="273"/>
      <c r="AA35" s="273"/>
      <c r="AB35" s="273"/>
      <c r="AC35" s="237"/>
      <c r="AE35" s="237"/>
      <c r="AG35" s="237"/>
    </row>
    <row r="36" spans="2:33">
      <c r="B36" s="237" t="s">
        <v>360</v>
      </c>
      <c r="C36" s="235"/>
      <c r="D36" s="236">
        <v>1.4654532477879303E-2</v>
      </c>
      <c r="E36" s="236">
        <v>1.565656595099538E-2</v>
      </c>
      <c r="F36" s="236">
        <v>1.8022758130166797E-2</v>
      </c>
      <c r="G36" s="236">
        <v>1.8001466265940784E-2</v>
      </c>
      <c r="H36" s="236">
        <v>1.6387157384277321E-2</v>
      </c>
      <c r="I36" s="236">
        <v>1.6284530563850916E-2</v>
      </c>
      <c r="J36" s="236">
        <v>-1.2826403481393999E-2</v>
      </c>
      <c r="K36" s="236"/>
      <c r="L36" s="236">
        <v>1.5459607367939556E-2</v>
      </c>
      <c r="M36" s="236">
        <v>1.640498122646139E-2</v>
      </c>
      <c r="N36" s="236">
        <v>1.8746522891571533E-2</v>
      </c>
      <c r="O36" s="236">
        <v>1.872124847070733E-2</v>
      </c>
      <c r="P36" s="236">
        <v>1.704192677244875E-2</v>
      </c>
      <c r="Q36" s="236">
        <v>1.7043882400367635E-2</v>
      </c>
      <c r="R36" s="236">
        <v>-1.2085796070080323E-2</v>
      </c>
      <c r="S36" s="237"/>
      <c r="T36" s="237"/>
      <c r="U36" s="273"/>
      <c r="V36" s="273"/>
      <c r="W36" s="273"/>
      <c r="X36" s="273"/>
      <c r="Y36" s="273"/>
      <c r="Z36" s="273"/>
      <c r="AA36" s="273"/>
      <c r="AB36" s="273"/>
      <c r="AC36" s="237"/>
      <c r="AE36" s="237"/>
      <c r="AG36" s="237"/>
    </row>
    <row r="37" spans="2:33">
      <c r="B37" s="241" t="s">
        <v>360</v>
      </c>
      <c r="C37" s="239"/>
      <c r="D37" s="240">
        <v>215.89325694291895</v>
      </c>
      <c r="E37" s="240">
        <v>412.03127629688152</v>
      </c>
      <c r="F37" s="240">
        <v>15700.025253502728</v>
      </c>
      <c r="G37" s="240">
        <v>102056.54749091074</v>
      </c>
      <c r="H37" s="240">
        <v>8917375.9229602609</v>
      </c>
      <c r="I37" s="240">
        <v>484.15054813615575</v>
      </c>
      <c r="J37" s="240">
        <v>-33.122093655703971</v>
      </c>
      <c r="K37" s="240"/>
      <c r="L37" s="240">
        <v>227.75376770028583</v>
      </c>
      <c r="M37" s="240">
        <v>431.72719825802761</v>
      </c>
      <c r="N37" s="240">
        <v>16330.512826469152</v>
      </c>
      <c r="O37" s="240">
        <v>106137.24212315048</v>
      </c>
      <c r="P37" s="240">
        <v>9273680.8415163849</v>
      </c>
      <c r="Q37" s="240">
        <v>506.72661236080523</v>
      </c>
      <c r="R37" s="240">
        <v>-31.209595886923811</v>
      </c>
      <c r="S37" s="241"/>
      <c r="T37" s="241"/>
      <c r="U37" s="256"/>
      <c r="V37" s="256"/>
      <c r="W37" s="256"/>
      <c r="X37" s="256"/>
      <c r="Y37" s="256"/>
      <c r="Z37" s="256"/>
      <c r="AA37" s="256"/>
      <c r="AB37" s="256"/>
      <c r="AC37" s="241"/>
      <c r="AE37" s="237"/>
      <c r="AG37" s="237"/>
    </row>
    <row r="38" spans="2:33">
      <c r="B38" s="228"/>
      <c r="C38" s="242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28"/>
      <c r="T38" s="228"/>
      <c r="U38" s="255"/>
      <c r="V38" s="255"/>
      <c r="W38" s="255"/>
      <c r="X38" s="255"/>
      <c r="Y38" s="255"/>
      <c r="Z38" s="255"/>
      <c r="AA38" s="255"/>
      <c r="AB38" s="255"/>
      <c r="AC38" s="228"/>
      <c r="AE38" s="237"/>
      <c r="AG38" s="237"/>
    </row>
    <row r="39" spans="2:33">
      <c r="B39" s="237" t="s">
        <v>360</v>
      </c>
      <c r="C39" s="235"/>
      <c r="D39" s="236">
        <v>0.35477274017138372</v>
      </c>
      <c r="E39" s="236">
        <v>0.12725962300355098</v>
      </c>
      <c r="F39" s="236">
        <v>0.24941076163977441</v>
      </c>
      <c r="G39" s="236">
        <v>0.10062352810686247</v>
      </c>
      <c r="H39" s="236">
        <v>0.13232352725685009</v>
      </c>
      <c r="I39" s="236">
        <v>3.6933162022306551E-2</v>
      </c>
      <c r="J39" s="236">
        <v>-1.3233422007280873E-3</v>
      </c>
      <c r="K39" s="236"/>
      <c r="L39" s="236">
        <v>0.35756511444699524</v>
      </c>
      <c r="M39" s="236">
        <v>0.12739379181713439</v>
      </c>
      <c r="N39" s="236">
        <v>0.24785236464999733</v>
      </c>
      <c r="O39" s="236">
        <v>9.9978098601181967E-2</v>
      </c>
      <c r="P39" s="236">
        <v>0.13147117522315668</v>
      </c>
      <c r="Q39" s="236">
        <v>3.693075468845252E-2</v>
      </c>
      <c r="R39" s="236">
        <v>-1.191299426918065E-3</v>
      </c>
      <c r="S39" s="237"/>
      <c r="T39" s="237"/>
      <c r="U39" s="273"/>
      <c r="V39" s="273"/>
      <c r="W39" s="273"/>
      <c r="X39" s="273"/>
      <c r="Y39" s="273"/>
      <c r="Z39" s="273"/>
      <c r="AA39" s="273"/>
      <c r="AB39" s="273"/>
      <c r="AC39" s="237"/>
      <c r="AE39" s="237"/>
      <c r="AG39" s="237"/>
    </row>
    <row r="40" spans="2:33">
      <c r="B40" s="237" t="s">
        <v>360</v>
      </c>
      <c r="C40" s="47" t="s">
        <v>375</v>
      </c>
      <c r="D40" s="236">
        <v>23908385.117948242</v>
      </c>
      <c r="E40" s="236">
        <v>8576115.7276739664</v>
      </c>
      <c r="F40" s="236">
        <v>16807967.091732789</v>
      </c>
      <c r="G40" s="236">
        <v>6781090.510909535</v>
      </c>
      <c r="H40" s="236">
        <v>8917375.8059702758</v>
      </c>
      <c r="I40" s="236">
        <v>2488951.8310406734</v>
      </c>
      <c r="J40" s="236">
        <v>-89180.964023771332</v>
      </c>
      <c r="K40" s="236"/>
      <c r="L40" s="236">
        <v>25221838.201276489</v>
      </c>
      <c r="M40" s="236">
        <v>8986071.2783130556</v>
      </c>
      <c r="N40" s="236">
        <v>17482947.822452333</v>
      </c>
      <c r="O40" s="236">
        <v>7052229.998696031</v>
      </c>
      <c r="P40" s="236">
        <v>9273680.7245262656</v>
      </c>
      <c r="Q40" s="236">
        <v>2605012.2950158794</v>
      </c>
      <c r="R40" s="236">
        <v>-84031.579650802072</v>
      </c>
      <c r="S40" s="237"/>
      <c r="T40" s="237"/>
      <c r="U40" s="273"/>
      <c r="V40" s="273"/>
      <c r="W40" s="273"/>
      <c r="X40" s="273"/>
      <c r="Y40" s="273"/>
      <c r="Z40" s="273"/>
      <c r="AA40" s="273"/>
      <c r="AB40" s="273"/>
      <c r="AC40" s="237"/>
      <c r="AE40" s="237"/>
      <c r="AG40" s="237"/>
    </row>
    <row r="41" spans="2:33">
      <c r="B41" s="237" t="s">
        <v>360</v>
      </c>
      <c r="C41" s="235"/>
      <c r="D41" s="236">
        <v>1.7799460533711393</v>
      </c>
      <c r="E41" s="236">
        <v>3.8636615095151026</v>
      </c>
      <c r="F41" s="236">
        <v>7.1741455179649956</v>
      </c>
      <c r="G41" s="236">
        <v>8.7360113711113563</v>
      </c>
      <c r="H41" s="236">
        <v>10.943058495797557</v>
      </c>
      <c r="I41" s="236">
        <v>3.5393723087853419</v>
      </c>
      <c r="J41" s="236">
        <v>-4.4181785058362522</v>
      </c>
      <c r="K41" s="236"/>
      <c r="L41" s="236">
        <v>1.8777308104939952</v>
      </c>
      <c r="M41" s="236">
        <v>4.0483522870083668</v>
      </c>
      <c r="N41" s="236">
        <v>7.4622475803724209</v>
      </c>
      <c r="O41" s="236">
        <v>9.0853176729000396</v>
      </c>
      <c r="P41" s="236">
        <v>11.380302103214898</v>
      </c>
      <c r="Q41" s="236">
        <v>3.704414149778652</v>
      </c>
      <c r="R41" s="236">
        <v>-4.1630691380021299</v>
      </c>
      <c r="S41" s="237"/>
      <c r="T41" s="237"/>
      <c r="U41" s="273"/>
      <c r="V41" s="273"/>
      <c r="W41" s="273"/>
      <c r="X41" s="273"/>
      <c r="Y41" s="273"/>
      <c r="Z41" s="273"/>
      <c r="AA41" s="273"/>
      <c r="AB41" s="273"/>
      <c r="AC41" s="237"/>
      <c r="AE41" s="237"/>
      <c r="AG41" s="237"/>
    </row>
    <row r="42" spans="2:33">
      <c r="B42" s="237" t="s">
        <v>360</v>
      </c>
      <c r="C42" s="235"/>
      <c r="D42" s="236">
        <v>1.4654532213338928E-2</v>
      </c>
      <c r="E42" s="236">
        <v>1.5656565705104278E-2</v>
      </c>
      <c r="F42" s="236">
        <v>1.8022757892472048E-2</v>
      </c>
      <c r="G42" s="236">
        <v>1.8001466029564626E-2</v>
      </c>
      <c r="H42" s="236">
        <v>1.6387157169288818E-2</v>
      </c>
      <c r="I42" s="236">
        <v>1.6284530314349163E-2</v>
      </c>
      <c r="J42" s="236">
        <v>-1.2826403725227035E-2</v>
      </c>
      <c r="K42" s="236"/>
      <c r="L42" s="236">
        <v>1.5459607103398878E-2</v>
      </c>
      <c r="M42" s="236">
        <v>1.640498098057001E-2</v>
      </c>
      <c r="N42" s="236">
        <v>1.874652265387652E-2</v>
      </c>
      <c r="O42" s="236">
        <v>1.8721248234330905E-2</v>
      </c>
      <c r="P42" s="236">
        <v>1.7041926557460001E-2</v>
      </c>
      <c r="Q42" s="236">
        <v>1.7043882150865594E-2</v>
      </c>
      <c r="R42" s="236">
        <v>-1.2085796313913634E-2</v>
      </c>
      <c r="S42" s="237"/>
      <c r="T42" s="237"/>
      <c r="U42" s="273"/>
      <c r="V42" s="273"/>
      <c r="W42" s="273"/>
      <c r="X42" s="273"/>
      <c r="Y42" s="273"/>
      <c r="Z42" s="273"/>
      <c r="AA42" s="273"/>
      <c r="AB42" s="273"/>
      <c r="AC42" s="237"/>
      <c r="AE42" s="237"/>
      <c r="AG42" s="237"/>
    </row>
    <row r="43" spans="2:33">
      <c r="B43" s="241" t="s">
        <v>360</v>
      </c>
      <c r="C43" s="239"/>
      <c r="D43" s="240">
        <v>215.89325304566165</v>
      </c>
      <c r="E43" s="240">
        <v>412.03126982580568</v>
      </c>
      <c r="F43" s="240">
        <v>15700.025046441548</v>
      </c>
      <c r="G43" s="240">
        <v>102056.54615081243</v>
      </c>
      <c r="H43" s="240">
        <v>8917375.8059702758</v>
      </c>
      <c r="I43" s="240">
        <v>484.15054071829309</v>
      </c>
      <c r="J43" s="240">
        <v>-33.122094285362991</v>
      </c>
      <c r="K43" s="240"/>
      <c r="L43" s="240">
        <v>227.75376380302413</v>
      </c>
      <c r="M43" s="240">
        <v>431.72719178694445</v>
      </c>
      <c r="N43" s="240">
        <v>16330.51261940774</v>
      </c>
      <c r="O43" s="240">
        <v>106137.24078305066</v>
      </c>
      <c r="P43" s="240">
        <v>9273680.7245262656</v>
      </c>
      <c r="Q43" s="240">
        <v>506.72660494293405</v>
      </c>
      <c r="R43" s="240">
        <v>-31.209596516583549</v>
      </c>
      <c r="S43" s="241"/>
      <c r="T43" s="241"/>
      <c r="U43" s="256"/>
      <c r="V43" s="256"/>
      <c r="W43" s="256"/>
      <c r="X43" s="256"/>
      <c r="Y43" s="256"/>
      <c r="Z43" s="256"/>
      <c r="AA43" s="256"/>
      <c r="AB43" s="256"/>
      <c r="AC43" s="241"/>
      <c r="AE43" s="237"/>
      <c r="AG43" s="237"/>
    </row>
    <row r="44" spans="2:33">
      <c r="B44" s="228"/>
      <c r="C44" s="242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28"/>
      <c r="T44" s="228"/>
      <c r="U44" s="255"/>
      <c r="V44" s="255"/>
      <c r="W44" s="255"/>
      <c r="X44" s="255"/>
      <c r="Y44" s="255"/>
      <c r="Z44" s="255"/>
      <c r="AA44" s="255"/>
      <c r="AB44" s="255"/>
      <c r="AC44" s="228"/>
      <c r="AE44" s="237"/>
      <c r="AG44" s="237"/>
    </row>
    <row r="45" spans="2:33">
      <c r="B45" s="237" t="s">
        <v>360</v>
      </c>
      <c r="C45" s="235"/>
      <c r="D45" s="236">
        <v>0.41747231281769959</v>
      </c>
      <c r="E45" s="236">
        <v>0.13028498549618811</v>
      </c>
      <c r="F45" s="236">
        <v>0.21442279204883305</v>
      </c>
      <c r="G45" s="236">
        <v>8.6129667064164042E-2</v>
      </c>
      <c r="H45" s="236">
        <v>0.1131634323175673</v>
      </c>
      <c r="I45" s="236">
        <v>3.6886910784375247E-2</v>
      </c>
      <c r="J45" s="236">
        <v>1.6398994711726285E-3</v>
      </c>
      <c r="K45" s="236"/>
      <c r="L45" s="236">
        <v>0.41747231281769959</v>
      </c>
      <c r="M45" s="236">
        <v>0.13028498549618811</v>
      </c>
      <c r="N45" s="236">
        <v>0.21442279204883305</v>
      </c>
      <c r="O45" s="236">
        <v>8.6129667064164042E-2</v>
      </c>
      <c r="P45" s="236">
        <v>0.1131634323175673</v>
      </c>
      <c r="Q45" s="236">
        <v>3.6886910784375247E-2</v>
      </c>
      <c r="R45" s="236">
        <v>1.6398994711726285E-3</v>
      </c>
      <c r="S45" s="237"/>
      <c r="T45" s="237"/>
      <c r="U45" s="273"/>
      <c r="V45" s="273"/>
      <c r="W45" s="273"/>
      <c r="X45" s="273"/>
      <c r="Y45" s="273"/>
      <c r="Z45" s="273"/>
      <c r="AA45" s="273"/>
      <c r="AB45" s="273"/>
      <c r="AC45" s="237"/>
      <c r="AE45" s="237"/>
      <c r="AG45" s="237"/>
    </row>
    <row r="46" spans="2:33">
      <c r="B46" s="237" t="s">
        <v>360</v>
      </c>
      <c r="C46" s="47" t="s">
        <v>376</v>
      </c>
      <c r="D46" s="236">
        <v>0.43158937725181851</v>
      </c>
      <c r="E46" s="236">
        <v>0.13469064661089561</v>
      </c>
      <c r="F46" s="236">
        <v>0.22167362109439634</v>
      </c>
      <c r="G46" s="236">
        <v>8.9042190894612572E-2</v>
      </c>
      <c r="H46" s="236">
        <v>0.11699011834335594</v>
      </c>
      <c r="I46" s="236">
        <v>3.8134262717259032E-2</v>
      </c>
      <c r="J46" s="236">
        <v>1.6953536073853236E-3</v>
      </c>
      <c r="K46" s="236"/>
      <c r="L46" s="236">
        <v>0.43158937725181851</v>
      </c>
      <c r="M46" s="236">
        <v>0.13469064661089561</v>
      </c>
      <c r="N46" s="236">
        <v>0.22167362109439634</v>
      </c>
      <c r="O46" s="236">
        <v>8.9042190894612572E-2</v>
      </c>
      <c r="P46" s="236">
        <v>0.11699011834335594</v>
      </c>
      <c r="Q46" s="236">
        <v>3.8134262717259032E-2</v>
      </c>
      <c r="R46" s="236">
        <v>1.6953536073853236E-3</v>
      </c>
      <c r="S46" s="237"/>
      <c r="T46" s="273"/>
      <c r="U46" s="273"/>
      <c r="V46" s="273"/>
      <c r="W46" s="273"/>
      <c r="X46" s="273"/>
      <c r="Y46" s="273"/>
      <c r="Z46" s="273"/>
      <c r="AA46" s="273"/>
      <c r="AB46" s="273"/>
      <c r="AC46" s="237"/>
      <c r="AE46" s="237"/>
      <c r="AG46" s="237"/>
    </row>
    <row r="47" spans="2:33">
      <c r="B47" s="237" t="s">
        <v>360</v>
      </c>
      <c r="C47" s="235"/>
      <c r="D47" s="236">
        <v>3.2131229479802179E-8</v>
      </c>
      <c r="E47" s="236">
        <v>6.0680042518894744E-8</v>
      </c>
      <c r="F47" s="236">
        <v>9.4616963880638044E-8</v>
      </c>
      <c r="G47" s="236">
        <v>1.1471216774242242E-7</v>
      </c>
      <c r="H47" s="236">
        <v>1.4356574583348789E-7</v>
      </c>
      <c r="I47" s="236">
        <v>5.4228190274368651E-8</v>
      </c>
      <c r="J47" s="236">
        <v>8.3990736699652824E-8</v>
      </c>
      <c r="K47" s="236"/>
      <c r="L47" s="236">
        <v>3.2131229479802179E-8</v>
      </c>
      <c r="M47" s="236">
        <v>6.0680042518894744E-8</v>
      </c>
      <c r="N47" s="236">
        <v>9.4616963880638044E-8</v>
      </c>
      <c r="O47" s="236">
        <v>1.1471216774242242E-7</v>
      </c>
      <c r="P47" s="236">
        <v>1.4356574583348789E-7</v>
      </c>
      <c r="Q47" s="236">
        <v>5.4228190274368651E-8</v>
      </c>
      <c r="R47" s="236">
        <v>8.3990736699652824E-8</v>
      </c>
      <c r="S47" s="237"/>
      <c r="T47" s="237"/>
      <c r="U47" s="273"/>
      <c r="V47" s="273"/>
      <c r="W47" s="273"/>
      <c r="X47" s="273"/>
      <c r="Y47" s="273"/>
      <c r="Z47" s="273"/>
      <c r="AA47" s="273"/>
      <c r="AB47" s="273"/>
      <c r="AC47" s="237"/>
      <c r="AE47" s="237"/>
      <c r="AG47" s="237"/>
    </row>
    <row r="48" spans="2:33">
      <c r="B48" s="237" t="s">
        <v>360</v>
      </c>
      <c r="C48" s="235"/>
      <c r="D48" s="236">
        <v>2.645406789571756E-10</v>
      </c>
      <c r="E48" s="236">
        <v>2.458913831726498E-10</v>
      </c>
      <c r="F48" s="236">
        <v>2.3769501584144368E-10</v>
      </c>
      <c r="G48" s="236">
        <v>2.3637643119622423E-10</v>
      </c>
      <c r="H48" s="236">
        <v>2.1498874761594444E-10</v>
      </c>
      <c r="I48" s="236">
        <v>2.4950203916759192E-10</v>
      </c>
      <c r="J48" s="236">
        <v>2.4383331200084318E-10</v>
      </c>
      <c r="K48" s="236"/>
      <c r="L48" s="236">
        <v>2.645406789571756E-10</v>
      </c>
      <c r="M48" s="236">
        <v>2.458913831726498E-10</v>
      </c>
      <c r="N48" s="236">
        <v>2.3769501584144368E-10</v>
      </c>
      <c r="O48" s="236">
        <v>2.3637643119622423E-10</v>
      </c>
      <c r="P48" s="236">
        <v>2.1498874761594444E-10</v>
      </c>
      <c r="Q48" s="236">
        <v>2.4950203916759192E-10</v>
      </c>
      <c r="R48" s="236">
        <v>2.4383331200084318E-10</v>
      </c>
      <c r="S48" s="237"/>
      <c r="T48" s="237"/>
      <c r="U48" s="273"/>
      <c r="V48" s="273"/>
      <c r="W48" s="273"/>
      <c r="X48" s="273"/>
      <c r="Y48" s="273"/>
      <c r="Z48" s="273"/>
      <c r="AA48" s="273"/>
      <c r="AB48" s="273"/>
      <c r="AC48" s="237"/>
      <c r="AE48" s="237"/>
      <c r="AG48" s="237"/>
    </row>
    <row r="49" spans="2:33">
      <c r="B49" s="241" t="s">
        <v>360</v>
      </c>
      <c r="C49" s="239"/>
      <c r="D49" s="240">
        <v>3.8972617420696213E-6</v>
      </c>
      <c r="E49" s="240">
        <v>6.4710831708655274E-6</v>
      </c>
      <c r="F49" s="240">
        <v>2.0706141226497501E-4</v>
      </c>
      <c r="G49" s="240">
        <v>1.3400998629623968E-3</v>
      </c>
      <c r="H49" s="240">
        <v>0.11699011834335594</v>
      </c>
      <c r="I49" s="240">
        <v>7.417871123176709E-6</v>
      </c>
      <c r="J49" s="240">
        <v>6.2965973339197267E-7</v>
      </c>
      <c r="K49" s="240"/>
      <c r="L49" s="240">
        <v>3.8972617420696213E-6</v>
      </c>
      <c r="M49" s="240">
        <v>6.4710831708655274E-6</v>
      </c>
      <c r="N49" s="240">
        <v>2.0706141226497501E-4</v>
      </c>
      <c r="O49" s="240">
        <v>1.3400998629623968E-3</v>
      </c>
      <c r="P49" s="240">
        <v>0.11699011834335594</v>
      </c>
      <c r="Q49" s="240">
        <v>7.417871123176709E-6</v>
      </c>
      <c r="R49" s="240">
        <v>6.2965973339197267E-7</v>
      </c>
      <c r="S49" s="241"/>
      <c r="T49" s="241"/>
      <c r="U49" s="256"/>
      <c r="V49" s="256"/>
      <c r="W49" s="256"/>
      <c r="X49" s="256"/>
      <c r="Y49" s="256"/>
      <c r="Z49" s="256"/>
      <c r="AA49" s="256"/>
      <c r="AB49" s="256"/>
      <c r="AC49" s="241"/>
      <c r="AE49" s="237"/>
      <c r="AG49" s="237"/>
    </row>
    <row r="50" spans="2:33">
      <c r="B50" s="228"/>
      <c r="C50" s="242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28"/>
      <c r="T50" s="228"/>
      <c r="U50" s="255"/>
      <c r="V50" s="255"/>
      <c r="W50" s="255"/>
      <c r="X50" s="255"/>
      <c r="Y50" s="255"/>
      <c r="Z50" s="255"/>
      <c r="AA50" s="255"/>
      <c r="AB50" s="255"/>
      <c r="AC50" s="228"/>
      <c r="AE50" s="237"/>
      <c r="AG50" s="237"/>
    </row>
    <row r="51" spans="2:33">
      <c r="B51" s="237" t="s">
        <v>360</v>
      </c>
      <c r="C51" s="235"/>
      <c r="D51" s="236">
        <v>0.61786356277709531</v>
      </c>
      <c r="E51" s="236">
        <v>0.15970798186641738</v>
      </c>
      <c r="F51" s="236">
        <v>0.11542774619135564</v>
      </c>
      <c r="G51" s="236">
        <v>4.1144906001701564E-2</v>
      </c>
      <c r="H51" s="236">
        <v>1.279157425435728E-2</v>
      </c>
      <c r="I51" s="236">
        <v>4.548996140927937E-2</v>
      </c>
      <c r="J51" s="236">
        <v>7.5742674997935624E-3</v>
      </c>
      <c r="K51" s="236"/>
      <c r="L51" s="236">
        <v>0.61788259038401205</v>
      </c>
      <c r="M51" s="236">
        <v>0.15973407520844227</v>
      </c>
      <c r="N51" s="236">
        <v>0.11534187021255357</v>
      </c>
      <c r="O51" s="236">
        <v>4.108908543445608E-2</v>
      </c>
      <c r="P51" s="236">
        <v>1.2816311412096755E-2</v>
      </c>
      <c r="Q51" s="236">
        <v>4.5579342387170242E-2</v>
      </c>
      <c r="R51" s="236">
        <v>7.5567249612692958E-3</v>
      </c>
      <c r="S51" s="237"/>
      <c r="T51" s="237"/>
      <c r="U51" s="273"/>
      <c r="V51" s="273"/>
      <c r="W51" s="273"/>
      <c r="X51" s="273"/>
      <c r="Y51" s="273"/>
      <c r="Z51" s="273"/>
      <c r="AA51" s="273"/>
      <c r="AB51" s="273"/>
      <c r="AC51" s="237"/>
      <c r="AE51" s="237"/>
      <c r="AG51" s="237"/>
    </row>
    <row r="52" spans="2:33">
      <c r="B52" s="237" t="s">
        <v>360</v>
      </c>
      <c r="C52" s="238" t="s">
        <v>365</v>
      </c>
      <c r="D52" s="236">
        <v>44417355.734823868</v>
      </c>
      <c r="E52" s="236">
        <v>11481185.607332328</v>
      </c>
      <c r="F52" s="236">
        <v>8297940.7965186192</v>
      </c>
      <c r="G52" s="236">
        <v>2957850.3032922586</v>
      </c>
      <c r="H52" s="236">
        <v>919568.55573497945</v>
      </c>
      <c r="I52" s="236">
        <v>3270210.3182742936</v>
      </c>
      <c r="J52" s="236">
        <v>544503.59955992037</v>
      </c>
      <c r="K52" s="236"/>
      <c r="L52" s="236">
        <v>45616560.813399479</v>
      </c>
      <c r="M52" s="236">
        <v>11792724.490245769</v>
      </c>
      <c r="N52" s="236">
        <v>8515370.9115063027</v>
      </c>
      <c r="O52" s="236">
        <v>3033493.4074173127</v>
      </c>
      <c r="P52" s="236">
        <v>946192.78489466407</v>
      </c>
      <c r="Q52" s="236">
        <v>3364996.645312354</v>
      </c>
      <c r="R52" s="236">
        <v>557892.08032490022</v>
      </c>
      <c r="S52" s="237"/>
      <c r="T52" s="237"/>
      <c r="U52" s="273"/>
      <c r="V52" s="273"/>
      <c r="W52" s="273"/>
      <c r="X52" s="273"/>
      <c r="Y52" s="273"/>
      <c r="Z52" s="273"/>
      <c r="AA52" s="273"/>
      <c r="AB52" s="273"/>
      <c r="AC52" s="237"/>
      <c r="AE52" s="237"/>
      <c r="AG52" s="237"/>
    </row>
    <row r="53" spans="2:33">
      <c r="B53" s="237" t="s">
        <v>360</v>
      </c>
      <c r="C53" s="235"/>
      <c r="D53" s="236">
        <v>3.3068104203336701</v>
      </c>
      <c r="E53" s="236">
        <v>5.1724366045466086</v>
      </c>
      <c r="F53" s="236">
        <v>3.5418105264475339</v>
      </c>
      <c r="G53" s="236">
        <v>3.8105690879711469</v>
      </c>
      <c r="H53" s="236">
        <v>1.1284589452388833</v>
      </c>
      <c r="I53" s="236">
        <v>4.6503478693537597</v>
      </c>
      <c r="J53" s="236">
        <v>26.975645825995588</v>
      </c>
      <c r="K53" s="236"/>
      <c r="L53" s="236">
        <v>3.3960895722405415</v>
      </c>
      <c r="M53" s="236">
        <v>5.312789280379314</v>
      </c>
      <c r="N53" s="236">
        <v>3.6346162343833108</v>
      </c>
      <c r="O53" s="236">
        <v>3.9080193456722494</v>
      </c>
      <c r="P53" s="236">
        <v>1.1611311689333121</v>
      </c>
      <c r="Q53" s="236">
        <v>4.7851371798522724</v>
      </c>
      <c r="R53" s="236">
        <v>27.638934214825618</v>
      </c>
      <c r="S53" s="237"/>
      <c r="T53" s="237"/>
      <c r="U53" s="273"/>
      <c r="V53" s="273"/>
      <c r="W53" s="273"/>
      <c r="X53" s="273"/>
      <c r="Y53" s="273"/>
      <c r="Z53" s="273"/>
      <c r="AA53" s="273"/>
      <c r="AB53" s="273"/>
      <c r="AC53" s="237"/>
      <c r="AE53" s="237"/>
      <c r="AG53" s="237"/>
    </row>
    <row r="54" spans="2:33">
      <c r="B54" s="237" t="s">
        <v>360</v>
      </c>
      <c r="C54" s="235"/>
      <c r="D54" s="236">
        <v>2.7225409296199713E-2</v>
      </c>
      <c r="E54" s="236">
        <v>2.0960064269381073E-2</v>
      </c>
      <c r="F54" s="236">
        <v>8.8976719888558473E-3</v>
      </c>
      <c r="G54" s="236">
        <v>7.8520765457400273E-3</v>
      </c>
      <c r="H54" s="236">
        <v>1.689859750070879E-3</v>
      </c>
      <c r="I54" s="236">
        <v>2.1396090674831909E-2</v>
      </c>
      <c r="J54" s="236">
        <v>7.8312934539856396E-2</v>
      </c>
      <c r="K54" s="236"/>
      <c r="L54" s="236">
        <v>2.7960456409071972E-2</v>
      </c>
      <c r="M54" s="236">
        <v>2.1528809974886143E-2</v>
      </c>
      <c r="N54" s="236">
        <v>9.1308168004543208E-3</v>
      </c>
      <c r="O54" s="236">
        <v>8.0528830040946641E-3</v>
      </c>
      <c r="P54" s="236">
        <v>1.7387861873147609E-3</v>
      </c>
      <c r="Q54" s="236">
        <v>2.2016251658578918E-2</v>
      </c>
      <c r="R54" s="236">
        <v>8.0238525515900272E-2</v>
      </c>
      <c r="S54" s="237"/>
      <c r="T54" s="237"/>
      <c r="U54" s="273"/>
      <c r="V54" s="273"/>
      <c r="W54" s="273"/>
      <c r="X54" s="273"/>
      <c r="Y54" s="273"/>
      <c r="Z54" s="273"/>
      <c r="AA54" s="273"/>
      <c r="AB54" s="273"/>
      <c r="AC54" s="237"/>
      <c r="AE54" s="237"/>
      <c r="AG54" s="237"/>
    </row>
    <row r="55" spans="2:33">
      <c r="B55" s="241" t="s">
        <v>360</v>
      </c>
      <c r="C55" s="239"/>
      <c r="D55" s="240">
        <v>401.08971701642218</v>
      </c>
      <c r="E55" s="240">
        <v>551.60257103689401</v>
      </c>
      <c r="F55" s="240">
        <v>7750.959864938709</v>
      </c>
      <c r="G55" s="240">
        <v>44516.141688345044</v>
      </c>
      <c r="H55" s="240">
        <v>919568.55573497945</v>
      </c>
      <c r="I55" s="240">
        <v>636.12082568630774</v>
      </c>
      <c r="J55" s="240">
        <v>202.2303723756107</v>
      </c>
      <c r="K55" s="240"/>
      <c r="L55" s="240">
        <v>411.91856573227329</v>
      </c>
      <c r="M55" s="240">
        <v>566.57015841595955</v>
      </c>
      <c r="N55" s="240">
        <v>7954.0574931364908</v>
      </c>
      <c r="O55" s="240">
        <v>45654.58305477562</v>
      </c>
      <c r="P55" s="240">
        <v>946192.78489466407</v>
      </c>
      <c r="Q55" s="240">
        <v>654.55864795183152</v>
      </c>
      <c r="R55" s="240">
        <v>207.20289680489617</v>
      </c>
      <c r="S55" s="241"/>
      <c r="T55" s="241"/>
      <c r="U55" s="256"/>
      <c r="V55" s="256"/>
      <c r="W55" s="256"/>
      <c r="X55" s="256"/>
      <c r="Y55" s="256"/>
      <c r="Z55" s="256"/>
      <c r="AA55" s="256"/>
      <c r="AB55" s="256"/>
      <c r="AC55" s="241"/>
      <c r="AE55" s="237"/>
      <c r="AG55" s="237"/>
    </row>
    <row r="56" spans="2:33">
      <c r="B56" s="228"/>
      <c r="C56" s="242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28"/>
      <c r="T56" s="228"/>
      <c r="U56" s="255"/>
      <c r="V56" s="255"/>
      <c r="W56" s="255"/>
      <c r="X56" s="255"/>
      <c r="Y56" s="255"/>
      <c r="Z56" s="255"/>
      <c r="AA56" s="255"/>
      <c r="AB56" s="255"/>
      <c r="AC56" s="228"/>
      <c r="AE56" s="237"/>
      <c r="AG56" s="237"/>
    </row>
    <row r="57" spans="2:33">
      <c r="B57" s="237" t="s">
        <v>360</v>
      </c>
      <c r="C57" s="235"/>
      <c r="D57" s="236">
        <v>0.55270335383130809</v>
      </c>
      <c r="E57" s="236">
        <v>0.13665547598058375</v>
      </c>
      <c r="F57" s="236">
        <v>0.15258104196118144</v>
      </c>
      <c r="G57" s="236">
        <v>5.7881157181984562E-2</v>
      </c>
      <c r="H57" s="236">
        <v>5.039848812709577E-2</v>
      </c>
      <c r="I57" s="236">
        <v>4.734697580933353E-2</v>
      </c>
      <c r="J57" s="236">
        <v>2.4335071085131396E-3</v>
      </c>
      <c r="K57" s="236"/>
      <c r="L57" s="236">
        <v>0.55178137896817359</v>
      </c>
      <c r="M57" s="236">
        <v>0.13625102474529061</v>
      </c>
      <c r="N57" s="236">
        <v>0.15321583486692106</v>
      </c>
      <c r="O57" s="236">
        <v>5.8154587488816092E-2</v>
      </c>
      <c r="P57" s="236">
        <v>5.0890417728308594E-2</v>
      </c>
      <c r="Q57" s="236">
        <v>4.7373107173708781E-2</v>
      </c>
      <c r="R57" s="236">
        <v>2.3336490287812705E-3</v>
      </c>
      <c r="S57" s="237"/>
      <c r="T57" s="237"/>
      <c r="U57" s="273"/>
      <c r="V57" s="273"/>
      <c r="W57" s="273"/>
      <c r="X57" s="273"/>
      <c r="Y57" s="273"/>
      <c r="Z57" s="273"/>
      <c r="AA57" s="273"/>
      <c r="AB57" s="273"/>
      <c r="AC57" s="237"/>
      <c r="AE57" s="237"/>
      <c r="AG57" s="237"/>
    </row>
    <row r="58" spans="2:33">
      <c r="B58" s="237" t="s">
        <v>360</v>
      </c>
      <c r="C58" s="47" t="s">
        <v>368</v>
      </c>
      <c r="D58" s="236">
        <v>6917340.7249415638</v>
      </c>
      <c r="E58" s="236">
        <v>1710307.134440297</v>
      </c>
      <c r="F58" s="236">
        <v>1909623.0339398903</v>
      </c>
      <c r="G58" s="236">
        <v>724409.72721849382</v>
      </c>
      <c r="H58" s="236">
        <v>630760.62770454236</v>
      </c>
      <c r="I58" s="236">
        <v>592569.52522254328</v>
      </c>
      <c r="J58" s="236">
        <v>30456.478524085051</v>
      </c>
      <c r="K58" s="236"/>
      <c r="L58" s="236">
        <v>7122931.2769537289</v>
      </c>
      <c r="M58" s="236">
        <v>1758860.8870601358</v>
      </c>
      <c r="N58" s="236">
        <v>1977859.1737527947</v>
      </c>
      <c r="O58" s="236">
        <v>750716.03702364652</v>
      </c>
      <c r="P58" s="236">
        <v>656943.06105809694</v>
      </c>
      <c r="Q58" s="236">
        <v>611538.19181990623</v>
      </c>
      <c r="R58" s="236">
        <v>30125.01380097782</v>
      </c>
      <c r="S58" s="237"/>
      <c r="T58" s="237"/>
      <c r="U58" s="273"/>
      <c r="V58" s="273"/>
      <c r="W58" s="273"/>
      <c r="X58" s="273"/>
      <c r="Y58" s="273"/>
      <c r="Z58" s="273"/>
      <c r="AA58" s="273"/>
      <c r="AB58" s="273"/>
      <c r="AC58" s="237"/>
      <c r="AE58" s="237"/>
      <c r="AG58" s="237"/>
    </row>
    <row r="59" spans="2:33">
      <c r="B59" s="237" t="s">
        <v>360</v>
      </c>
      <c r="C59" s="235"/>
      <c r="D59" s="236">
        <v>0.51498640591748257</v>
      </c>
      <c r="E59" s="236">
        <v>0.77051756933069016</v>
      </c>
      <c r="F59" s="236">
        <v>0.81508450457884685</v>
      </c>
      <c r="G59" s="236">
        <v>0.93324983704953002</v>
      </c>
      <c r="H59" s="236">
        <v>0.77404503253025725</v>
      </c>
      <c r="I59" s="236">
        <v>0.84265357908747462</v>
      </c>
      <c r="J59" s="236">
        <v>1.5088663847893393</v>
      </c>
      <c r="K59" s="236"/>
      <c r="L59" s="236">
        <v>0.53029233686426713</v>
      </c>
      <c r="M59" s="236">
        <v>0.7923917220469886</v>
      </c>
      <c r="N59" s="236">
        <v>0.84420973988721226</v>
      </c>
      <c r="O59" s="236">
        <v>0.96713999398226325</v>
      </c>
      <c r="P59" s="236">
        <v>0.8061751015084474</v>
      </c>
      <c r="Q59" s="236">
        <v>0.86962765405830955</v>
      </c>
      <c r="R59" s="236">
        <v>1.4924450517043439</v>
      </c>
      <c r="S59" s="237"/>
      <c r="T59" s="237"/>
      <c r="U59" s="273"/>
      <c r="V59" s="273"/>
      <c r="W59" s="273"/>
      <c r="X59" s="273"/>
      <c r="Y59" s="273"/>
      <c r="Z59" s="273"/>
      <c r="AA59" s="273"/>
      <c r="AB59" s="273"/>
      <c r="AC59" s="237"/>
      <c r="AE59" s="237"/>
      <c r="AG59" s="237"/>
    </row>
    <row r="60" spans="2:33">
      <c r="B60" s="237" t="s">
        <v>360</v>
      </c>
      <c r="C60" s="235"/>
      <c r="D60" s="236">
        <v>4.2399514640659572E-3</v>
      </c>
      <c r="E60" s="236">
        <v>3.122338466103674E-3</v>
      </c>
      <c r="F60" s="236">
        <v>2.0476404682821425E-3</v>
      </c>
      <c r="G60" s="236">
        <v>1.9230589939818992E-3</v>
      </c>
      <c r="H60" s="236">
        <v>1.159127277721468E-3</v>
      </c>
      <c r="I60" s="236">
        <v>3.8770201482008129E-3</v>
      </c>
      <c r="J60" s="236">
        <v>4.3803864857806882E-3</v>
      </c>
      <c r="K60" s="236"/>
      <c r="L60" s="236">
        <v>4.3659672259987303E-3</v>
      </c>
      <c r="M60" s="236">
        <v>3.2109782468926471E-3</v>
      </c>
      <c r="N60" s="236">
        <v>2.1208083547167695E-3</v>
      </c>
      <c r="O60" s="236">
        <v>1.9928932104045821E-3</v>
      </c>
      <c r="P60" s="236">
        <v>1.207241841890881E-3</v>
      </c>
      <c r="Q60" s="236">
        <v>4.0011269398129209E-3</v>
      </c>
      <c r="R60" s="236">
        <v>4.3327137519659845E-3</v>
      </c>
      <c r="S60" s="237"/>
      <c r="T60" s="237"/>
      <c r="U60" s="273"/>
      <c r="V60" s="273"/>
      <c r="W60" s="273"/>
      <c r="X60" s="273"/>
      <c r="Y60" s="273"/>
      <c r="Z60" s="273"/>
      <c r="AA60" s="273"/>
      <c r="AB60" s="273"/>
      <c r="AC60" s="237"/>
      <c r="AE60" s="237"/>
      <c r="AG60" s="237"/>
    </row>
    <row r="61" spans="2:33">
      <c r="B61" s="241" t="s">
        <v>360</v>
      </c>
      <c r="C61" s="239"/>
      <c r="D61" s="240">
        <v>62.463741660734556</v>
      </c>
      <c r="E61" s="240">
        <v>82.170068918449743</v>
      </c>
      <c r="F61" s="240">
        <v>1783.7451310137662</v>
      </c>
      <c r="G61" s="240">
        <v>10902.487533388705</v>
      </c>
      <c r="H61" s="240">
        <v>630760.62770454236</v>
      </c>
      <c r="I61" s="240">
        <v>115.26653608628565</v>
      </c>
      <c r="J61" s="240">
        <v>11.311633197932078</v>
      </c>
      <c r="K61" s="240"/>
      <c r="L61" s="240">
        <v>64.320228949624635</v>
      </c>
      <c r="M61" s="240">
        <v>84.502787480327896</v>
      </c>
      <c r="N61" s="240">
        <v>1847.4833034107139</v>
      </c>
      <c r="O61" s="240">
        <v>11298.401895004716</v>
      </c>
      <c r="P61" s="240">
        <v>656943.06105809694</v>
      </c>
      <c r="Q61" s="240">
        <v>118.95631829712839</v>
      </c>
      <c r="R61" s="240">
        <v>11.188526143290877</v>
      </c>
      <c r="S61" s="241"/>
      <c r="T61" s="241"/>
      <c r="U61" s="256"/>
      <c r="V61" s="256"/>
      <c r="W61" s="256"/>
      <c r="X61" s="256"/>
      <c r="Y61" s="256"/>
      <c r="Z61" s="256"/>
      <c r="AA61" s="256"/>
      <c r="AB61" s="256"/>
      <c r="AC61" s="241"/>
      <c r="AE61" s="237"/>
      <c r="AG61" s="237"/>
    </row>
    <row r="62" spans="2:33">
      <c r="B62" s="228"/>
      <c r="C62" s="242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28"/>
      <c r="T62" s="228"/>
      <c r="U62" s="255"/>
      <c r="V62" s="255"/>
      <c r="W62" s="255"/>
      <c r="X62" s="255"/>
      <c r="Y62" s="255"/>
      <c r="Z62" s="255"/>
      <c r="AA62" s="255"/>
      <c r="AB62" s="255"/>
      <c r="AC62" s="228"/>
      <c r="AE62" s="237"/>
      <c r="AG62" s="237"/>
    </row>
    <row r="63" spans="2:33">
      <c r="B63" s="237" t="s">
        <v>360</v>
      </c>
      <c r="C63" s="235"/>
      <c r="D63" s="236">
        <v>0.62568347112238065</v>
      </c>
      <c r="E63" s="236">
        <v>0.14695268652139953</v>
      </c>
      <c r="F63" s="236">
        <v>0.1247434098331878</v>
      </c>
      <c r="G63" s="236">
        <v>4.6910454203118082E-2</v>
      </c>
      <c r="H63" s="236">
        <v>6.0693863391125952E-3</v>
      </c>
      <c r="I63" s="236">
        <v>3.8378998599630391E-2</v>
      </c>
      <c r="J63" s="236">
        <v>1.1261593381170758E-2</v>
      </c>
      <c r="K63" s="236"/>
      <c r="L63" s="236">
        <v>0.62596602764247988</v>
      </c>
      <c r="M63" s="236">
        <v>0.14656923248313355</v>
      </c>
      <c r="N63" s="236">
        <v>0.12483001393642491</v>
      </c>
      <c r="O63" s="236">
        <v>4.6977743370204883E-2</v>
      </c>
      <c r="P63" s="236">
        <v>5.9758495856944869E-3</v>
      </c>
      <c r="Q63" s="236">
        <v>3.8304267363646699E-2</v>
      </c>
      <c r="R63" s="236">
        <v>1.1376865618415593E-2</v>
      </c>
      <c r="S63" s="237"/>
      <c r="T63" s="237"/>
      <c r="U63" s="273"/>
      <c r="V63" s="273"/>
      <c r="W63" s="273"/>
      <c r="X63" s="273"/>
      <c r="Y63" s="273"/>
      <c r="Z63" s="273"/>
      <c r="AA63" s="273"/>
      <c r="AB63" s="273"/>
      <c r="AC63" s="237"/>
      <c r="AE63" s="237"/>
      <c r="AG63" s="237"/>
    </row>
    <row r="64" spans="2:33">
      <c r="B64" s="237" t="s">
        <v>360</v>
      </c>
      <c r="C64" s="47" t="s">
        <v>369</v>
      </c>
      <c r="D64" s="236">
        <v>26341367.258514147</v>
      </c>
      <c r="E64" s="236">
        <v>6186729.9744096268</v>
      </c>
      <c r="F64" s="236">
        <v>5251716.120294692</v>
      </c>
      <c r="G64" s="236">
        <v>1974937.1039183924</v>
      </c>
      <c r="H64" s="236">
        <v>255522.06822018427</v>
      </c>
      <c r="I64" s="236">
        <v>1615761.553223335</v>
      </c>
      <c r="J64" s="236">
        <v>474114.75747846212</v>
      </c>
      <c r="K64" s="236"/>
      <c r="L64" s="236">
        <v>26909013.065472148</v>
      </c>
      <c r="M64" s="236">
        <v>6300714.7636093395</v>
      </c>
      <c r="N64" s="236">
        <v>5366189.7413654039</v>
      </c>
      <c r="O64" s="236">
        <v>2019478.1414834941</v>
      </c>
      <c r="P64" s="236">
        <v>256889.68326982835</v>
      </c>
      <c r="Q64" s="236">
        <v>1646622.9562547575</v>
      </c>
      <c r="R64" s="236">
        <v>489068.43510829919</v>
      </c>
      <c r="S64" s="237"/>
      <c r="T64" s="237"/>
      <c r="U64" s="273"/>
      <c r="V64" s="273"/>
      <c r="W64" s="273"/>
      <c r="X64" s="273"/>
      <c r="Y64" s="273"/>
      <c r="Z64" s="273"/>
      <c r="AA64" s="273"/>
      <c r="AB64" s="273"/>
      <c r="AC64" s="237"/>
      <c r="AE64" s="237"/>
      <c r="AG64" s="237"/>
    </row>
    <row r="65" spans="2:33">
      <c r="B65" s="237" t="s">
        <v>360</v>
      </c>
      <c r="C65" s="235"/>
      <c r="D65" s="236">
        <v>1.9610781933152859</v>
      </c>
      <c r="E65" s="236">
        <v>2.7872094116870056</v>
      </c>
      <c r="F65" s="236">
        <v>2.2415902803955619</v>
      </c>
      <c r="G65" s="236">
        <v>2.5442918022261711</v>
      </c>
      <c r="H65" s="236">
        <v>0.31356679367808743</v>
      </c>
      <c r="I65" s="236">
        <v>2.2976666835241826</v>
      </c>
      <c r="J65" s="236">
        <v>23.488461396680538</v>
      </c>
      <c r="K65" s="236"/>
      <c r="L65" s="236">
        <v>2.003338634947919</v>
      </c>
      <c r="M65" s="236">
        <v>2.8385611724007767</v>
      </c>
      <c r="N65" s="236">
        <v>2.2904510623716057</v>
      </c>
      <c r="O65" s="236">
        <v>2.6016735773291311</v>
      </c>
      <c r="P65" s="236">
        <v>0.31524507794171219</v>
      </c>
      <c r="Q65" s="236">
        <v>2.3415526253642098</v>
      </c>
      <c r="R65" s="236">
        <v>24.229292333086875</v>
      </c>
      <c r="S65" s="237"/>
      <c r="T65" s="237"/>
      <c r="U65" s="273"/>
      <c r="V65" s="273"/>
      <c r="W65" s="273"/>
      <c r="X65" s="273"/>
      <c r="Y65" s="273"/>
      <c r="Z65" s="273"/>
      <c r="AA65" s="273"/>
      <c r="AB65" s="273"/>
      <c r="AC65" s="237"/>
      <c r="AE65" s="237"/>
      <c r="AG65" s="237"/>
    </row>
    <row r="66" spans="2:33">
      <c r="B66" s="237" t="s">
        <v>360</v>
      </c>
      <c r="C66" s="235"/>
      <c r="D66" s="236">
        <v>1.6145817173720271E-2</v>
      </c>
      <c r="E66" s="236">
        <v>1.1294500613082773E-2</v>
      </c>
      <c r="F66" s="236">
        <v>5.6312823341151614E-3</v>
      </c>
      <c r="G66" s="236">
        <v>5.2427796280727114E-3</v>
      </c>
      <c r="H66" s="236">
        <v>4.6956418381991616E-4</v>
      </c>
      <c r="I66" s="236">
        <v>1.0571485420520903E-2</v>
      </c>
      <c r="J66" s="236">
        <v>6.81892975488122E-2</v>
      </c>
      <c r="K66" s="236"/>
      <c r="L66" s="236">
        <v>1.6493753001372135E-2</v>
      </c>
      <c r="M66" s="236">
        <v>1.1502591361640313E-2</v>
      </c>
      <c r="N66" s="236">
        <v>5.7540295019536088E-3</v>
      </c>
      <c r="O66" s="236">
        <v>5.3610207831435337E-3</v>
      </c>
      <c r="P66" s="236">
        <v>4.7207740332005178E-4</v>
      </c>
      <c r="Q66" s="236">
        <v>1.0773403130193258E-2</v>
      </c>
      <c r="R66" s="236">
        <v>7.0340002114038264E-2</v>
      </c>
      <c r="S66" s="237"/>
      <c r="T66" s="237"/>
      <c r="U66" s="273"/>
      <c r="V66" s="273"/>
      <c r="W66" s="273"/>
      <c r="X66" s="273"/>
      <c r="Y66" s="273"/>
      <c r="Z66" s="273"/>
      <c r="AA66" s="273"/>
      <c r="AB66" s="273"/>
      <c r="AC66" s="237"/>
      <c r="AE66" s="237"/>
      <c r="AG66" s="237"/>
    </row>
    <row r="67" spans="2:33">
      <c r="B67" s="241" t="s">
        <v>360</v>
      </c>
      <c r="C67" s="239"/>
      <c r="D67" s="240">
        <v>237.8631362618413</v>
      </c>
      <c r="E67" s="240">
        <v>297.23551877917026</v>
      </c>
      <c r="F67" s="240">
        <v>4905.5352247793599</v>
      </c>
      <c r="G67" s="240">
        <v>29723.133671012602</v>
      </c>
      <c r="H67" s="240">
        <v>255522.06822018427</v>
      </c>
      <c r="I67" s="240">
        <v>314.29769749213085</v>
      </c>
      <c r="J67" s="240">
        <v>176.08773207584738</v>
      </c>
      <c r="K67" s="240"/>
      <c r="L67" s="240">
        <v>242.98899061115461</v>
      </c>
      <c r="M67" s="240">
        <v>302.71180885338578</v>
      </c>
      <c r="N67" s="240">
        <v>5012.463011355705</v>
      </c>
      <c r="O67" s="240">
        <v>30393.483734701422</v>
      </c>
      <c r="P67" s="240">
        <v>256889.68326982835</v>
      </c>
      <c r="Q67" s="240">
        <v>320.30085302878945</v>
      </c>
      <c r="R67" s="240">
        <v>181.64157560950065</v>
      </c>
      <c r="S67" s="241"/>
      <c r="T67" s="241"/>
      <c r="U67" s="256"/>
      <c r="V67" s="256"/>
      <c r="W67" s="256"/>
      <c r="X67" s="256"/>
      <c r="Y67" s="256"/>
      <c r="Z67" s="256"/>
      <c r="AA67" s="256"/>
      <c r="AB67" s="256"/>
      <c r="AC67" s="241"/>
      <c r="AE67" s="237"/>
      <c r="AG67" s="237"/>
    </row>
    <row r="68" spans="2:33">
      <c r="B68" s="228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28"/>
      <c r="T68" s="228"/>
      <c r="U68" s="255"/>
      <c r="V68" s="255"/>
      <c r="W68" s="255"/>
      <c r="X68" s="255"/>
      <c r="Y68" s="255"/>
      <c r="Z68" s="255"/>
      <c r="AA68" s="255"/>
      <c r="AB68" s="255"/>
      <c r="AC68" s="228"/>
      <c r="AE68" s="237"/>
      <c r="AG68" s="237"/>
    </row>
    <row r="69" spans="2:33">
      <c r="B69" s="237" t="s">
        <v>360</v>
      </c>
      <c r="C69" s="235"/>
      <c r="D69" s="236">
        <v>0.6036752915783925</v>
      </c>
      <c r="E69" s="236">
        <v>0.21014058322182247</v>
      </c>
      <c r="F69" s="236">
        <v>6.9926002426025105E-2</v>
      </c>
      <c r="G69" s="236">
        <v>1.3923224349320322E-2</v>
      </c>
      <c r="H69" s="236">
        <v>1.3667587167754355E-3</v>
      </c>
      <c r="I69" s="236">
        <v>9.924146406109223E-2</v>
      </c>
      <c r="J69" s="236">
        <v>1.7266756465724082E-3</v>
      </c>
      <c r="K69" s="236"/>
      <c r="L69" s="236">
        <v>0.6031017632306418</v>
      </c>
      <c r="M69" s="236">
        <v>0.21080851636884393</v>
      </c>
      <c r="N69" s="236">
        <v>6.9520365561648673E-2</v>
      </c>
      <c r="O69" s="236">
        <v>1.3604718104733491E-2</v>
      </c>
      <c r="P69" s="236">
        <v>1.2430069479018317E-3</v>
      </c>
      <c r="Q69" s="236">
        <v>0.10011093953800043</v>
      </c>
      <c r="R69" s="236">
        <v>1.610690248230023E-3</v>
      </c>
      <c r="S69" s="237"/>
      <c r="T69" s="237"/>
      <c r="U69" s="273"/>
      <c r="V69" s="273"/>
      <c r="W69" s="273"/>
      <c r="X69" s="273"/>
      <c r="Y69" s="273"/>
      <c r="Z69" s="273"/>
      <c r="AA69" s="273"/>
      <c r="AB69" s="273"/>
      <c r="AC69" s="237"/>
      <c r="AE69" s="237"/>
      <c r="AG69" s="237"/>
    </row>
    <row r="70" spans="2:33">
      <c r="B70" s="237" t="s">
        <v>360</v>
      </c>
      <c r="C70" s="47" t="s">
        <v>370</v>
      </c>
      <c r="D70" s="236">
        <v>5662139.8238369003</v>
      </c>
      <c r="E70" s="236">
        <v>1971002.2614203342</v>
      </c>
      <c r="F70" s="236">
        <v>655867.16664002836</v>
      </c>
      <c r="G70" s="236">
        <v>130592.13150562669</v>
      </c>
      <c r="H70" s="236">
        <v>12819.439635497762</v>
      </c>
      <c r="I70" s="236">
        <v>930829.95722248522</v>
      </c>
      <c r="J70" s="236">
        <v>16195.261057885549</v>
      </c>
      <c r="K70" s="236"/>
      <c r="L70" s="236">
        <v>5873655.0127810109</v>
      </c>
      <c r="M70" s="236">
        <v>2053080.5485860631</v>
      </c>
      <c r="N70" s="236">
        <v>677064.25112106127</v>
      </c>
      <c r="O70" s="236">
        <v>132497.40850580303</v>
      </c>
      <c r="P70" s="236">
        <v>12105.741411459163</v>
      </c>
      <c r="Q70" s="236">
        <v>974988.23200541688</v>
      </c>
      <c r="R70" s="236">
        <v>15686.637690919455</v>
      </c>
      <c r="S70" s="237"/>
      <c r="T70" s="237"/>
      <c r="U70" s="273"/>
      <c r="V70" s="273"/>
      <c r="W70" s="273"/>
      <c r="X70" s="273"/>
      <c r="Y70" s="273"/>
      <c r="Z70" s="273"/>
      <c r="AA70" s="273"/>
      <c r="AB70" s="273"/>
      <c r="AC70" s="237"/>
      <c r="AE70" s="237"/>
      <c r="AG70" s="237"/>
    </row>
    <row r="71" spans="2:33">
      <c r="B71" s="237" t="s">
        <v>360</v>
      </c>
      <c r="C71" s="235"/>
      <c r="D71" s="236">
        <v>0.42153844282473829</v>
      </c>
      <c r="E71" s="236">
        <v>0.88796441354487232</v>
      </c>
      <c r="F71" s="236">
        <v>0.27994381880038988</v>
      </c>
      <c r="G71" s="236">
        <v>0.16824054242830092</v>
      </c>
      <c r="H71" s="236">
        <v>1.5731520221529318E-2</v>
      </c>
      <c r="I71" s="236">
        <v>1.3236711669922512</v>
      </c>
      <c r="J71" s="236">
        <v>0.80234111713890077</v>
      </c>
      <c r="K71" s="236"/>
      <c r="L71" s="236">
        <v>0.43728545475932895</v>
      </c>
      <c r="M71" s="236">
        <v>0.92494184353288444</v>
      </c>
      <c r="N71" s="236">
        <v>0.28899137153496929</v>
      </c>
      <c r="O71" s="236">
        <v>0.17069509181263365</v>
      </c>
      <c r="P71" s="236">
        <v>1.4855697380377742E-2</v>
      </c>
      <c r="Q71" s="236">
        <v>1.3864657028371228</v>
      </c>
      <c r="R71" s="236">
        <v>0.77714303981270516</v>
      </c>
      <c r="S71" s="237"/>
      <c r="T71" s="237"/>
      <c r="U71" s="273"/>
      <c r="V71" s="273"/>
      <c r="W71" s="273"/>
      <c r="X71" s="273"/>
      <c r="Y71" s="273"/>
      <c r="Z71" s="273"/>
      <c r="AA71" s="273"/>
      <c r="AB71" s="273"/>
      <c r="AC71" s="237"/>
      <c r="AE71" s="237"/>
      <c r="AG71" s="237"/>
    </row>
    <row r="72" spans="2:33">
      <c r="B72" s="237" t="s">
        <v>360</v>
      </c>
      <c r="C72" s="235"/>
      <c r="D72" s="236">
        <v>3.4705819751312361E-3</v>
      </c>
      <c r="E72" s="236">
        <v>3.598263758412022E-3</v>
      </c>
      <c r="F72" s="236">
        <v>7.0326977019064549E-4</v>
      </c>
      <c r="G72" s="236">
        <v>3.4667725128353433E-4</v>
      </c>
      <c r="H72" s="236">
        <v>2.3557846691676441E-5</v>
      </c>
      <c r="I72" s="236">
        <v>6.0901655334792155E-3</v>
      </c>
      <c r="J72" s="236">
        <v>2.3292746275821552E-3</v>
      </c>
      <c r="K72" s="236"/>
      <c r="L72" s="236">
        <v>3.6002292154069917E-3</v>
      </c>
      <c r="M72" s="236">
        <v>3.7481059639953634E-3</v>
      </c>
      <c r="N72" s="236">
        <v>7.2599886762062785E-4</v>
      </c>
      <c r="O72" s="236">
        <v>3.5173510726413306E-4</v>
      </c>
      <c r="P72" s="236">
        <v>2.224630782382559E-5</v>
      </c>
      <c r="Q72" s="236">
        <v>6.379081034118432E-3</v>
      </c>
      <c r="R72" s="236">
        <v>2.2561221480120477E-3</v>
      </c>
      <c r="S72" s="237"/>
      <c r="T72" s="237"/>
      <c r="U72" s="273"/>
      <c r="V72" s="273"/>
      <c r="W72" s="273"/>
      <c r="X72" s="273"/>
      <c r="Y72" s="273"/>
      <c r="Z72" s="273"/>
      <c r="AA72" s="273"/>
      <c r="AB72" s="273"/>
      <c r="AC72" s="237"/>
      <c r="AE72" s="237"/>
      <c r="AG72" s="237"/>
    </row>
    <row r="73" spans="2:33">
      <c r="B73" s="241" t="s">
        <v>360</v>
      </c>
      <c r="C73" s="239"/>
      <c r="D73" s="240">
        <v>51.129249413414286</v>
      </c>
      <c r="E73" s="240">
        <v>94.694916718762428</v>
      </c>
      <c r="F73" s="240">
        <v>612.63393051571779</v>
      </c>
      <c r="G73" s="240">
        <v>1965.4334173087634</v>
      </c>
      <c r="H73" s="240">
        <v>12819.439635497762</v>
      </c>
      <c r="I73" s="240">
        <v>181.06490510811631</v>
      </c>
      <c r="J73" s="240">
        <v>6.0149715761355624</v>
      </c>
      <c r="K73" s="240"/>
      <c r="L73" s="240">
        <v>53.03923630648265</v>
      </c>
      <c r="M73" s="240">
        <v>98.638289448318034</v>
      </c>
      <c r="N73" s="240">
        <v>632.43375255531737</v>
      </c>
      <c r="O73" s="240">
        <v>1994.1081547696112</v>
      </c>
      <c r="P73" s="240">
        <v>12105.741411459163</v>
      </c>
      <c r="Q73" s="240">
        <v>189.65456616411365</v>
      </c>
      <c r="R73" s="240">
        <v>5.8260672365065442</v>
      </c>
      <c r="S73" s="241"/>
      <c r="T73" s="241"/>
      <c r="U73" s="256"/>
      <c r="V73" s="256"/>
      <c r="W73" s="256"/>
      <c r="X73" s="256"/>
      <c r="Y73" s="256"/>
      <c r="Z73" s="256"/>
      <c r="AA73" s="256"/>
      <c r="AB73" s="256"/>
      <c r="AC73" s="241"/>
      <c r="AE73" s="237"/>
      <c r="AG73" s="237"/>
    </row>
    <row r="74" spans="2:33">
      <c r="B74" s="228"/>
      <c r="C74" s="242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28"/>
      <c r="T74" s="228"/>
      <c r="U74" s="255"/>
      <c r="V74" s="255"/>
      <c r="W74" s="255"/>
      <c r="X74" s="255"/>
      <c r="Y74" s="255"/>
      <c r="Z74" s="255"/>
      <c r="AA74" s="255"/>
      <c r="AB74" s="255"/>
      <c r="AC74" s="228"/>
      <c r="AE74" s="237"/>
      <c r="AG74" s="237"/>
    </row>
    <row r="75" spans="2:33">
      <c r="B75" s="237" t="s">
        <v>360</v>
      </c>
      <c r="C75" s="235"/>
      <c r="D75" s="236">
        <v>0.66892769587521028</v>
      </c>
      <c r="E75" s="236">
        <v>0.17040461894481224</v>
      </c>
      <c r="F75" s="236">
        <v>7.8213336325292579E-2</v>
      </c>
      <c r="G75" s="236">
        <v>1.3701839202543746E-2</v>
      </c>
      <c r="H75" s="236">
        <v>6.582010368273045E-3</v>
      </c>
      <c r="I75" s="236">
        <v>5.1509840599930114E-2</v>
      </c>
      <c r="J75" s="236">
        <v>1.0660658683938212E-2</v>
      </c>
      <c r="K75" s="236"/>
      <c r="L75" s="236">
        <v>0.66940461021670228</v>
      </c>
      <c r="M75" s="236">
        <v>0.17042473957079815</v>
      </c>
      <c r="N75" s="236">
        <v>7.810342349835353E-2</v>
      </c>
      <c r="O75" s="236">
        <v>1.3569910065067957E-2</v>
      </c>
      <c r="P75" s="236">
        <v>6.5572380364858664E-3</v>
      </c>
      <c r="Q75" s="236">
        <v>5.1586682982211279E-2</v>
      </c>
      <c r="R75" s="236">
        <v>1.035339563038116E-2</v>
      </c>
      <c r="S75" s="237"/>
      <c r="T75" s="237"/>
      <c r="U75" s="273"/>
      <c r="V75" s="273"/>
      <c r="W75" s="273"/>
      <c r="X75" s="273"/>
      <c r="Y75" s="273"/>
      <c r="Z75" s="273"/>
      <c r="AA75" s="273"/>
      <c r="AB75" s="273"/>
      <c r="AC75" s="237"/>
      <c r="AE75" s="237"/>
      <c r="AG75" s="237"/>
    </row>
    <row r="76" spans="2:33">
      <c r="B76" s="237" t="s">
        <v>360</v>
      </c>
      <c r="C76" s="47" t="s">
        <v>371</v>
      </c>
      <c r="D76" s="236">
        <v>1178104.1600269589</v>
      </c>
      <c r="E76" s="236">
        <v>300113.73681280972</v>
      </c>
      <c r="F76" s="236">
        <v>137748.00694095413</v>
      </c>
      <c r="G76" s="236">
        <v>24131.447784378604</v>
      </c>
      <c r="H76" s="236">
        <v>11592.125492812069</v>
      </c>
      <c r="I76" s="236">
        <v>90718.261281894796</v>
      </c>
      <c r="J76" s="236">
        <v>18775.372019457038</v>
      </c>
      <c r="K76" s="236"/>
      <c r="L76" s="236">
        <v>1206027.408004038</v>
      </c>
      <c r="M76" s="236">
        <v>307044.35521858098</v>
      </c>
      <c r="N76" s="236">
        <v>140714.40196306366</v>
      </c>
      <c r="O76" s="236">
        <v>24448.118839999996</v>
      </c>
      <c r="P76" s="236">
        <v>11813.794933752339</v>
      </c>
      <c r="Q76" s="236">
        <v>92940.730635873289</v>
      </c>
      <c r="R76" s="236">
        <v>18653.111594356589</v>
      </c>
      <c r="S76" s="237"/>
      <c r="T76" s="237"/>
      <c r="U76" s="273"/>
      <c r="V76" s="273"/>
      <c r="W76" s="273"/>
      <c r="X76" s="273"/>
      <c r="Y76" s="273"/>
      <c r="Z76" s="273"/>
      <c r="AA76" s="273"/>
      <c r="AB76" s="273"/>
      <c r="AC76" s="237"/>
      <c r="AE76" s="237"/>
      <c r="AG76" s="237"/>
    </row>
    <row r="77" spans="2:33">
      <c r="B77" s="237" t="s">
        <v>360</v>
      </c>
      <c r="C77" s="235"/>
      <c r="D77" s="236">
        <v>8.7708217838849287E-2</v>
      </c>
      <c r="E77" s="236">
        <v>0.13520548581903186</v>
      </c>
      <c r="F77" s="236">
        <v>5.8794989376801422E-2</v>
      </c>
      <c r="G77" s="236">
        <v>3.1088303851209847E-2</v>
      </c>
      <c r="H77" s="236">
        <v>1.4225407801422806E-2</v>
      </c>
      <c r="I77" s="236">
        <v>0.12900438565259034</v>
      </c>
      <c r="J77" s="236">
        <v>0.93016425650358769</v>
      </c>
      <c r="K77" s="236"/>
      <c r="L77" s="236">
        <v>8.9787064853773524E-2</v>
      </c>
      <c r="M77" s="236">
        <v>0.13832782749699077</v>
      </c>
      <c r="N77" s="236">
        <v>6.0061135927198236E-2</v>
      </c>
      <c r="O77" s="236">
        <v>3.1496268018383199E-2</v>
      </c>
      <c r="P77" s="236">
        <v>1.4497431960964905E-2</v>
      </c>
      <c r="Q77" s="236">
        <v>0.13216481101337627</v>
      </c>
      <c r="R77" s="236">
        <v>0.92410726454116376</v>
      </c>
      <c r="S77" s="237"/>
      <c r="T77" s="237"/>
      <c r="U77" s="273"/>
      <c r="V77" s="273"/>
      <c r="W77" s="273"/>
      <c r="X77" s="273"/>
      <c r="Y77" s="273"/>
      <c r="Z77" s="273"/>
      <c r="AA77" s="273"/>
      <c r="AB77" s="273"/>
      <c r="AC77" s="237"/>
      <c r="AE77" s="237"/>
      <c r="AG77" s="237"/>
    </row>
    <row r="78" spans="2:33">
      <c r="B78" s="237" t="s">
        <v>360</v>
      </c>
      <c r="C78" s="235"/>
      <c r="D78" s="236">
        <v>7.2211340408863509E-4</v>
      </c>
      <c r="E78" s="236">
        <v>5.4788794701684065E-4</v>
      </c>
      <c r="F78" s="236">
        <v>1.4770370299502033E-4</v>
      </c>
      <c r="G78" s="236">
        <v>6.4060704813751043E-5</v>
      </c>
      <c r="H78" s="236">
        <v>2.1302453379799185E-5</v>
      </c>
      <c r="I78" s="236">
        <v>5.9354474340806243E-4</v>
      </c>
      <c r="J78" s="236">
        <v>2.7003576856233142E-3</v>
      </c>
      <c r="K78" s="236"/>
      <c r="L78" s="236">
        <v>7.392288276089784E-4</v>
      </c>
      <c r="M78" s="236">
        <v>5.6054049111635841E-4</v>
      </c>
      <c r="N78" s="236">
        <v>1.5088449333124191E-4</v>
      </c>
      <c r="O78" s="236">
        <v>6.4901357691211347E-5</v>
      </c>
      <c r="P78" s="236">
        <v>2.1709807745854339E-5</v>
      </c>
      <c r="Q78" s="236">
        <v>6.0808575184230051E-4</v>
      </c>
      <c r="R78" s="236">
        <v>2.6827736463709661E-3</v>
      </c>
      <c r="S78" s="237"/>
      <c r="T78" s="237"/>
      <c r="U78" s="273"/>
      <c r="V78" s="273"/>
      <c r="W78" s="273"/>
      <c r="X78" s="273"/>
      <c r="Y78" s="273"/>
      <c r="Z78" s="273"/>
      <c r="AA78" s="273"/>
      <c r="AB78" s="273"/>
      <c r="AC78" s="237"/>
      <c r="AE78" s="237"/>
      <c r="AG78" s="237"/>
    </row>
    <row r="79" spans="2:33">
      <c r="B79" s="241" t="s">
        <v>360</v>
      </c>
      <c r="C79" s="239"/>
      <c r="D79" s="240">
        <v>10.63830694879965</v>
      </c>
      <c r="E79" s="240">
        <v>14.418677172478871</v>
      </c>
      <c r="F79" s="240">
        <v>128.66797913556775</v>
      </c>
      <c r="G79" s="240">
        <v>363.18232451405936</v>
      </c>
      <c r="H79" s="240">
        <v>11592.125492812069</v>
      </c>
      <c r="I79" s="240">
        <v>17.646502718491146</v>
      </c>
      <c r="J79" s="240">
        <v>6.973233010863833</v>
      </c>
      <c r="K79" s="240"/>
      <c r="L79" s="240">
        <v>10.890454503376503</v>
      </c>
      <c r="M79" s="240">
        <v>14.751652098784179</v>
      </c>
      <c r="N79" s="240">
        <v>131.43883630649037</v>
      </c>
      <c r="O79" s="240">
        <v>367.94827685618731</v>
      </c>
      <c r="P79" s="240">
        <v>11813.794933752339</v>
      </c>
      <c r="Q79" s="240">
        <v>18.078817127327504</v>
      </c>
      <c r="R79" s="240">
        <v>6.9278250993002599</v>
      </c>
      <c r="S79" s="241"/>
      <c r="T79" s="241"/>
      <c r="U79" s="256"/>
      <c r="V79" s="256"/>
      <c r="W79" s="256"/>
      <c r="X79" s="256"/>
      <c r="Y79" s="256"/>
      <c r="Z79" s="256"/>
      <c r="AA79" s="256"/>
      <c r="AB79" s="256"/>
      <c r="AC79" s="241"/>
      <c r="AE79" s="237"/>
      <c r="AG79" s="237"/>
    </row>
    <row r="80" spans="2:33">
      <c r="B80" s="228"/>
      <c r="C80" s="242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28"/>
      <c r="T80" s="228"/>
      <c r="U80" s="255"/>
      <c r="V80" s="255"/>
      <c r="W80" s="255"/>
      <c r="X80" s="255"/>
      <c r="Y80" s="255"/>
      <c r="Z80" s="255"/>
      <c r="AA80" s="255"/>
      <c r="AB80" s="255"/>
      <c r="AC80" s="228"/>
      <c r="AE80" s="237"/>
      <c r="AG80" s="237"/>
    </row>
    <row r="81" spans="2:33">
      <c r="B81" s="237" t="s">
        <v>360</v>
      </c>
      <c r="C81" s="235"/>
      <c r="D81" s="236">
        <v>0.7041982130562584</v>
      </c>
      <c r="E81" s="236">
        <v>0.21411502725107698</v>
      </c>
      <c r="F81" s="236">
        <v>5.5930494545375839E-2</v>
      </c>
      <c r="G81" s="236">
        <v>1.6923293661625913E-2</v>
      </c>
      <c r="H81" s="236">
        <v>1.447123241271856E-3</v>
      </c>
      <c r="I81" s="236">
        <v>6.5767433237275269E-3</v>
      </c>
      <c r="J81" s="236">
        <v>8.0910492066374852E-4</v>
      </c>
      <c r="K81" s="236"/>
      <c r="L81" s="236">
        <v>0.70504594669150344</v>
      </c>
      <c r="M81" s="236">
        <v>0.21488548996309895</v>
      </c>
      <c r="N81" s="236">
        <v>5.533139850644448E-2</v>
      </c>
      <c r="O81" s="236">
        <v>1.6644915412348301E-2</v>
      </c>
      <c r="P81" s="236">
        <v>1.3209834424038375E-3</v>
      </c>
      <c r="Q81" s="236">
        <v>6.0890779335285314E-3</v>
      </c>
      <c r="R81" s="236">
        <v>6.8218805067271355E-4</v>
      </c>
      <c r="S81" s="237"/>
      <c r="T81" s="237"/>
      <c r="U81" s="273"/>
      <c r="V81" s="273"/>
      <c r="W81" s="273"/>
      <c r="X81" s="273"/>
      <c r="Y81" s="273"/>
      <c r="Z81" s="273"/>
      <c r="AA81" s="273"/>
      <c r="AB81" s="273"/>
      <c r="AC81" s="237"/>
      <c r="AE81" s="237"/>
      <c r="AG81" s="237"/>
    </row>
    <row r="82" spans="2:33">
      <c r="B82" s="237" t="s">
        <v>360</v>
      </c>
      <c r="C82" s="47" t="s">
        <v>372</v>
      </c>
      <c r="D82" s="236">
        <v>4318403.7675037971</v>
      </c>
      <c r="E82" s="236">
        <v>1313032.5002491295</v>
      </c>
      <c r="F82" s="236">
        <v>342986.46870296303</v>
      </c>
      <c r="G82" s="236">
        <v>103779.89286533528</v>
      </c>
      <c r="H82" s="236">
        <v>8874.2946819316548</v>
      </c>
      <c r="I82" s="236">
        <v>40331.021323995286</v>
      </c>
      <c r="J82" s="236">
        <v>4961.7304800250831</v>
      </c>
      <c r="K82" s="236"/>
      <c r="L82" s="236">
        <v>4504934.0501885526</v>
      </c>
      <c r="M82" s="236">
        <v>1373023.9357716471</v>
      </c>
      <c r="N82" s="236">
        <v>353543.34330397996</v>
      </c>
      <c r="O82" s="236">
        <v>106353.70156436889</v>
      </c>
      <c r="P82" s="236">
        <v>8440.5042215272824</v>
      </c>
      <c r="Q82" s="236">
        <v>38906.534596399819</v>
      </c>
      <c r="R82" s="236">
        <v>4358.8821303471177</v>
      </c>
      <c r="S82" s="237"/>
      <c r="T82" s="237"/>
      <c r="U82" s="273"/>
      <c r="V82" s="273"/>
      <c r="W82" s="273"/>
      <c r="X82" s="273"/>
      <c r="Y82" s="273"/>
      <c r="Z82" s="273"/>
      <c r="AA82" s="273"/>
      <c r="AB82" s="273"/>
      <c r="AC82" s="237"/>
      <c r="AE82" s="237"/>
      <c r="AG82" s="237"/>
    </row>
    <row r="83" spans="2:33">
      <c r="B83" s="237" t="s">
        <v>360</v>
      </c>
      <c r="C83" s="235"/>
      <c r="D83" s="236">
        <v>0.32149916043727683</v>
      </c>
      <c r="E83" s="236">
        <v>0.59153972416494927</v>
      </c>
      <c r="F83" s="236">
        <v>0.14639693329589501</v>
      </c>
      <c r="G83" s="236">
        <v>0.13369860241589429</v>
      </c>
      <c r="H83" s="236">
        <v>1.0890191007572634E-2</v>
      </c>
      <c r="I83" s="236">
        <v>5.7352054097204161E-2</v>
      </c>
      <c r="J83" s="236">
        <v>0.24581267088294892</v>
      </c>
      <c r="K83" s="236"/>
      <c r="L83" s="236">
        <v>0.33538608081525279</v>
      </c>
      <c r="M83" s="236">
        <v>0.61856671490167225</v>
      </c>
      <c r="N83" s="236">
        <v>0.15090292466232599</v>
      </c>
      <c r="O83" s="236">
        <v>0.13701441452983806</v>
      </c>
      <c r="P83" s="236">
        <v>1.0357860141809878E-2</v>
      </c>
      <c r="Q83" s="236">
        <v>5.5326386579253206E-2</v>
      </c>
      <c r="R83" s="236">
        <v>0.21594652568052561</v>
      </c>
      <c r="S83" s="237"/>
      <c r="T83" s="237"/>
      <c r="U83" s="273"/>
      <c r="V83" s="273"/>
      <c r="W83" s="273"/>
      <c r="X83" s="273"/>
      <c r="Y83" s="273"/>
      <c r="Z83" s="273"/>
      <c r="AA83" s="273"/>
      <c r="AB83" s="273"/>
      <c r="AC83" s="237"/>
      <c r="AE83" s="237"/>
      <c r="AG83" s="237"/>
    </row>
    <row r="84" spans="2:33">
      <c r="B84" s="237" t="s">
        <v>360</v>
      </c>
      <c r="C84" s="235"/>
      <c r="D84" s="236">
        <v>2.6469452791933056E-3</v>
      </c>
      <c r="E84" s="236">
        <v>2.3970734847655229E-3</v>
      </c>
      <c r="F84" s="236">
        <v>3.6777571327278018E-4</v>
      </c>
      <c r="G84" s="236">
        <v>2.7549996758804686E-4</v>
      </c>
      <c r="H84" s="236">
        <v>1.6307988457998457E-5</v>
      </c>
      <c r="I84" s="236">
        <v>2.6387482922265158E-4</v>
      </c>
      <c r="J84" s="236">
        <v>7.1361819205724886E-4</v>
      </c>
      <c r="K84" s="236"/>
      <c r="L84" s="236">
        <v>2.761278138685137E-3</v>
      </c>
      <c r="M84" s="236">
        <v>2.5065939112414578E-3</v>
      </c>
      <c r="N84" s="236">
        <v>3.7909558283207386E-4</v>
      </c>
      <c r="O84" s="236">
        <v>2.8233254559120307E-4</v>
      </c>
      <c r="P84" s="236">
        <v>1.5510826534148021E-5</v>
      </c>
      <c r="Q84" s="236">
        <v>2.5455480261200511E-4</v>
      </c>
      <c r="R84" s="236">
        <v>6.269138555130134E-4</v>
      </c>
      <c r="S84" s="237"/>
      <c r="T84" s="237"/>
      <c r="U84" s="273"/>
      <c r="V84" s="273"/>
      <c r="W84" s="273"/>
      <c r="X84" s="273"/>
      <c r="Y84" s="273"/>
      <c r="Z84" s="273"/>
      <c r="AA84" s="273"/>
      <c r="AB84" s="273"/>
      <c r="AC84" s="237"/>
      <c r="AE84" s="237"/>
      <c r="AG84" s="237"/>
    </row>
    <row r="85" spans="2:33">
      <c r="B85" s="241" t="s">
        <v>360</v>
      </c>
      <c r="C85" s="239"/>
      <c r="D85" s="240">
        <v>38.995282731627874</v>
      </c>
      <c r="E85" s="240">
        <v>63.083389448026423</v>
      </c>
      <c r="F85" s="240">
        <v>320.37759949421184</v>
      </c>
      <c r="G85" s="240">
        <v>1561.9047421204309</v>
      </c>
      <c r="H85" s="240">
        <v>8874.2946819316548</v>
      </c>
      <c r="I85" s="240">
        <v>7.8451842812759667</v>
      </c>
      <c r="J85" s="240">
        <v>1.8428025148297826</v>
      </c>
      <c r="K85" s="240"/>
      <c r="L85" s="240">
        <v>40.679655361634872</v>
      </c>
      <c r="M85" s="240">
        <v>65.965620535143543</v>
      </c>
      <c r="N85" s="240">
        <v>330.23858950826479</v>
      </c>
      <c r="O85" s="240">
        <v>1600.6409934436795</v>
      </c>
      <c r="P85" s="240">
        <v>8440.5042215272824</v>
      </c>
      <c r="Q85" s="240">
        <v>7.5680933344724624</v>
      </c>
      <c r="R85" s="240">
        <v>1.6189027162978151</v>
      </c>
      <c r="S85" s="241"/>
      <c r="T85" s="241"/>
      <c r="U85" s="256"/>
      <c r="V85" s="256"/>
      <c r="W85" s="256"/>
      <c r="X85" s="256"/>
      <c r="Y85" s="256"/>
      <c r="Z85" s="256"/>
      <c r="AA85" s="256"/>
      <c r="AB85" s="256"/>
      <c r="AC85" s="241"/>
      <c r="AE85" s="237"/>
      <c r="AG85" s="237"/>
    </row>
    <row r="86" spans="2:33">
      <c r="B86" s="228"/>
      <c r="C86" s="228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28"/>
      <c r="T86" s="228"/>
      <c r="U86" s="255"/>
      <c r="V86" s="255"/>
      <c r="W86" s="255"/>
      <c r="X86" s="255"/>
      <c r="Y86" s="255"/>
      <c r="Z86" s="255"/>
      <c r="AA86" s="255"/>
      <c r="AB86" s="255"/>
      <c r="AC86" s="228"/>
      <c r="AE86" s="237"/>
      <c r="AG86" s="237"/>
    </row>
    <row r="87" spans="2:33">
      <c r="B87" s="237" t="s">
        <v>360</v>
      </c>
      <c r="C87" s="237"/>
      <c r="D87" s="236">
        <v>0.80172799950862117</v>
      </c>
      <c r="E87" s="236">
        <v>0.12996412518462475</v>
      </c>
      <c r="F87" s="236">
        <v>1.7138928282688107E-2</v>
      </c>
      <c r="G87" s="236">
        <v>8.9079997714564089E-3</v>
      </c>
      <c r="H87" s="236">
        <v>6.9159995424300643E-3</v>
      </c>
      <c r="I87" s="236">
        <v>2.278549555521827E-2</v>
      </c>
      <c r="J87" s="236">
        <v>1.2559452154961091E-2</v>
      </c>
      <c r="K87" s="236"/>
      <c r="L87" s="236">
        <v>0.80179232128709144</v>
      </c>
      <c r="M87" s="236">
        <v>0.12999622106565401</v>
      </c>
      <c r="N87" s="236">
        <v>1.7031098397245759E-2</v>
      </c>
      <c r="O87" s="236">
        <v>8.9051520812409544E-3</v>
      </c>
      <c r="P87" s="236">
        <v>6.91050721805895E-3</v>
      </c>
      <c r="Q87" s="236">
        <v>2.2795874023740947E-2</v>
      </c>
      <c r="R87" s="236">
        <v>1.2568825926967977E-2</v>
      </c>
      <c r="S87" s="237"/>
      <c r="T87" s="237"/>
      <c r="U87" s="273"/>
      <c r="V87" s="273"/>
      <c r="W87" s="273"/>
      <c r="X87" s="273"/>
      <c r="Y87" s="273"/>
      <c r="Z87" s="273"/>
      <c r="AA87" s="273"/>
      <c r="AB87" s="273"/>
      <c r="AC87" s="237"/>
      <c r="AE87" s="237"/>
      <c r="AG87" s="237"/>
    </row>
    <row r="88" spans="2:33">
      <c r="B88" s="237" t="s">
        <v>360</v>
      </c>
      <c r="C88" s="47" t="s">
        <v>366</v>
      </c>
      <c r="D88" s="236">
        <v>7649609.238577296</v>
      </c>
      <c r="E88" s="236">
        <v>1240039.9802741716</v>
      </c>
      <c r="F88" s="236">
        <v>163529.40674508052</v>
      </c>
      <c r="G88" s="236">
        <v>84994.807953248543</v>
      </c>
      <c r="H88" s="236">
        <v>65988.332734037802</v>
      </c>
      <c r="I88" s="236">
        <v>217405.57572092791</v>
      </c>
      <c r="J88" s="236">
        <v>119834.78348634967</v>
      </c>
      <c r="K88" s="236"/>
      <c r="L88" s="236">
        <v>7657543.0749927284</v>
      </c>
      <c r="M88" s="236">
        <v>1241533.0453633631</v>
      </c>
      <c r="N88" s="236">
        <v>162656.04711952817</v>
      </c>
      <c r="O88" s="236">
        <v>85048.938286161181</v>
      </c>
      <c r="P88" s="236">
        <v>65999.019056939593</v>
      </c>
      <c r="Q88" s="236">
        <v>217712.72015761881</v>
      </c>
      <c r="R88" s="236">
        <v>120038.97191649524</v>
      </c>
      <c r="S88" s="237"/>
      <c r="T88" s="237"/>
      <c r="U88" s="273"/>
      <c r="V88" s="273"/>
      <c r="W88" s="273"/>
      <c r="X88" s="273"/>
      <c r="Y88" s="273"/>
      <c r="Z88" s="273"/>
      <c r="AA88" s="273"/>
      <c r="AB88" s="273"/>
      <c r="AC88" s="237"/>
      <c r="AE88" s="237"/>
      <c r="AG88" s="237"/>
    </row>
    <row r="89" spans="2:33">
      <c r="B89" s="237" t="s">
        <v>360</v>
      </c>
      <c r="C89" s="237"/>
      <c r="D89" s="236">
        <v>0.56950277933307558</v>
      </c>
      <c r="E89" s="236">
        <v>0.55865556088346247</v>
      </c>
      <c r="F89" s="236">
        <v>6.9799265672809377E-2</v>
      </c>
      <c r="G89" s="236">
        <v>0.10949796460767384</v>
      </c>
      <c r="H89" s="236">
        <v>8.0978328250477613E-2</v>
      </c>
      <c r="I89" s="236">
        <v>0.30915796155060771</v>
      </c>
      <c r="J89" s="236">
        <v>5.9368215004920213</v>
      </c>
      <c r="K89" s="236"/>
      <c r="L89" s="236">
        <v>0.57009344243081606</v>
      </c>
      <c r="M89" s="236">
        <v>0.55932820783687232</v>
      </c>
      <c r="N89" s="236">
        <v>6.942648953581243E-2</v>
      </c>
      <c r="O89" s="236">
        <v>0.10956770017647154</v>
      </c>
      <c r="P89" s="236">
        <v>8.0991442092392965E-2</v>
      </c>
      <c r="Q89" s="236">
        <v>0.30959473115798364</v>
      </c>
      <c r="R89" s="236">
        <v>5.9469373468846349</v>
      </c>
      <c r="S89" s="237"/>
      <c r="T89" s="237"/>
      <c r="U89" s="273"/>
      <c r="V89" s="273"/>
      <c r="W89" s="273"/>
      <c r="X89" s="273"/>
      <c r="Y89" s="273"/>
      <c r="Z89" s="273"/>
      <c r="AA89" s="273"/>
      <c r="AB89" s="273"/>
      <c r="AC89" s="237"/>
      <c r="AE89" s="237"/>
      <c r="AG89" s="237"/>
    </row>
    <row r="90" spans="2:33">
      <c r="B90" s="237" t="s">
        <v>360</v>
      </c>
      <c r="C90" s="237"/>
      <c r="D90" s="236">
        <v>4.6887920055307493E-3</v>
      </c>
      <c r="E90" s="236">
        <v>2.2638182651232128E-3</v>
      </c>
      <c r="F90" s="236">
        <v>1.7534844576866252E-4</v>
      </c>
      <c r="G90" s="236">
        <v>2.2563201974641576E-4</v>
      </c>
      <c r="H90" s="236">
        <v>1.2126450688867694E-4</v>
      </c>
      <c r="I90" s="236">
        <v>1.4224251527020122E-3</v>
      </c>
      <c r="J90" s="236">
        <v>1.7235172664329886E-2</v>
      </c>
      <c r="K90" s="236"/>
      <c r="L90" s="236">
        <v>4.6936550132475703E-3</v>
      </c>
      <c r="M90" s="236">
        <v>2.2665440062877699E-3</v>
      </c>
      <c r="N90" s="236">
        <v>1.7441196433706026E-4</v>
      </c>
      <c r="O90" s="236">
        <v>2.2577571718675052E-4</v>
      </c>
      <c r="P90" s="236">
        <v>1.2128414477955019E-4</v>
      </c>
      <c r="Q90" s="236">
        <v>1.4244347146500573E-3</v>
      </c>
      <c r="R90" s="236">
        <v>1.7264539954420732E-2</v>
      </c>
      <c r="S90" s="237"/>
      <c r="T90" s="237"/>
      <c r="U90" s="273"/>
      <c r="V90" s="273"/>
      <c r="W90" s="273"/>
      <c r="X90" s="273"/>
      <c r="Y90" s="273"/>
      <c r="Z90" s="273"/>
      <c r="AA90" s="273"/>
      <c r="AB90" s="273"/>
      <c r="AC90" s="237"/>
      <c r="AE90" s="237"/>
      <c r="AG90" s="237"/>
    </row>
    <row r="91" spans="2:33">
      <c r="B91" s="241" t="s">
        <v>360</v>
      </c>
      <c r="C91" s="241"/>
      <c r="D91" s="240">
        <v>69.07614273808916</v>
      </c>
      <c r="E91" s="240">
        <v>59.576533704928323</v>
      </c>
      <c r="F91" s="240">
        <v>152.74992910893474</v>
      </c>
      <c r="G91" s="240">
        <v>1279.1860728749784</v>
      </c>
      <c r="H91" s="240">
        <v>65988.332734037802</v>
      </c>
      <c r="I91" s="240">
        <v>42.289700317924314</v>
      </c>
      <c r="J91" s="240">
        <v>44.507020536837238</v>
      </c>
      <c r="K91" s="240"/>
      <c r="L91" s="240">
        <v>69.147785458599543</v>
      </c>
      <c r="M91" s="240">
        <v>59.648266587758606</v>
      </c>
      <c r="N91" s="240">
        <v>151.93413931586292</v>
      </c>
      <c r="O91" s="240">
        <v>1280.0007434372087</v>
      </c>
      <c r="P91" s="240">
        <v>65999.019056939593</v>
      </c>
      <c r="Q91" s="240">
        <v>42.349446008157429</v>
      </c>
      <c r="R91" s="240">
        <v>44.582856770604117</v>
      </c>
      <c r="S91" s="241"/>
      <c r="T91" s="241"/>
      <c r="U91" s="256"/>
      <c r="V91" s="256"/>
      <c r="W91" s="256"/>
      <c r="X91" s="256"/>
      <c r="Y91" s="256"/>
      <c r="Z91" s="256"/>
      <c r="AA91" s="256"/>
      <c r="AB91" s="256"/>
      <c r="AC91" s="241"/>
      <c r="AE91" s="237"/>
      <c r="AG91" s="237"/>
    </row>
    <row r="92" spans="2:33">
      <c r="B92" s="228"/>
      <c r="C92" s="228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7"/>
      <c r="T92" s="237"/>
      <c r="U92" s="273"/>
      <c r="V92" s="273"/>
      <c r="W92" s="273"/>
      <c r="X92" s="273"/>
      <c r="Y92" s="273"/>
      <c r="Z92" s="273"/>
      <c r="AA92" s="273"/>
      <c r="AB92" s="273"/>
      <c r="AC92" s="237"/>
      <c r="AE92" s="237"/>
      <c r="AG92" s="237"/>
    </row>
    <row r="93" spans="2:33">
      <c r="B93" s="237" t="s">
        <v>360</v>
      </c>
      <c r="C93" s="237"/>
      <c r="D93" s="236">
        <v>0.503632081467285</v>
      </c>
      <c r="E93" s="236">
        <v>0.14221343930411448</v>
      </c>
      <c r="F93" s="236">
        <v>0.17203646166375761</v>
      </c>
      <c r="G93" s="236">
        <v>6.6363146885081548E-2</v>
      </c>
      <c r="H93" s="236">
        <v>7.1746246633494187E-2</v>
      </c>
      <c r="I93" s="236">
        <v>4.0262023189527645E-2</v>
      </c>
      <c r="J93" s="236">
        <v>3.7466008566181554E-3</v>
      </c>
      <c r="K93" s="236"/>
      <c r="L93" s="236">
        <v>0.50362580168749571</v>
      </c>
      <c r="M93" s="236">
        <v>0.14221172570258814</v>
      </c>
      <c r="N93" s="236">
        <v>0.17203975115964334</v>
      </c>
      <c r="O93" s="236">
        <v>6.6364627188552044E-2</v>
      </c>
      <c r="P93" s="236">
        <v>7.1749969086527754E-2</v>
      </c>
      <c r="Q93" s="236">
        <v>4.026178042480457E-2</v>
      </c>
      <c r="R93" s="236">
        <v>3.7463447503866599E-3</v>
      </c>
      <c r="S93" s="237"/>
      <c r="T93" s="237"/>
      <c r="U93" s="273"/>
      <c r="V93" s="273"/>
      <c r="W93" s="273"/>
      <c r="X93" s="273"/>
      <c r="Y93" s="273"/>
      <c r="Z93" s="273"/>
      <c r="AA93" s="273"/>
      <c r="AB93" s="273"/>
      <c r="AC93" s="237"/>
      <c r="AE93" s="237"/>
      <c r="AG93" s="237"/>
    </row>
    <row r="94" spans="2:33">
      <c r="B94" s="237" t="s">
        <v>360</v>
      </c>
      <c r="C94" s="47" t="s">
        <v>367</v>
      </c>
      <c r="D94" s="236">
        <v>11543742.878553515</v>
      </c>
      <c r="E94" s="236">
        <v>3259671.9661277458</v>
      </c>
      <c r="F94" s="236">
        <v>3943244.9843081553</v>
      </c>
      <c r="G94" s="236">
        <v>1521108.6275940994</v>
      </c>
      <c r="H94" s="236">
        <v>1644494.5707696001</v>
      </c>
      <c r="I94" s="236">
        <v>922845.18912335637</v>
      </c>
      <c r="J94" s="236">
        <v>85875.778269255708</v>
      </c>
      <c r="K94" s="236"/>
      <c r="L94" s="236">
        <v>11640310.463627774</v>
      </c>
      <c r="M94" s="236">
        <v>3286941.6801119</v>
      </c>
      <c r="N94" s="236">
        <v>3976357.2654010751</v>
      </c>
      <c r="O94" s="236">
        <v>1533886.5913724664</v>
      </c>
      <c r="P94" s="236">
        <v>1658358.0768189521</v>
      </c>
      <c r="Q94" s="236">
        <v>930571.11528599553</v>
      </c>
      <c r="R94" s="236">
        <v>86589.320587157592</v>
      </c>
      <c r="S94" s="237"/>
      <c r="T94" s="237"/>
      <c r="U94" s="273"/>
      <c r="V94" s="273"/>
      <c r="W94" s="273"/>
      <c r="X94" s="273"/>
      <c r="Y94" s="273"/>
      <c r="Z94" s="273"/>
      <c r="AA94" s="273"/>
      <c r="AB94" s="273"/>
      <c r="AC94" s="237"/>
      <c r="AE94" s="237"/>
      <c r="AG94" s="237"/>
    </row>
    <row r="95" spans="2:33">
      <c r="B95" s="237" t="s">
        <v>360</v>
      </c>
      <c r="C95" s="237"/>
      <c r="D95" s="236">
        <v>0.85941561826304724</v>
      </c>
      <c r="E95" s="236">
        <v>1.4685283535217679</v>
      </c>
      <c r="F95" s="236">
        <v>1.683095473475005</v>
      </c>
      <c r="G95" s="236">
        <v>1.9596290959365608</v>
      </c>
      <c r="H95" s="236">
        <v>2.0180600969967926</v>
      </c>
      <c r="I95" s="236">
        <v>1.3123165611096967</v>
      </c>
      <c r="J95" s="236">
        <v>4.2544339128252959</v>
      </c>
      <c r="K95" s="236"/>
      <c r="L95" s="236">
        <v>0.86660494079941019</v>
      </c>
      <c r="M95" s="236">
        <v>1.4808137456085464</v>
      </c>
      <c r="N95" s="236">
        <v>1.6972287902346035</v>
      </c>
      <c r="O95" s="236">
        <v>1.9760908194142039</v>
      </c>
      <c r="P95" s="236">
        <v>2.0350728551171056</v>
      </c>
      <c r="Q95" s="236">
        <v>1.3233030851471392</v>
      </c>
      <c r="R95" s="236">
        <v>4.2897840278018329</v>
      </c>
      <c r="S95" s="237"/>
      <c r="T95" s="237"/>
      <c r="U95" s="273"/>
      <c r="V95" s="273"/>
      <c r="W95" s="273"/>
      <c r="X95" s="273"/>
      <c r="Y95" s="273"/>
      <c r="Z95" s="273"/>
      <c r="AA95" s="273"/>
      <c r="AB95" s="273"/>
      <c r="AC95" s="237"/>
      <c r="AE95" s="237"/>
      <c r="AG95" s="237"/>
    </row>
    <row r="96" spans="2:33">
      <c r="B96" s="237" t="s">
        <v>360</v>
      </c>
      <c r="C96" s="237"/>
      <c r="D96" s="236">
        <v>7.0756829054618277E-3</v>
      </c>
      <c r="E96" s="236">
        <v>5.9508604985449975E-3</v>
      </c>
      <c r="F96" s="236">
        <v>4.228241837637009E-3</v>
      </c>
      <c r="G96" s="236">
        <v>4.0380209116601404E-3</v>
      </c>
      <c r="H96" s="236">
        <v>3.0220315462314855E-3</v>
      </c>
      <c r="I96" s="236">
        <v>6.0379233821680972E-3</v>
      </c>
      <c r="J96" s="236">
        <v>1.2351037178808156E-2</v>
      </c>
      <c r="K96" s="236"/>
      <c r="L96" s="236">
        <v>7.1348735525613135E-3</v>
      </c>
      <c r="M96" s="236">
        <v>6.0006441164799328E-3</v>
      </c>
      <c r="N96" s="236">
        <v>4.2637472989547377E-3</v>
      </c>
      <c r="O96" s="236">
        <v>4.0719420163133251E-3</v>
      </c>
      <c r="P96" s="236">
        <v>3.0475080381379962E-3</v>
      </c>
      <c r="Q96" s="236">
        <v>6.0884720015639644E-3</v>
      </c>
      <c r="R96" s="236">
        <v>1.2453662015225088E-2</v>
      </c>
      <c r="S96" s="237"/>
      <c r="T96" s="237"/>
      <c r="U96" s="273"/>
      <c r="V96" s="273"/>
      <c r="W96" s="273"/>
      <c r="X96" s="273"/>
      <c r="Y96" s="273"/>
      <c r="Z96" s="273"/>
      <c r="AA96" s="273"/>
      <c r="AB96" s="273"/>
      <c r="AC96" s="237"/>
      <c r="AE96" s="237"/>
      <c r="AG96" s="237"/>
    </row>
    <row r="97" spans="2:33">
      <c r="B97" s="241" t="s">
        <v>360</v>
      </c>
      <c r="C97" s="241"/>
      <c r="D97" s="236">
        <v>104.2402567165726</v>
      </c>
      <c r="E97" s="236">
        <v>156.60781897861247</v>
      </c>
      <c r="F97" s="236">
        <v>3683.3154586757723</v>
      </c>
      <c r="G97" s="236">
        <v>22892.939211282439</v>
      </c>
      <c r="H97" s="236">
        <v>1644494.5707696001</v>
      </c>
      <c r="I97" s="236">
        <v>179.51170920271903</v>
      </c>
      <c r="J97" s="236">
        <v>31.894537761500743</v>
      </c>
      <c r="K97" s="236"/>
      <c r="L97" s="236">
        <v>105.11226417243354</v>
      </c>
      <c r="M97" s="236">
        <v>157.91796628042889</v>
      </c>
      <c r="N97" s="236">
        <v>3714.245055316841</v>
      </c>
      <c r="O97" s="236">
        <v>23085.249702930101</v>
      </c>
      <c r="P97" s="236">
        <v>1658358.0768189521</v>
      </c>
      <c r="Q97" s="236">
        <v>181.01455521305238</v>
      </c>
      <c r="R97" s="236">
        <v>32.159549652646511</v>
      </c>
      <c r="S97" s="237"/>
      <c r="T97" s="237"/>
      <c r="U97" s="273"/>
      <c r="V97" s="273"/>
      <c r="W97" s="273"/>
      <c r="X97" s="273"/>
      <c r="Y97" s="273"/>
      <c r="Z97" s="273"/>
      <c r="AA97" s="273"/>
      <c r="AB97" s="273"/>
      <c r="AC97" s="237"/>
      <c r="AE97" s="237"/>
      <c r="AG97" s="237"/>
    </row>
    <row r="98" spans="2:33">
      <c r="B98" s="228"/>
      <c r="C98" s="228"/>
      <c r="D98" s="244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E98" s="237"/>
      <c r="AG98" s="237"/>
    </row>
    <row r="99" spans="2:33">
      <c r="B99" s="237" t="s">
        <v>360</v>
      </c>
      <c r="C99" s="174" t="s">
        <v>373</v>
      </c>
      <c r="D99" s="245">
        <f>SUMIFS(D$8:D$97,$C$8:$C$97,$C99)</f>
        <v>18174326.909967914</v>
      </c>
      <c r="E99" s="245">
        <f t="shared" ref="E99:R109" si="2">SUMIFS(E$8:E$97,$C$8:$C$97,$C99)</f>
        <v>4888408.8707140833</v>
      </c>
      <c r="F99" s="245">
        <f t="shared" si="2"/>
        <v>8301616.9254153389</v>
      </c>
      <c r="G99" s="245">
        <f t="shared" si="2"/>
        <v>3265408.086718143</v>
      </c>
      <c r="H99" s="245">
        <f t="shared" si="2"/>
        <v>4299120.0282987151</v>
      </c>
      <c r="I99" s="245">
        <f t="shared" si="2"/>
        <v>1555215.5469970489</v>
      </c>
      <c r="J99" s="245">
        <f t="shared" si="2"/>
        <v>7667.0725029841196</v>
      </c>
      <c r="K99" s="245"/>
      <c r="L99" s="245">
        <f t="shared" si="2"/>
        <v>18820477.30669035</v>
      </c>
      <c r="M99" s="245">
        <f t="shared" si="2"/>
        <v>5060564.9125614073</v>
      </c>
      <c r="N99" s="245">
        <f t="shared" si="2"/>
        <v>8582040.4722751584</v>
      </c>
      <c r="O99" s="245">
        <f t="shared" si="2"/>
        <v>3375741.7773158001</v>
      </c>
      <c r="P99" s="245">
        <f t="shared" si="2"/>
        <v>4444503.6803497141</v>
      </c>
      <c r="Q99" s="245">
        <f t="shared" si="2"/>
        <v>1609121.9549412082</v>
      </c>
      <c r="R99" s="245">
        <f t="shared" si="2"/>
        <v>8949.6702792084761</v>
      </c>
      <c r="S99" s="245"/>
      <c r="T99" s="245"/>
      <c r="U99" s="273">
        <f>L99*(1+$AC$10/SUM($L$10:$R$10))</f>
        <v>18820477.30669035</v>
      </c>
      <c r="V99" s="273">
        <f t="shared" ref="V99:AA99" si="3">M99*(1+$AC$10/SUM($L$10:$R$10))</f>
        <v>5060564.9125614073</v>
      </c>
      <c r="W99" s="273">
        <f t="shared" si="3"/>
        <v>8582040.4722751584</v>
      </c>
      <c r="X99" s="273">
        <f t="shared" si="3"/>
        <v>3375741.7773158001</v>
      </c>
      <c r="Y99" s="273">
        <f t="shared" si="3"/>
        <v>4444503.6803497141</v>
      </c>
      <c r="Z99" s="273">
        <f t="shared" si="3"/>
        <v>1609121.9549412082</v>
      </c>
      <c r="AA99" s="273">
        <f t="shared" si="3"/>
        <v>8949.6702792084761</v>
      </c>
      <c r="AB99" s="245"/>
      <c r="AC99" s="245"/>
      <c r="AE99" s="237"/>
      <c r="AG99" s="237"/>
    </row>
    <row r="100" spans="2:33">
      <c r="B100" s="237" t="s">
        <v>360</v>
      </c>
      <c r="C100" s="174" t="s">
        <v>374</v>
      </c>
      <c r="D100" s="245">
        <f t="shared" ref="D100:D109" si="4">SUMIFS(D$8:D$97,$C$8:$C$97,$C100)</f>
        <v>74800744.789735973</v>
      </c>
      <c r="E100" s="245">
        <f t="shared" si="2"/>
        <v>25228246.676500786</v>
      </c>
      <c r="F100" s="245">
        <f t="shared" si="2"/>
        <v>43086918.24134817</v>
      </c>
      <c r="G100" s="245">
        <f t="shared" si="2"/>
        <v>17355406.237413004</v>
      </c>
      <c r="H100" s="245">
        <f t="shared" si="2"/>
        <v>24576211.470427603</v>
      </c>
      <c r="I100" s="245">
        <f t="shared" si="2"/>
        <v>7035794.6049795561</v>
      </c>
      <c r="J100" s="245">
        <f t="shared" si="2"/>
        <v>311958.30118599633</v>
      </c>
      <c r="K100" s="245"/>
      <c r="L100" s="245">
        <f t="shared" si="2"/>
        <v>74992337.814697072</v>
      </c>
      <c r="M100" s="245">
        <f t="shared" si="2"/>
        <v>25293796.946338363</v>
      </c>
      <c r="N100" s="245">
        <f t="shared" si="2"/>
        <v>43198840.280396625</v>
      </c>
      <c r="O100" s="245">
        <f t="shared" si="2"/>
        <v>17400549.035833105</v>
      </c>
      <c r="P100" s="245">
        <f t="shared" si="2"/>
        <v>24640387.582710676</v>
      </c>
      <c r="Q100" s="245">
        <f t="shared" si="2"/>
        <v>7053924.7022799542</v>
      </c>
      <c r="R100" s="245">
        <f t="shared" si="2"/>
        <v>312814.76343550091</v>
      </c>
      <c r="S100" s="245"/>
      <c r="T100" s="245"/>
      <c r="U100" s="273">
        <f t="shared" ref="U100:U109" si="5">L100*(1+$AC$10/SUM($L$10:$R$10))</f>
        <v>74992337.814697072</v>
      </c>
      <c r="V100" s="273">
        <f t="shared" ref="V100:V109" si="6">M100*(1+$AC$10/SUM($L$10:$R$10))</f>
        <v>25293796.946338363</v>
      </c>
      <c r="W100" s="273">
        <f t="shared" ref="W100:W109" si="7">N100*(1+$AC$10/SUM($L$10:$R$10))</f>
        <v>43198840.280396625</v>
      </c>
      <c r="X100" s="273">
        <f t="shared" ref="X100:X109" si="8">O100*(1+$AC$10/SUM($L$10:$R$10))</f>
        <v>17400549.035833105</v>
      </c>
      <c r="Y100" s="273">
        <f t="shared" ref="Y100:Y109" si="9">P100*(1+$AC$10/SUM($L$10:$R$10))</f>
        <v>24640387.582710676</v>
      </c>
      <c r="Z100" s="273">
        <f t="shared" ref="Z100:Z109" si="10">Q100*(1+$AC$10/SUM($L$10:$R$10))</f>
        <v>7053924.7022799542</v>
      </c>
      <c r="AA100" s="273">
        <f t="shared" ref="AA100:AA109" si="11">R100*(1+$AC$10/SUM($L$10:$R$10))</f>
        <v>312814.76343550091</v>
      </c>
      <c r="AB100" s="245"/>
      <c r="AC100" s="245"/>
      <c r="AE100" s="237"/>
      <c r="AG100" s="237"/>
    </row>
    <row r="101" spans="2:33">
      <c r="B101" s="237" t="s">
        <v>360</v>
      </c>
      <c r="C101" s="47" t="s">
        <v>375</v>
      </c>
      <c r="D101" s="245">
        <f t="shared" si="4"/>
        <v>23908385.117948242</v>
      </c>
      <c r="E101" s="245">
        <f t="shared" si="2"/>
        <v>8576115.7276739664</v>
      </c>
      <c r="F101" s="245">
        <f t="shared" si="2"/>
        <v>16807967.091732789</v>
      </c>
      <c r="G101" s="245">
        <f t="shared" si="2"/>
        <v>6781090.510909535</v>
      </c>
      <c r="H101" s="245">
        <f t="shared" si="2"/>
        <v>8917375.8059702758</v>
      </c>
      <c r="I101" s="245">
        <f t="shared" si="2"/>
        <v>2488951.8310406734</v>
      </c>
      <c r="J101" s="245">
        <f t="shared" si="2"/>
        <v>-89180.964023771332</v>
      </c>
      <c r="K101" s="245"/>
      <c r="L101" s="245">
        <f t="shared" si="2"/>
        <v>25221838.201276489</v>
      </c>
      <c r="M101" s="245">
        <f t="shared" si="2"/>
        <v>8986071.2783130556</v>
      </c>
      <c r="N101" s="245">
        <f t="shared" si="2"/>
        <v>17482947.822452333</v>
      </c>
      <c r="O101" s="245">
        <f t="shared" si="2"/>
        <v>7052229.998696031</v>
      </c>
      <c r="P101" s="245">
        <f t="shared" si="2"/>
        <v>9273680.7245262656</v>
      </c>
      <c r="Q101" s="245">
        <f t="shared" si="2"/>
        <v>2605012.2950158794</v>
      </c>
      <c r="R101" s="245">
        <f t="shared" si="2"/>
        <v>-84031.579650802072</v>
      </c>
      <c r="S101" s="245"/>
      <c r="T101" s="245"/>
      <c r="U101" s="273">
        <f t="shared" si="5"/>
        <v>25221838.201276489</v>
      </c>
      <c r="V101" s="273">
        <f t="shared" si="6"/>
        <v>8986071.2783130556</v>
      </c>
      <c r="W101" s="273">
        <f t="shared" si="7"/>
        <v>17482947.822452333</v>
      </c>
      <c r="X101" s="273">
        <f t="shared" si="8"/>
        <v>7052229.998696031</v>
      </c>
      <c r="Y101" s="273">
        <f t="shared" si="9"/>
        <v>9273680.7245262656</v>
      </c>
      <c r="Z101" s="273">
        <f t="shared" si="10"/>
        <v>2605012.2950158794</v>
      </c>
      <c r="AA101" s="273">
        <f t="shared" si="11"/>
        <v>-84031.579650802072</v>
      </c>
      <c r="AB101" s="245"/>
      <c r="AC101" s="245"/>
      <c r="AE101" s="237"/>
      <c r="AG101" s="237"/>
    </row>
    <row r="102" spans="2:33">
      <c r="B102" s="237" t="s">
        <v>360</v>
      </c>
      <c r="C102" s="47" t="s">
        <v>376</v>
      </c>
      <c r="D102" s="245">
        <f t="shared" si="4"/>
        <v>0.43158937725181851</v>
      </c>
      <c r="E102" s="245">
        <f t="shared" si="2"/>
        <v>0.13469064661089561</v>
      </c>
      <c r="F102" s="245">
        <f t="shared" si="2"/>
        <v>0.22167362109439634</v>
      </c>
      <c r="G102" s="245">
        <f t="shared" si="2"/>
        <v>8.9042190894612572E-2</v>
      </c>
      <c r="H102" s="245">
        <f t="shared" si="2"/>
        <v>0.11699011834335594</v>
      </c>
      <c r="I102" s="245">
        <f t="shared" si="2"/>
        <v>3.8134262717259032E-2</v>
      </c>
      <c r="J102" s="245">
        <f t="shared" si="2"/>
        <v>1.6953536073853236E-3</v>
      </c>
      <c r="K102" s="245"/>
      <c r="L102" s="245">
        <f t="shared" si="2"/>
        <v>0.43158937725181851</v>
      </c>
      <c r="M102" s="245">
        <f t="shared" si="2"/>
        <v>0.13469064661089561</v>
      </c>
      <c r="N102" s="245">
        <f t="shared" si="2"/>
        <v>0.22167362109439634</v>
      </c>
      <c r="O102" s="245">
        <f t="shared" si="2"/>
        <v>8.9042190894612572E-2</v>
      </c>
      <c r="P102" s="245">
        <f t="shared" si="2"/>
        <v>0.11699011834335594</v>
      </c>
      <c r="Q102" s="245">
        <f t="shared" si="2"/>
        <v>3.8134262717259032E-2</v>
      </c>
      <c r="R102" s="245">
        <f t="shared" si="2"/>
        <v>1.6953536073853236E-3</v>
      </c>
      <c r="S102" s="245"/>
      <c r="T102" s="245"/>
      <c r="U102" s="273">
        <f t="shared" si="5"/>
        <v>0.43158937725181851</v>
      </c>
      <c r="V102" s="273">
        <f t="shared" si="6"/>
        <v>0.13469064661089561</v>
      </c>
      <c r="W102" s="273">
        <f t="shared" si="7"/>
        <v>0.22167362109439634</v>
      </c>
      <c r="X102" s="273">
        <f t="shared" si="8"/>
        <v>8.9042190894612572E-2</v>
      </c>
      <c r="Y102" s="273">
        <f t="shared" si="9"/>
        <v>0.11699011834335594</v>
      </c>
      <c r="Z102" s="273">
        <f t="shared" si="10"/>
        <v>3.8134262717259032E-2</v>
      </c>
      <c r="AA102" s="273">
        <f t="shared" si="11"/>
        <v>1.6953536073853236E-3</v>
      </c>
      <c r="AB102" s="245"/>
      <c r="AC102" s="245"/>
      <c r="AE102" s="237"/>
      <c r="AG102" s="237"/>
    </row>
    <row r="103" spans="2:33">
      <c r="B103" s="237" t="s">
        <v>360</v>
      </c>
      <c r="C103" s="47" t="s">
        <v>368</v>
      </c>
      <c r="D103" s="245">
        <f t="shared" si="4"/>
        <v>6917340.7249415638</v>
      </c>
      <c r="E103" s="245">
        <f t="shared" si="2"/>
        <v>1710307.134440297</v>
      </c>
      <c r="F103" s="245">
        <f t="shared" si="2"/>
        <v>1909623.0339398903</v>
      </c>
      <c r="G103" s="245">
        <f t="shared" si="2"/>
        <v>724409.72721849382</v>
      </c>
      <c r="H103" s="245">
        <f t="shared" si="2"/>
        <v>630760.62770454236</v>
      </c>
      <c r="I103" s="245">
        <f t="shared" si="2"/>
        <v>592569.52522254328</v>
      </c>
      <c r="J103" s="245">
        <f t="shared" si="2"/>
        <v>30456.478524085051</v>
      </c>
      <c r="K103" s="245"/>
      <c r="L103" s="245">
        <f t="shared" si="2"/>
        <v>7122931.2769537289</v>
      </c>
      <c r="M103" s="245">
        <f t="shared" si="2"/>
        <v>1758860.8870601358</v>
      </c>
      <c r="N103" s="245">
        <f t="shared" si="2"/>
        <v>1977859.1737527947</v>
      </c>
      <c r="O103" s="245">
        <f t="shared" si="2"/>
        <v>750716.03702364652</v>
      </c>
      <c r="P103" s="245">
        <f t="shared" si="2"/>
        <v>656943.06105809694</v>
      </c>
      <c r="Q103" s="245">
        <f t="shared" si="2"/>
        <v>611538.19181990623</v>
      </c>
      <c r="R103" s="245">
        <f t="shared" si="2"/>
        <v>30125.01380097782</v>
      </c>
      <c r="S103" s="245"/>
      <c r="T103" s="245"/>
      <c r="U103" s="273">
        <f t="shared" si="5"/>
        <v>7122931.2769537289</v>
      </c>
      <c r="V103" s="273">
        <f t="shared" si="6"/>
        <v>1758860.8870601358</v>
      </c>
      <c r="W103" s="273">
        <f t="shared" si="7"/>
        <v>1977859.1737527947</v>
      </c>
      <c r="X103" s="273">
        <f t="shared" si="8"/>
        <v>750716.03702364652</v>
      </c>
      <c r="Y103" s="273">
        <f t="shared" si="9"/>
        <v>656943.06105809694</v>
      </c>
      <c r="Z103" s="273">
        <f t="shared" si="10"/>
        <v>611538.19181990623</v>
      </c>
      <c r="AA103" s="273">
        <f t="shared" si="11"/>
        <v>30125.01380097782</v>
      </c>
      <c r="AB103" s="245"/>
      <c r="AC103" s="245"/>
      <c r="AE103" s="237"/>
      <c r="AG103" s="237"/>
    </row>
    <row r="104" spans="2:33">
      <c r="B104" s="237" t="s">
        <v>360</v>
      </c>
      <c r="C104" s="47" t="s">
        <v>369</v>
      </c>
      <c r="D104" s="245">
        <f t="shared" si="4"/>
        <v>26341367.258514147</v>
      </c>
      <c r="E104" s="245">
        <f t="shared" si="2"/>
        <v>6186729.9744096268</v>
      </c>
      <c r="F104" s="245">
        <f t="shared" si="2"/>
        <v>5251716.120294692</v>
      </c>
      <c r="G104" s="245">
        <f t="shared" si="2"/>
        <v>1974937.1039183924</v>
      </c>
      <c r="H104" s="245">
        <f t="shared" si="2"/>
        <v>255522.06822018427</v>
      </c>
      <c r="I104" s="245">
        <f t="shared" si="2"/>
        <v>1615761.553223335</v>
      </c>
      <c r="J104" s="245">
        <f t="shared" si="2"/>
        <v>474114.75747846212</v>
      </c>
      <c r="K104" s="245"/>
      <c r="L104" s="245">
        <f t="shared" si="2"/>
        <v>26909013.065472148</v>
      </c>
      <c r="M104" s="245">
        <f t="shared" si="2"/>
        <v>6300714.7636093395</v>
      </c>
      <c r="N104" s="245">
        <f t="shared" si="2"/>
        <v>5366189.7413654039</v>
      </c>
      <c r="O104" s="245">
        <f t="shared" si="2"/>
        <v>2019478.1414834941</v>
      </c>
      <c r="P104" s="245">
        <f t="shared" si="2"/>
        <v>256889.68326982835</v>
      </c>
      <c r="Q104" s="245">
        <f t="shared" si="2"/>
        <v>1646622.9562547575</v>
      </c>
      <c r="R104" s="245">
        <f t="shared" si="2"/>
        <v>489068.43510829919</v>
      </c>
      <c r="S104" s="245"/>
      <c r="T104" s="245"/>
      <c r="U104" s="273">
        <f t="shared" si="5"/>
        <v>26909013.065472148</v>
      </c>
      <c r="V104" s="273">
        <f t="shared" si="6"/>
        <v>6300714.7636093395</v>
      </c>
      <c r="W104" s="273">
        <f t="shared" si="7"/>
        <v>5366189.7413654039</v>
      </c>
      <c r="X104" s="273">
        <f t="shared" si="8"/>
        <v>2019478.1414834941</v>
      </c>
      <c r="Y104" s="273">
        <f t="shared" si="9"/>
        <v>256889.68326982835</v>
      </c>
      <c r="Z104" s="273">
        <f t="shared" si="10"/>
        <v>1646622.9562547575</v>
      </c>
      <c r="AA104" s="273">
        <f t="shared" si="11"/>
        <v>489068.43510829919</v>
      </c>
      <c r="AB104" s="245"/>
      <c r="AC104" s="245"/>
      <c r="AE104" s="237"/>
      <c r="AG104" s="237"/>
    </row>
    <row r="105" spans="2:33">
      <c r="B105" s="237" t="s">
        <v>360</v>
      </c>
      <c r="C105" s="47" t="s">
        <v>370</v>
      </c>
      <c r="D105" s="245">
        <f t="shared" si="4"/>
        <v>5662139.8238369003</v>
      </c>
      <c r="E105" s="245">
        <f t="shared" si="2"/>
        <v>1971002.2614203342</v>
      </c>
      <c r="F105" s="245">
        <f t="shared" si="2"/>
        <v>655867.16664002836</v>
      </c>
      <c r="G105" s="245">
        <f t="shared" si="2"/>
        <v>130592.13150562669</v>
      </c>
      <c r="H105" s="245">
        <f t="shared" si="2"/>
        <v>12819.439635497762</v>
      </c>
      <c r="I105" s="245">
        <f t="shared" si="2"/>
        <v>930829.95722248522</v>
      </c>
      <c r="J105" s="245">
        <f t="shared" si="2"/>
        <v>16195.261057885549</v>
      </c>
      <c r="K105" s="245"/>
      <c r="L105" s="245">
        <f t="shared" si="2"/>
        <v>5873655.0127810109</v>
      </c>
      <c r="M105" s="245">
        <f t="shared" si="2"/>
        <v>2053080.5485860631</v>
      </c>
      <c r="N105" s="245">
        <f t="shared" si="2"/>
        <v>677064.25112106127</v>
      </c>
      <c r="O105" s="245">
        <f t="shared" si="2"/>
        <v>132497.40850580303</v>
      </c>
      <c r="P105" s="245">
        <f t="shared" si="2"/>
        <v>12105.741411459163</v>
      </c>
      <c r="Q105" s="245">
        <f t="shared" si="2"/>
        <v>974988.23200541688</v>
      </c>
      <c r="R105" s="245">
        <f t="shared" si="2"/>
        <v>15686.637690919455</v>
      </c>
      <c r="S105" s="245"/>
      <c r="T105" s="245"/>
      <c r="U105" s="273">
        <f t="shared" si="5"/>
        <v>5873655.0127810109</v>
      </c>
      <c r="V105" s="273">
        <f t="shared" si="6"/>
        <v>2053080.5485860631</v>
      </c>
      <c r="W105" s="273">
        <f t="shared" si="7"/>
        <v>677064.25112106127</v>
      </c>
      <c r="X105" s="273">
        <f t="shared" si="8"/>
        <v>132497.40850580303</v>
      </c>
      <c r="Y105" s="273">
        <f t="shared" si="9"/>
        <v>12105.741411459163</v>
      </c>
      <c r="Z105" s="273">
        <f t="shared" si="10"/>
        <v>974988.23200541688</v>
      </c>
      <c r="AA105" s="273">
        <f t="shared" si="11"/>
        <v>15686.637690919455</v>
      </c>
      <c r="AB105" s="245"/>
      <c r="AC105" s="245"/>
      <c r="AE105" s="237"/>
      <c r="AG105" s="237"/>
    </row>
    <row r="106" spans="2:33">
      <c r="B106" s="237" t="s">
        <v>360</v>
      </c>
      <c r="C106" s="47" t="s">
        <v>371</v>
      </c>
      <c r="D106" s="245">
        <f t="shared" si="4"/>
        <v>1178104.1600269589</v>
      </c>
      <c r="E106" s="245">
        <f t="shared" si="2"/>
        <v>300113.73681280972</v>
      </c>
      <c r="F106" s="245">
        <f t="shared" si="2"/>
        <v>137748.00694095413</v>
      </c>
      <c r="G106" s="245">
        <f t="shared" si="2"/>
        <v>24131.447784378604</v>
      </c>
      <c r="H106" s="245">
        <f t="shared" si="2"/>
        <v>11592.125492812069</v>
      </c>
      <c r="I106" s="245">
        <f t="shared" si="2"/>
        <v>90718.261281894796</v>
      </c>
      <c r="J106" s="245">
        <f t="shared" si="2"/>
        <v>18775.372019457038</v>
      </c>
      <c r="K106" s="245"/>
      <c r="L106" s="245">
        <f t="shared" si="2"/>
        <v>1206027.408004038</v>
      </c>
      <c r="M106" s="245">
        <f t="shared" si="2"/>
        <v>307044.35521858098</v>
      </c>
      <c r="N106" s="245">
        <f t="shared" si="2"/>
        <v>140714.40196306366</v>
      </c>
      <c r="O106" s="245">
        <f t="shared" si="2"/>
        <v>24448.118839999996</v>
      </c>
      <c r="P106" s="245">
        <f t="shared" si="2"/>
        <v>11813.794933752339</v>
      </c>
      <c r="Q106" s="245">
        <f t="shared" si="2"/>
        <v>92940.730635873289</v>
      </c>
      <c r="R106" s="245">
        <f t="shared" si="2"/>
        <v>18653.111594356589</v>
      </c>
      <c r="S106" s="245"/>
      <c r="T106" s="245"/>
      <c r="U106" s="273">
        <f t="shared" si="5"/>
        <v>1206027.408004038</v>
      </c>
      <c r="V106" s="273">
        <f t="shared" si="6"/>
        <v>307044.35521858098</v>
      </c>
      <c r="W106" s="273">
        <f t="shared" si="7"/>
        <v>140714.40196306366</v>
      </c>
      <c r="X106" s="273">
        <f t="shared" si="8"/>
        <v>24448.118839999996</v>
      </c>
      <c r="Y106" s="273">
        <f t="shared" si="9"/>
        <v>11813.794933752339</v>
      </c>
      <c r="Z106" s="273">
        <f t="shared" si="10"/>
        <v>92940.730635873289</v>
      </c>
      <c r="AA106" s="273">
        <f t="shared" si="11"/>
        <v>18653.111594356589</v>
      </c>
      <c r="AB106" s="245"/>
      <c r="AC106" s="245"/>
      <c r="AE106" s="237"/>
      <c r="AG106" s="237"/>
    </row>
    <row r="107" spans="2:33">
      <c r="B107" s="237" t="s">
        <v>360</v>
      </c>
      <c r="C107" s="47" t="s">
        <v>372</v>
      </c>
      <c r="D107" s="245">
        <f t="shared" si="4"/>
        <v>4318403.7675037971</v>
      </c>
      <c r="E107" s="245">
        <f t="shared" si="2"/>
        <v>1313032.5002491295</v>
      </c>
      <c r="F107" s="245">
        <f t="shared" si="2"/>
        <v>342986.46870296303</v>
      </c>
      <c r="G107" s="245">
        <f t="shared" si="2"/>
        <v>103779.89286533528</v>
      </c>
      <c r="H107" s="245">
        <f t="shared" si="2"/>
        <v>8874.2946819316548</v>
      </c>
      <c r="I107" s="245">
        <f t="shared" si="2"/>
        <v>40331.021323995286</v>
      </c>
      <c r="J107" s="245">
        <f t="shared" si="2"/>
        <v>4961.7304800250831</v>
      </c>
      <c r="K107" s="245"/>
      <c r="L107" s="245">
        <f t="shared" si="2"/>
        <v>4504934.0501885526</v>
      </c>
      <c r="M107" s="245">
        <f t="shared" si="2"/>
        <v>1373023.9357716471</v>
      </c>
      <c r="N107" s="245">
        <f t="shared" si="2"/>
        <v>353543.34330397996</v>
      </c>
      <c r="O107" s="245">
        <f t="shared" si="2"/>
        <v>106353.70156436889</v>
      </c>
      <c r="P107" s="245">
        <f t="shared" si="2"/>
        <v>8440.5042215272824</v>
      </c>
      <c r="Q107" s="245">
        <f t="shared" si="2"/>
        <v>38906.534596399819</v>
      </c>
      <c r="R107" s="245">
        <f t="shared" si="2"/>
        <v>4358.8821303471177</v>
      </c>
      <c r="S107" s="245"/>
      <c r="T107" s="245"/>
      <c r="U107" s="273">
        <f t="shared" si="5"/>
        <v>4504934.0501885526</v>
      </c>
      <c r="V107" s="273">
        <f t="shared" si="6"/>
        <v>1373023.9357716471</v>
      </c>
      <c r="W107" s="273">
        <f t="shared" si="7"/>
        <v>353543.34330397996</v>
      </c>
      <c r="X107" s="273">
        <f t="shared" si="8"/>
        <v>106353.70156436889</v>
      </c>
      <c r="Y107" s="273">
        <f t="shared" si="9"/>
        <v>8440.5042215272824</v>
      </c>
      <c r="Z107" s="273">
        <f t="shared" si="10"/>
        <v>38906.534596399819</v>
      </c>
      <c r="AA107" s="273">
        <f t="shared" si="11"/>
        <v>4358.8821303471177</v>
      </c>
      <c r="AB107" s="245"/>
      <c r="AC107" s="245"/>
      <c r="AE107" s="237"/>
      <c r="AG107" s="237"/>
    </row>
    <row r="108" spans="2:33">
      <c r="B108" s="237" t="s">
        <v>360</v>
      </c>
      <c r="C108" s="47" t="s">
        <v>366</v>
      </c>
      <c r="D108" s="245">
        <f t="shared" si="4"/>
        <v>7649609.238577296</v>
      </c>
      <c r="E108" s="245">
        <f t="shared" si="2"/>
        <v>1240039.9802741716</v>
      </c>
      <c r="F108" s="245">
        <f t="shared" si="2"/>
        <v>163529.40674508052</v>
      </c>
      <c r="G108" s="245">
        <f t="shared" si="2"/>
        <v>84994.807953248543</v>
      </c>
      <c r="H108" s="245">
        <f t="shared" si="2"/>
        <v>65988.332734037802</v>
      </c>
      <c r="I108" s="245">
        <f t="shared" si="2"/>
        <v>217405.57572092791</v>
      </c>
      <c r="J108" s="245">
        <f t="shared" si="2"/>
        <v>119834.78348634967</v>
      </c>
      <c r="K108" s="245"/>
      <c r="L108" s="245">
        <f t="shared" si="2"/>
        <v>7657543.0749927284</v>
      </c>
      <c r="M108" s="245">
        <f t="shared" si="2"/>
        <v>1241533.0453633631</v>
      </c>
      <c r="N108" s="245">
        <f t="shared" si="2"/>
        <v>162656.04711952817</v>
      </c>
      <c r="O108" s="245">
        <f t="shared" si="2"/>
        <v>85048.938286161181</v>
      </c>
      <c r="P108" s="245">
        <f t="shared" si="2"/>
        <v>65999.019056939593</v>
      </c>
      <c r="Q108" s="245">
        <f t="shared" si="2"/>
        <v>217712.72015761881</v>
      </c>
      <c r="R108" s="245">
        <f t="shared" si="2"/>
        <v>120038.97191649524</v>
      </c>
      <c r="S108" s="245"/>
      <c r="T108" s="245"/>
      <c r="U108" s="273">
        <f t="shared" si="5"/>
        <v>7657543.0749927284</v>
      </c>
      <c r="V108" s="273">
        <f t="shared" si="6"/>
        <v>1241533.0453633631</v>
      </c>
      <c r="W108" s="273">
        <f t="shared" si="7"/>
        <v>162656.04711952817</v>
      </c>
      <c r="X108" s="273">
        <f t="shared" si="8"/>
        <v>85048.938286161181</v>
      </c>
      <c r="Y108" s="273">
        <f t="shared" si="9"/>
        <v>65999.019056939593</v>
      </c>
      <c r="Z108" s="273">
        <f t="shared" si="10"/>
        <v>217712.72015761881</v>
      </c>
      <c r="AA108" s="273">
        <f t="shared" si="11"/>
        <v>120038.97191649524</v>
      </c>
      <c r="AB108" s="245"/>
      <c r="AC108" s="245"/>
      <c r="AE108" s="237"/>
      <c r="AG108" s="237"/>
    </row>
    <row r="109" spans="2:33">
      <c r="B109" s="241" t="s">
        <v>360</v>
      </c>
      <c r="C109" s="211" t="s">
        <v>367</v>
      </c>
      <c r="D109" s="259">
        <f t="shared" si="4"/>
        <v>11543742.878553515</v>
      </c>
      <c r="E109" s="259">
        <f t="shared" si="2"/>
        <v>3259671.9661277458</v>
      </c>
      <c r="F109" s="259">
        <f t="shared" si="2"/>
        <v>3943244.9843081553</v>
      </c>
      <c r="G109" s="259">
        <f t="shared" si="2"/>
        <v>1521108.6275940994</v>
      </c>
      <c r="H109" s="259">
        <f t="shared" si="2"/>
        <v>1644494.5707696001</v>
      </c>
      <c r="I109" s="259">
        <f t="shared" si="2"/>
        <v>922845.18912335637</v>
      </c>
      <c r="J109" s="259">
        <f t="shared" si="2"/>
        <v>85875.778269255708</v>
      </c>
      <c r="K109" s="245"/>
      <c r="L109" s="259">
        <f t="shared" si="2"/>
        <v>11640310.463627774</v>
      </c>
      <c r="M109" s="259">
        <f t="shared" si="2"/>
        <v>3286941.6801119</v>
      </c>
      <c r="N109" s="259">
        <f t="shared" si="2"/>
        <v>3976357.2654010751</v>
      </c>
      <c r="O109" s="259">
        <f t="shared" si="2"/>
        <v>1533886.5913724664</v>
      </c>
      <c r="P109" s="259">
        <f t="shared" si="2"/>
        <v>1658358.0768189521</v>
      </c>
      <c r="Q109" s="259">
        <f t="shared" si="2"/>
        <v>930571.11528599553</v>
      </c>
      <c r="R109" s="259">
        <f t="shared" si="2"/>
        <v>86589.320587157592</v>
      </c>
      <c r="S109" s="259"/>
      <c r="T109" s="259"/>
      <c r="U109" s="273">
        <f t="shared" si="5"/>
        <v>11640310.463627774</v>
      </c>
      <c r="V109" s="273">
        <f t="shared" si="6"/>
        <v>3286941.6801119</v>
      </c>
      <c r="W109" s="273">
        <f t="shared" si="7"/>
        <v>3976357.2654010751</v>
      </c>
      <c r="X109" s="273">
        <f t="shared" si="8"/>
        <v>1533886.5913724664</v>
      </c>
      <c r="Y109" s="273">
        <f t="shared" si="9"/>
        <v>1658358.0768189521</v>
      </c>
      <c r="Z109" s="273">
        <f t="shared" si="10"/>
        <v>930571.11528599553</v>
      </c>
      <c r="AA109" s="273">
        <f t="shared" si="11"/>
        <v>86589.320587157592</v>
      </c>
      <c r="AB109" s="259"/>
      <c r="AC109" s="259"/>
      <c r="AE109" s="237"/>
      <c r="AG109" s="237"/>
    </row>
    <row r="110" spans="2:33">
      <c r="B110" s="237"/>
      <c r="C110" s="237"/>
      <c r="D110" s="244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E110" s="237"/>
      <c r="AG110" s="237"/>
    </row>
    <row r="111" spans="2:33">
      <c r="B111" s="237" t="s">
        <v>360</v>
      </c>
      <c r="C111" s="174" t="s">
        <v>373</v>
      </c>
      <c r="D111" s="245">
        <f>D99</f>
        <v>18174326.909967914</v>
      </c>
      <c r="E111" s="245">
        <f t="shared" ref="E111:J111" si="12">E99</f>
        <v>4888408.8707140833</v>
      </c>
      <c r="F111" s="245">
        <f t="shared" si="12"/>
        <v>8301616.9254153389</v>
      </c>
      <c r="G111" s="245">
        <f t="shared" si="12"/>
        <v>3265408.086718143</v>
      </c>
      <c r="H111" s="245">
        <f t="shared" si="12"/>
        <v>4299120.0282987151</v>
      </c>
      <c r="I111" s="245">
        <f t="shared" si="12"/>
        <v>1555215.5469970489</v>
      </c>
      <c r="J111" s="245">
        <f t="shared" si="12"/>
        <v>7667.0725029841196</v>
      </c>
      <c r="K111" s="237">
        <f>SUMIFS(Sch.47T!F:F,Sch.47T!A:A,"Present",Sch.47T!B:B,"$")*G99/SUM(G$99:G$109)</f>
        <v>33898.457683491913</v>
      </c>
      <c r="L111" s="245">
        <f ca="1">L99*(1-($S111-$K111)/SUM($L99:$R99))</f>
        <v>18819436.512760695</v>
      </c>
      <c r="M111" s="245">
        <f t="shared" ref="M111:R111" ca="1" si="13">M99*(1-($S111-$K111)/SUM($L99:$R99))</f>
        <v>5060285.0575313894</v>
      </c>
      <c r="N111" s="245">
        <f t="shared" ca="1" si="13"/>
        <v>8581565.8756173775</v>
      </c>
      <c r="O111" s="245">
        <f t="shared" ca="1" si="13"/>
        <v>3375555.0949329543</v>
      </c>
      <c r="P111" s="245">
        <f t="shared" ca="1" si="13"/>
        <v>4444257.8942107419</v>
      </c>
      <c r="Q111" s="245">
        <f t="shared" ca="1" si="13"/>
        <v>1609032.9686559252</v>
      </c>
      <c r="R111" s="245">
        <f t="shared" ca="1" si="13"/>
        <v>8949.1753522017261</v>
      </c>
      <c r="S111" s="245">
        <f ca="1">S$128*O99/SUM(O$99:O$109)</f>
        <v>36215.653035052484</v>
      </c>
      <c r="T111" s="245"/>
      <c r="U111" s="237">
        <f ca="1">U99*(1-($AB111-$K111)/SUM($U99:$AA99))</f>
        <v>18819058.078419454</v>
      </c>
      <c r="V111" s="245">
        <f t="shared" ref="V111:AA111" ca="1" si="14">V99*(1-($AB111-$K111)/SUM($U99:$AA99))</f>
        <v>5060183.3017938603</v>
      </c>
      <c r="W111" s="245">
        <f t="shared" ca="1" si="14"/>
        <v>8581393.3115118183</v>
      </c>
      <c r="X111" s="245">
        <f t="shared" ca="1" si="14"/>
        <v>3375487.216919295</v>
      </c>
      <c r="Y111" s="245">
        <f t="shared" ca="1" si="14"/>
        <v>4444168.5259766094</v>
      </c>
      <c r="Z111" s="245">
        <f t="shared" ca="1" si="14"/>
        <v>1609000.6130999492</v>
      </c>
      <c r="AA111" s="245">
        <f t="shared" ca="1" si="14"/>
        <v>8948.995395948692</v>
      </c>
      <c r="AB111" s="245">
        <f ca="1">AB$128*X99/SUM(X$99:X$109)</f>
        <v>37058.188979399689</v>
      </c>
      <c r="AC111" s="245"/>
      <c r="AE111" s="237"/>
      <c r="AG111" s="237"/>
    </row>
    <row r="112" spans="2:33">
      <c r="B112" s="237" t="s">
        <v>360</v>
      </c>
      <c r="C112" s="174" t="s">
        <v>374</v>
      </c>
      <c r="D112" s="245">
        <f t="shared" ref="D112:J112" si="15">D100</f>
        <v>74800744.789735973</v>
      </c>
      <c r="E112" s="245">
        <f t="shared" si="15"/>
        <v>25228246.676500786</v>
      </c>
      <c r="F112" s="245">
        <f t="shared" si="15"/>
        <v>43086918.24134817</v>
      </c>
      <c r="G112" s="245">
        <f t="shared" si="15"/>
        <v>17355406.237413004</v>
      </c>
      <c r="H112" s="245">
        <f t="shared" si="15"/>
        <v>24576211.470427603</v>
      </c>
      <c r="I112" s="245">
        <f t="shared" si="15"/>
        <v>7035794.6049795561</v>
      </c>
      <c r="J112" s="245">
        <f t="shared" si="15"/>
        <v>311958.30118599633</v>
      </c>
      <c r="K112" s="237">
        <f>SUMIFS(Sch.47T!F:F,Sch.47T!A:A,"Present",Sch.47T!B:B,"$")*G100/SUM(G$99:G$109)</f>
        <v>180167.83455388615</v>
      </c>
      <c r="L112" s="245">
        <f t="shared" ref="L112:R121" ca="1" si="16">L100*(1-($S112-$K112)/SUM($L100:$R100))</f>
        <v>74989807.323947176</v>
      </c>
      <c r="M112" s="245">
        <f t="shared" ca="1" si="16"/>
        <v>25292943.449553657</v>
      </c>
      <c r="N112" s="245">
        <f t="shared" ca="1" si="16"/>
        <v>43197382.607934058</v>
      </c>
      <c r="O112" s="245">
        <f t="shared" ca="1" si="16"/>
        <v>17399961.88346979</v>
      </c>
      <c r="P112" s="245">
        <f t="shared" ca="1" si="16"/>
        <v>24639556.134129807</v>
      </c>
      <c r="Q112" s="245">
        <f t="shared" ca="1" si="16"/>
        <v>7053686.6794134891</v>
      </c>
      <c r="R112" s="245">
        <f t="shared" ca="1" si="16"/>
        <v>312804.20802559674</v>
      </c>
      <c r="S112" s="245">
        <f t="shared" ref="S112:S121" ca="1" si="17">S$128*O100/SUM(O$99:O$109)</f>
        <v>186676.67377160175</v>
      </c>
      <c r="T112" s="245"/>
      <c r="U112" s="237">
        <f t="shared" ref="U112:AA112" ca="1" si="18">U100*(1-($AB112-$K112)/SUM($U100:$AA100))</f>
        <v>74988118.892697558</v>
      </c>
      <c r="V112" s="245">
        <f t="shared" ca="1" si="18"/>
        <v>25292373.96687809</v>
      </c>
      <c r="W112" s="245">
        <f t="shared" ca="1" si="18"/>
        <v>43196409.998278163</v>
      </c>
      <c r="X112" s="245">
        <f t="shared" ca="1" si="18"/>
        <v>17399570.115035724</v>
      </c>
      <c r="Y112" s="245">
        <f t="shared" ca="1" si="18"/>
        <v>24639001.362781033</v>
      </c>
      <c r="Z112" s="245">
        <f t="shared" ca="1" si="18"/>
        <v>7053527.8622963428</v>
      </c>
      <c r="AA112" s="245">
        <f t="shared" ca="1" si="18"/>
        <v>312797.16508978064</v>
      </c>
      <c r="AB112" s="245">
        <f t="shared" ref="AB112:AB121" ca="1" si="19">AB$128*X100/SUM(X$99:X$109)</f>
        <v>191019.59718848785</v>
      </c>
      <c r="AC112" s="245"/>
      <c r="AE112" s="237"/>
      <c r="AG112" s="237"/>
    </row>
    <row r="113" spans="2:33">
      <c r="B113" s="237" t="s">
        <v>360</v>
      </c>
      <c r="C113" s="47" t="s">
        <v>375</v>
      </c>
      <c r="D113" s="245">
        <f t="shared" ref="D113:J113" si="20">D101</f>
        <v>23908385.117948242</v>
      </c>
      <c r="E113" s="245">
        <f t="shared" si="20"/>
        <v>8576115.7276739664</v>
      </c>
      <c r="F113" s="245">
        <f t="shared" si="20"/>
        <v>16807967.091732789</v>
      </c>
      <c r="G113" s="245">
        <f t="shared" si="20"/>
        <v>6781090.510909535</v>
      </c>
      <c r="H113" s="245">
        <f t="shared" si="20"/>
        <v>8917375.8059702758</v>
      </c>
      <c r="I113" s="245">
        <f t="shared" si="20"/>
        <v>2488951.8310406734</v>
      </c>
      <c r="J113" s="245">
        <f t="shared" si="20"/>
        <v>-89180.964023771332</v>
      </c>
      <c r="K113" s="237">
        <f>SUMIFS(Sch.47T!F:F,Sch.47T!A:A,"Present",Sch.47T!B:B,"$")*G101/SUM(G$99:G$109)</f>
        <v>70395.032910885522</v>
      </c>
      <c r="L113" s="245">
        <f t="shared" ca="1" si="16"/>
        <v>25219956.427990865</v>
      </c>
      <c r="M113" s="245">
        <f t="shared" ca="1" si="16"/>
        <v>8985400.8375331536</v>
      </c>
      <c r="N113" s="245">
        <f t="shared" ca="1" si="16"/>
        <v>17481643.439167351</v>
      </c>
      <c r="O113" s="245">
        <f t="shared" ca="1" si="16"/>
        <v>7051703.8396623507</v>
      </c>
      <c r="P113" s="245">
        <f t="shared" ca="1" si="16"/>
        <v>9272988.8255255837</v>
      </c>
      <c r="Q113" s="245">
        <f t="shared" ca="1" si="16"/>
        <v>2604817.9379469631</v>
      </c>
      <c r="R113" s="245">
        <f t="shared" ca="1" si="16"/>
        <v>-84025.310148140386</v>
      </c>
      <c r="S113" s="245">
        <f t="shared" ca="1" si="17"/>
        <v>75657.775862004666</v>
      </c>
      <c r="T113" s="245"/>
      <c r="U113" s="237">
        <f t="shared" ref="U113:AA113" ca="1" si="21">U101*(1-($AB113-$K113)/SUM($U101:$AA101))</f>
        <v>25219327.06554094</v>
      </c>
      <c r="V113" s="245">
        <f t="shared" ca="1" si="21"/>
        <v>8985176.6074120253</v>
      </c>
      <c r="W113" s="245">
        <f t="shared" ca="1" si="21"/>
        <v>17481207.185838562</v>
      </c>
      <c r="X113" s="245">
        <f t="shared" ca="1" si="21"/>
        <v>7051527.8648299854</v>
      </c>
      <c r="Y113" s="245">
        <f t="shared" ca="1" si="21"/>
        <v>9272757.4186640363</v>
      </c>
      <c r="Z113" s="245">
        <f t="shared" ca="1" si="21"/>
        <v>2604752.9348767269</v>
      </c>
      <c r="AA113" s="245">
        <f t="shared" ca="1" si="21"/>
        <v>-84023.21330173219</v>
      </c>
      <c r="AB113" s="245">
        <f t="shared" ca="1" si="19"/>
        <v>77417.909679594712</v>
      </c>
      <c r="AC113" s="245"/>
      <c r="AE113" s="237"/>
      <c r="AG113" s="237"/>
    </row>
    <row r="114" spans="2:33">
      <c r="B114" s="237" t="s">
        <v>360</v>
      </c>
      <c r="C114" s="47" t="s">
        <v>376</v>
      </c>
      <c r="D114" s="245">
        <f t="shared" ref="D114:J114" si="22">D102</f>
        <v>0.43158937725181851</v>
      </c>
      <c r="E114" s="245">
        <f t="shared" si="22"/>
        <v>0.13469064661089561</v>
      </c>
      <c r="F114" s="245">
        <f t="shared" si="22"/>
        <v>0.22167362109439634</v>
      </c>
      <c r="G114" s="245">
        <f t="shared" si="22"/>
        <v>8.9042190894612572E-2</v>
      </c>
      <c r="H114" s="245">
        <f t="shared" si="22"/>
        <v>0.11699011834335594</v>
      </c>
      <c r="I114" s="245">
        <f t="shared" si="22"/>
        <v>3.8134262717259032E-2</v>
      </c>
      <c r="J114" s="245">
        <f t="shared" si="22"/>
        <v>1.6953536073853236E-3</v>
      </c>
      <c r="K114" s="237">
        <f>SUMIFS(Sch.47T!F:F,Sch.47T!A:A,"Present",Sch.47T!B:B,"$")*G102/SUM(G$99:G$109)</f>
        <v>9.243539735090294E-4</v>
      </c>
      <c r="L114" s="245">
        <f t="shared" ca="1" si="16"/>
        <v>0.43157647360468687</v>
      </c>
      <c r="M114" s="245">
        <f t="shared" ca="1" si="16"/>
        <v>0.13468661963370987</v>
      </c>
      <c r="N114" s="245">
        <f t="shared" ca="1" si="16"/>
        <v>0.22166699350267199</v>
      </c>
      <c r="O114" s="245">
        <f t="shared" ca="1" si="16"/>
        <v>8.9039528713679275E-2</v>
      </c>
      <c r="P114" s="245">
        <f t="shared" ca="1" si="16"/>
        <v>0.11698662057606936</v>
      </c>
      <c r="Q114" s="245">
        <f t="shared" ca="1" si="16"/>
        <v>3.8133122580138741E-2</v>
      </c>
      <c r="R114" s="245">
        <f t="shared" ca="1" si="16"/>
        <v>1.6953029197505807E-3</v>
      </c>
      <c r="S114" s="245">
        <f t="shared" ca="1" si="17"/>
        <v>9.5526296252562161E-4</v>
      </c>
      <c r="T114" s="245"/>
      <c r="U114" s="237">
        <f t="shared" ref="U114:AA114" ca="1" si="23">U102*(1-($AB114-$K114)/SUM($U102:$AA102))</f>
        <v>0.4315671958532154</v>
      </c>
      <c r="V114" s="245">
        <f t="shared" ca="1" si="23"/>
        <v>0.13468372422800565</v>
      </c>
      <c r="W114" s="245">
        <f t="shared" ca="1" si="23"/>
        <v>0.22166222824923273</v>
      </c>
      <c r="X114" s="245">
        <f t="shared" ca="1" si="23"/>
        <v>8.9037614599567258E-2</v>
      </c>
      <c r="Y114" s="245">
        <f t="shared" ca="1" si="23"/>
        <v>0.1169841056734795</v>
      </c>
      <c r="Z114" s="245">
        <f t="shared" ca="1" si="23"/>
        <v>3.8132302818970634E-2</v>
      </c>
      <c r="AA114" s="245">
        <f t="shared" ca="1" si="23"/>
        <v>1.6952664752265618E-3</v>
      </c>
      <c r="AB114" s="245">
        <f t="shared" ca="1" si="19"/>
        <v>9.7748659553459805E-4</v>
      </c>
      <c r="AC114" s="245"/>
      <c r="AE114" s="237"/>
      <c r="AG114" s="237"/>
    </row>
    <row r="115" spans="2:33">
      <c r="B115" s="237" t="s">
        <v>360</v>
      </c>
      <c r="C115" s="47" t="s">
        <v>368</v>
      </c>
      <c r="D115" s="245">
        <f t="shared" ref="D115:J115" si="24">D103</f>
        <v>6917340.7249415638</v>
      </c>
      <c r="E115" s="245">
        <f t="shared" si="24"/>
        <v>1710307.134440297</v>
      </c>
      <c r="F115" s="245">
        <f t="shared" si="24"/>
        <v>1909623.0339398903</v>
      </c>
      <c r="G115" s="245">
        <f t="shared" si="24"/>
        <v>724409.72721849382</v>
      </c>
      <c r="H115" s="245">
        <f t="shared" si="24"/>
        <v>630760.62770454236</v>
      </c>
      <c r="I115" s="245">
        <f t="shared" si="24"/>
        <v>592569.52522254328</v>
      </c>
      <c r="J115" s="245">
        <f t="shared" si="24"/>
        <v>30456.478524085051</v>
      </c>
      <c r="K115" s="237">
        <f>SUMIFS(Sch.47T!F:F,Sch.47T!A:A,"Present",Sch.47T!B:B,"$")*G103/SUM(G$99:G$109)</f>
        <v>7520.1542445820614</v>
      </c>
      <c r="L115" s="245">
        <f t="shared" ca="1" si="16"/>
        <v>7122636.8011562862</v>
      </c>
      <c r="M115" s="245">
        <f t="shared" ca="1" si="16"/>
        <v>1758788.1723388829</v>
      </c>
      <c r="N115" s="245">
        <f t="shared" ca="1" si="16"/>
        <v>1977777.4052175144</v>
      </c>
      <c r="O115" s="245">
        <f t="shared" ca="1" si="16"/>
        <v>750685.00096629036</v>
      </c>
      <c r="P115" s="245">
        <f t="shared" ca="1" si="16"/>
        <v>656915.9017574864</v>
      </c>
      <c r="Q115" s="245">
        <f t="shared" ca="1" si="16"/>
        <v>611512.90964467521</v>
      </c>
      <c r="R115" s="245">
        <f t="shared" ca="1" si="16"/>
        <v>30123.768374464904</v>
      </c>
      <c r="S115" s="245">
        <f t="shared" ca="1" si="17"/>
        <v>8053.8362582685759</v>
      </c>
      <c r="T115" s="245"/>
      <c r="U115" s="237">
        <f t="shared" ref="U115:AA115" ca="1" si="25">U103*(1-($AB115-$K115)/SUM($U103:$AA103))</f>
        <v>7122533.4151038518</v>
      </c>
      <c r="V115" s="245">
        <f t="shared" ca="1" si="25"/>
        <v>1758762.6432867518</v>
      </c>
      <c r="W115" s="245">
        <f t="shared" ca="1" si="25"/>
        <v>1977748.69750656</v>
      </c>
      <c r="X115" s="245">
        <f t="shared" ca="1" si="25"/>
        <v>750674.10467029235</v>
      </c>
      <c r="Y115" s="245">
        <f t="shared" ca="1" si="25"/>
        <v>656906.36653285532</v>
      </c>
      <c r="Z115" s="245">
        <f t="shared" ca="1" si="25"/>
        <v>611504.03345071699</v>
      </c>
      <c r="AA115" s="245">
        <f t="shared" ca="1" si="25"/>
        <v>30123.331123825337</v>
      </c>
      <c r="AB115" s="245">
        <f t="shared" ca="1" si="19"/>
        <v>8241.2040390154907</v>
      </c>
      <c r="AC115" s="245"/>
      <c r="AE115" s="237"/>
      <c r="AG115" s="237"/>
    </row>
    <row r="116" spans="2:33">
      <c r="B116" s="237" t="s">
        <v>360</v>
      </c>
      <c r="C116" s="47" t="s">
        <v>369</v>
      </c>
      <c r="D116" s="245">
        <f t="shared" ref="D116:J116" si="26">D104</f>
        <v>26341367.258514147</v>
      </c>
      <c r="E116" s="245">
        <f t="shared" si="26"/>
        <v>6186729.9744096268</v>
      </c>
      <c r="F116" s="245">
        <f t="shared" si="26"/>
        <v>5251716.120294692</v>
      </c>
      <c r="G116" s="245">
        <f t="shared" si="26"/>
        <v>1974937.1039183924</v>
      </c>
      <c r="H116" s="245">
        <f t="shared" si="26"/>
        <v>255522.06822018427</v>
      </c>
      <c r="I116" s="245">
        <f t="shared" si="26"/>
        <v>1615761.553223335</v>
      </c>
      <c r="J116" s="245">
        <f t="shared" si="26"/>
        <v>474114.75747846212</v>
      </c>
      <c r="K116" s="237">
        <f>SUMIFS(Sch.47T!F:F,Sch.47T!A:A,"Present",Sch.47T!B:B,"$")*G104/SUM(G$99:G$109)</f>
        <v>20501.977108784664</v>
      </c>
      <c r="L116" s="245">
        <f t="shared" ca="1" si="16"/>
        <v>26908284.816399697</v>
      </c>
      <c r="M116" s="245">
        <f t="shared" ca="1" si="16"/>
        <v>6300544.2449184004</v>
      </c>
      <c r="N116" s="245">
        <f t="shared" ca="1" si="16"/>
        <v>5366044.5140881259</v>
      </c>
      <c r="O116" s="245">
        <f t="shared" ca="1" si="16"/>
        <v>2019423.4875621558</v>
      </c>
      <c r="P116" s="245">
        <f t="shared" ca="1" si="16"/>
        <v>256882.73096455025</v>
      </c>
      <c r="Q116" s="245">
        <f t="shared" ca="1" si="16"/>
        <v>1646578.3930581196</v>
      </c>
      <c r="R116" s="245">
        <f t="shared" ca="1" si="16"/>
        <v>489055.19925927842</v>
      </c>
      <c r="S116" s="245">
        <f t="shared" ca="1" si="17"/>
        <v>21665.377421727157</v>
      </c>
      <c r="T116" s="245"/>
      <c r="U116" s="237">
        <f t="shared" ref="U116:AA116" ca="1" si="27">U104*(1-($AB116-$K116)/SUM($U104:$AA104))</f>
        <v>26907969.309297353</v>
      </c>
      <c r="V116" s="245">
        <f t="shared" ca="1" si="27"/>
        <v>6300470.3692897065</v>
      </c>
      <c r="W116" s="245">
        <f t="shared" ca="1" si="27"/>
        <v>5365981.5957279541</v>
      </c>
      <c r="X116" s="245">
        <f t="shared" ca="1" si="27"/>
        <v>2019399.8092616876</v>
      </c>
      <c r="Y116" s="245">
        <f t="shared" ca="1" si="27"/>
        <v>256879.71894328462</v>
      </c>
      <c r="Z116" s="245">
        <f t="shared" ca="1" si="27"/>
        <v>1646559.0864697911</v>
      </c>
      <c r="AA116" s="245">
        <f t="shared" ca="1" si="27"/>
        <v>489049.46495143021</v>
      </c>
      <c r="AB116" s="245">
        <f t="shared" ca="1" si="19"/>
        <v>22169.409730850122</v>
      </c>
      <c r="AC116" s="245"/>
      <c r="AE116" s="237"/>
      <c r="AG116" s="237"/>
    </row>
    <row r="117" spans="2:33">
      <c r="B117" s="237" t="s">
        <v>360</v>
      </c>
      <c r="C117" s="47" t="s">
        <v>370</v>
      </c>
      <c r="D117" s="245">
        <f t="shared" ref="D117:J117" si="28">D105</f>
        <v>5662139.8238369003</v>
      </c>
      <c r="E117" s="245">
        <f t="shared" si="28"/>
        <v>1971002.2614203342</v>
      </c>
      <c r="F117" s="245">
        <f t="shared" si="28"/>
        <v>655867.16664002836</v>
      </c>
      <c r="G117" s="245">
        <f t="shared" si="28"/>
        <v>130592.13150562669</v>
      </c>
      <c r="H117" s="245">
        <f t="shared" si="28"/>
        <v>12819.439635497762</v>
      </c>
      <c r="I117" s="245">
        <f t="shared" si="28"/>
        <v>930829.95722248522</v>
      </c>
      <c r="J117" s="245">
        <f t="shared" si="28"/>
        <v>16195.261057885549</v>
      </c>
      <c r="K117" s="237">
        <f>SUMIFS(Sch.47T!F:F,Sch.47T!A:A,"Present",Sch.47T!B:B,"$")*G105/SUM(G$99:G$109)</f>
        <v>1355.6871686716709</v>
      </c>
      <c r="L117" s="245">
        <f t="shared" ca="1" si="16"/>
        <v>5873615.3453799514</v>
      </c>
      <c r="M117" s="245">
        <f t="shared" ca="1" si="16"/>
        <v>2053066.6832212519</v>
      </c>
      <c r="N117" s="245">
        <f t="shared" ca="1" si="16"/>
        <v>677059.67860545835</v>
      </c>
      <c r="O117" s="245">
        <f t="shared" ca="1" si="16"/>
        <v>132496.51369195525</v>
      </c>
      <c r="P117" s="245">
        <f t="shared" ca="1" si="16"/>
        <v>12105.659656010699</v>
      </c>
      <c r="Q117" s="245">
        <f t="shared" ca="1" si="16"/>
        <v>974981.64747684938</v>
      </c>
      <c r="R117" s="245">
        <f t="shared" ca="1" si="16"/>
        <v>15686.531752087978</v>
      </c>
      <c r="S117" s="245">
        <f t="shared" ca="1" si="17"/>
        <v>1421.4594868406243</v>
      </c>
      <c r="T117" s="245"/>
      <c r="U117" s="237">
        <f t="shared" ref="U117:AA117" ca="1" si="29">U105*(1-($AB117-$K117)/SUM($U105:$AA105))</f>
        <v>5873595.4011532702</v>
      </c>
      <c r="V117" s="245">
        <f t="shared" ca="1" si="29"/>
        <v>2053059.7119054752</v>
      </c>
      <c r="W117" s="245">
        <f t="shared" ca="1" si="29"/>
        <v>677057.37960715604</v>
      </c>
      <c r="X117" s="245">
        <f t="shared" ca="1" si="29"/>
        <v>132496.06379179185</v>
      </c>
      <c r="Y117" s="245">
        <f t="shared" ca="1" si="29"/>
        <v>12105.618550489464</v>
      </c>
      <c r="Z117" s="245">
        <f t="shared" ca="1" si="29"/>
        <v>974978.33686594886</v>
      </c>
      <c r="AA117" s="245">
        <f t="shared" ca="1" si="29"/>
        <v>15686.478487492541</v>
      </c>
      <c r="AB117" s="245">
        <f t="shared" ca="1" si="19"/>
        <v>1454.5289087819431</v>
      </c>
      <c r="AC117" s="245"/>
      <c r="AE117" s="237"/>
      <c r="AG117" s="237"/>
    </row>
    <row r="118" spans="2:33">
      <c r="B118" s="237" t="s">
        <v>360</v>
      </c>
      <c r="C118" s="47" t="s">
        <v>371</v>
      </c>
      <c r="D118" s="245">
        <f t="shared" ref="D118:J118" si="30">D106</f>
        <v>1178104.1600269589</v>
      </c>
      <c r="E118" s="245">
        <f t="shared" si="30"/>
        <v>300113.73681280972</v>
      </c>
      <c r="F118" s="245">
        <f t="shared" si="30"/>
        <v>137748.00694095413</v>
      </c>
      <c r="G118" s="245">
        <f t="shared" si="30"/>
        <v>24131.447784378604</v>
      </c>
      <c r="H118" s="245">
        <f t="shared" si="30"/>
        <v>11592.125492812069</v>
      </c>
      <c r="I118" s="245">
        <f t="shared" si="30"/>
        <v>90718.261281894796</v>
      </c>
      <c r="J118" s="245">
        <f t="shared" si="30"/>
        <v>18775.372019457038</v>
      </c>
      <c r="K118" s="237">
        <f>SUMIFS(Sch.47T!F:F,Sch.47T!A:A,"Present",Sch.47T!B:B,"$")*G106/SUM(G$99:G$109)</f>
        <v>250.51045377372486</v>
      </c>
      <c r="L118" s="245">
        <f t="shared" ca="1" si="16"/>
        <v>1206019.5264339342</v>
      </c>
      <c r="M118" s="245">
        <f t="shared" ca="1" si="16"/>
        <v>307042.34863764048</v>
      </c>
      <c r="N118" s="245">
        <f t="shared" ca="1" si="16"/>
        <v>140713.48237332937</v>
      </c>
      <c r="O118" s="245">
        <f t="shared" ca="1" si="16"/>
        <v>24447.95906787437</v>
      </c>
      <c r="P118" s="245">
        <f t="shared" ca="1" si="16"/>
        <v>11813.717728829513</v>
      </c>
      <c r="Q118" s="245">
        <f t="shared" ca="1" si="16"/>
        <v>92940.123254250677</v>
      </c>
      <c r="R118" s="245">
        <f t="shared" ca="1" si="16"/>
        <v>18652.989693472988</v>
      </c>
      <c r="S118" s="245">
        <f t="shared" ca="1" si="17"/>
        <v>262.28445410691143</v>
      </c>
      <c r="T118" s="245"/>
      <c r="U118" s="237">
        <f t="shared" ref="U118:AA118" ca="1" si="31">U106*(1-($AB118-$K118)/SUM($U106:$AA106))</f>
        <v>1206015.4417978807</v>
      </c>
      <c r="V118" s="245">
        <f t="shared" ca="1" si="31"/>
        <v>307041.30872392457</v>
      </c>
      <c r="W118" s="245">
        <f t="shared" ca="1" si="31"/>
        <v>140713.00579450894</v>
      </c>
      <c r="X118" s="245">
        <f t="shared" ca="1" si="31"/>
        <v>24447.876265719962</v>
      </c>
      <c r="Y118" s="245">
        <f t="shared" ca="1" si="31"/>
        <v>11813.677717257307</v>
      </c>
      <c r="Z118" s="245">
        <f t="shared" ca="1" si="31"/>
        <v>92939.808477773215</v>
      </c>
      <c r="AA118" s="245">
        <f t="shared" ca="1" si="31"/>
        <v>18652.926518149088</v>
      </c>
      <c r="AB118" s="245">
        <f t="shared" ca="1" si="19"/>
        <v>268.38634822475797</v>
      </c>
      <c r="AC118" s="245"/>
      <c r="AE118" s="237"/>
      <c r="AG118" s="237"/>
    </row>
    <row r="119" spans="2:33">
      <c r="B119" s="237" t="s">
        <v>360</v>
      </c>
      <c r="C119" s="47" t="s">
        <v>372</v>
      </c>
      <c r="D119" s="245">
        <f t="shared" ref="D119:J119" si="32">D107</f>
        <v>4318403.7675037971</v>
      </c>
      <c r="E119" s="245">
        <f t="shared" si="32"/>
        <v>1313032.5002491295</v>
      </c>
      <c r="F119" s="245">
        <f t="shared" si="32"/>
        <v>342986.46870296303</v>
      </c>
      <c r="G119" s="245">
        <f t="shared" si="32"/>
        <v>103779.89286533528</v>
      </c>
      <c r="H119" s="245">
        <f t="shared" si="32"/>
        <v>8874.2946819316548</v>
      </c>
      <c r="I119" s="245">
        <f t="shared" si="32"/>
        <v>40331.021323995286</v>
      </c>
      <c r="J119" s="245">
        <f t="shared" si="32"/>
        <v>4961.7304800250831</v>
      </c>
      <c r="K119" s="237">
        <f>SUMIFS(Sch.47T!F:F,Sch.47T!A:A,"Present",Sch.47T!B:B,"$")*G107/SUM(G$99:G$109)</f>
        <v>1077.3472145800288</v>
      </c>
      <c r="L119" s="245">
        <f t="shared" ca="1" si="16"/>
        <v>4504889.1830387833</v>
      </c>
      <c r="M119" s="245">
        <f t="shared" ca="1" si="16"/>
        <v>1373010.2610607909</v>
      </c>
      <c r="N119" s="245">
        <f t="shared" ca="1" si="16"/>
        <v>353539.82216871867</v>
      </c>
      <c r="O119" s="245">
        <f t="shared" ca="1" si="16"/>
        <v>106352.64232856134</v>
      </c>
      <c r="P119" s="245">
        <f t="shared" ca="1" si="16"/>
        <v>8440.4201578400407</v>
      </c>
      <c r="Q119" s="245">
        <f t="shared" ca="1" si="16"/>
        <v>38906.147104530835</v>
      </c>
      <c r="R119" s="245">
        <f t="shared" ca="1" si="16"/>
        <v>4358.8387178098437</v>
      </c>
      <c r="S119" s="245">
        <f t="shared" ca="1" si="17"/>
        <v>1140.9844143681312</v>
      </c>
      <c r="T119" s="245"/>
      <c r="U119" s="237">
        <f t="shared" ref="U119:AA119" ca="1" si="33">U107*(1-($AB119-$K119)/SUM($U107:$AA107))</f>
        <v>4504870.4680638667</v>
      </c>
      <c r="V119" s="245">
        <f t="shared" ca="1" si="33"/>
        <v>1373004.5570686278</v>
      </c>
      <c r="W119" s="245">
        <f t="shared" ca="1" si="33"/>
        <v>353538.35343361</v>
      </c>
      <c r="X119" s="245">
        <f t="shared" ca="1" si="33"/>
        <v>106352.20050037143</v>
      </c>
      <c r="Y119" s="245">
        <f t="shared" ca="1" si="33"/>
        <v>8440.3850932146706</v>
      </c>
      <c r="Z119" s="245">
        <f t="shared" ca="1" si="33"/>
        <v>38905.985474013956</v>
      </c>
      <c r="AA119" s="245">
        <f t="shared" ca="1" si="33"/>
        <v>4358.8206095825481</v>
      </c>
      <c r="AB119" s="245">
        <f t="shared" ca="1" si="19"/>
        <v>1167.5287481156035</v>
      </c>
      <c r="AC119" s="245"/>
      <c r="AE119" s="237"/>
      <c r="AG119" s="237"/>
    </row>
    <row r="120" spans="2:33">
      <c r="B120" s="237" t="s">
        <v>360</v>
      </c>
      <c r="C120" s="47" t="s">
        <v>366</v>
      </c>
      <c r="D120" s="245">
        <f t="shared" ref="D120:J120" si="34">D108</f>
        <v>7649609.238577296</v>
      </c>
      <c r="E120" s="245">
        <f t="shared" si="34"/>
        <v>1240039.9802741716</v>
      </c>
      <c r="F120" s="245">
        <f t="shared" si="34"/>
        <v>163529.40674508052</v>
      </c>
      <c r="G120" s="245">
        <f t="shared" si="34"/>
        <v>84994.807953248543</v>
      </c>
      <c r="H120" s="245">
        <f t="shared" si="34"/>
        <v>65988.332734037802</v>
      </c>
      <c r="I120" s="245">
        <f t="shared" si="34"/>
        <v>217405.57572092791</v>
      </c>
      <c r="J120" s="245">
        <f t="shared" si="34"/>
        <v>119834.78348634967</v>
      </c>
      <c r="K120" s="237">
        <f>SUMIFS(Sch.47T!F:F,Sch.47T!A:A,"Present",Sch.47T!B:B,"$")*G108/SUM(G$99:G$109)</f>
        <v>882.33777347425632</v>
      </c>
      <c r="L120" s="245">
        <f t="shared" ca="1" si="16"/>
        <v>7657518.9532690728</v>
      </c>
      <c r="M120" s="245">
        <f t="shared" ca="1" si="16"/>
        <v>1241529.134459208</v>
      </c>
      <c r="N120" s="245">
        <f t="shared" ca="1" si="16"/>
        <v>162655.53474314569</v>
      </c>
      <c r="O120" s="245">
        <f t="shared" ca="1" si="16"/>
        <v>85048.670376863578</v>
      </c>
      <c r="P120" s="245">
        <f t="shared" ca="1" si="16"/>
        <v>65998.811156039315</v>
      </c>
      <c r="Q120" s="245">
        <f t="shared" ca="1" si="16"/>
        <v>217712.03434938757</v>
      </c>
      <c r="R120" s="245">
        <f t="shared" ca="1" si="16"/>
        <v>120038.59378647624</v>
      </c>
      <c r="S120" s="245">
        <f t="shared" ca="1" si="17"/>
        <v>912.42252611523168</v>
      </c>
      <c r="T120" s="245"/>
      <c r="U120" s="237">
        <f t="shared" ref="U120:AA120" ca="1" si="35">U108*(1-($AB120-$K120)/SUM($U108:$AA108))</f>
        <v>7657501.9336432237</v>
      </c>
      <c r="V120" s="245">
        <f t="shared" ca="1" si="35"/>
        <v>1241526.3750326263</v>
      </c>
      <c r="W120" s="245">
        <f t="shared" ca="1" si="35"/>
        <v>162655.17322443964</v>
      </c>
      <c r="X120" s="245">
        <f t="shared" ca="1" si="35"/>
        <v>85048.481347419773</v>
      </c>
      <c r="Y120" s="245">
        <f t="shared" ca="1" si="35"/>
        <v>65998.664466872855</v>
      </c>
      <c r="Z120" s="245">
        <f t="shared" ca="1" si="35"/>
        <v>217711.55046193133</v>
      </c>
      <c r="AA120" s="245">
        <f t="shared" ca="1" si="35"/>
        <v>120038.32698831796</v>
      </c>
      <c r="AB120" s="245">
        <f t="shared" ca="1" si="19"/>
        <v>933.6495014769655</v>
      </c>
      <c r="AC120" s="245"/>
      <c r="AE120" s="237"/>
      <c r="AG120" s="237"/>
    </row>
    <row r="121" spans="2:33">
      <c r="B121" s="241" t="s">
        <v>360</v>
      </c>
      <c r="C121" s="211" t="s">
        <v>367</v>
      </c>
      <c r="D121" s="245">
        <f t="shared" ref="D121:J121" si="36">D109</f>
        <v>11543742.878553515</v>
      </c>
      <c r="E121" s="245">
        <f t="shared" si="36"/>
        <v>3259671.9661277458</v>
      </c>
      <c r="F121" s="245">
        <f t="shared" si="36"/>
        <v>3943244.9843081553</v>
      </c>
      <c r="G121" s="245">
        <f t="shared" si="36"/>
        <v>1521108.6275940994</v>
      </c>
      <c r="H121" s="245">
        <f t="shared" si="36"/>
        <v>1644494.5707696001</v>
      </c>
      <c r="I121" s="245">
        <f t="shared" si="36"/>
        <v>922845.18912335637</v>
      </c>
      <c r="J121" s="245">
        <f t="shared" si="36"/>
        <v>85875.778269255708</v>
      </c>
      <c r="K121" s="237">
        <f>SUMIFS(Sch.47T!F:F,Sch.47T!A:A,"Present",Sch.47T!B:B,"$")*G109/SUM(G$99:G$109)</f>
        <v>15790.748070424488</v>
      </c>
      <c r="L121" s="245">
        <f t="shared" ca="1" si="16"/>
        <v>11639975.500499438</v>
      </c>
      <c r="M121" s="245">
        <f t="shared" ca="1" si="16"/>
        <v>3286847.0946391784</v>
      </c>
      <c r="N121" s="245">
        <f t="shared" ca="1" si="16"/>
        <v>3976242.8412134075</v>
      </c>
      <c r="O121" s="245">
        <f t="shared" ca="1" si="16"/>
        <v>1533842.4520470796</v>
      </c>
      <c r="P121" s="245">
        <f t="shared" ca="1" si="16"/>
        <v>1658310.3556854783</v>
      </c>
      <c r="Q121" s="245">
        <f t="shared" ca="1" si="16"/>
        <v>930544.33704731462</v>
      </c>
      <c r="R121" s="245">
        <f t="shared" ca="1" si="16"/>
        <v>86586.828881305337</v>
      </c>
      <c r="S121" s="245">
        <f t="shared" ca="1" si="17"/>
        <v>16455.851262543951</v>
      </c>
      <c r="T121" s="245"/>
      <c r="U121" s="237">
        <f t="shared" ref="U121:AA121" ca="1" si="37">U109*(1-($AB121-$K121)/SUM($U109:$AA109))</f>
        <v>11639782.694544993</v>
      </c>
      <c r="V121" s="245">
        <f t="shared" ca="1" si="37"/>
        <v>3286792.6509085046</v>
      </c>
      <c r="W121" s="245">
        <f t="shared" ca="1" si="37"/>
        <v>3976176.9782486553</v>
      </c>
      <c r="X121" s="245">
        <f t="shared" ca="1" si="37"/>
        <v>1533817.045296187</v>
      </c>
      <c r="Y121" s="245">
        <f t="shared" ca="1" si="37"/>
        <v>1658282.8872332568</v>
      </c>
      <c r="Z121" s="245">
        <f t="shared" ca="1" si="37"/>
        <v>930528.923398974</v>
      </c>
      <c r="AA121" s="245">
        <f t="shared" ca="1" si="37"/>
        <v>86585.394646655594</v>
      </c>
      <c r="AB121" s="245">
        <f t="shared" ca="1" si="19"/>
        <v>16838.686998519919</v>
      </c>
      <c r="AC121" s="245"/>
      <c r="AE121" s="237"/>
      <c r="AG121" s="237"/>
    </row>
    <row r="122" spans="2:33" s="247" customFormat="1">
      <c r="B122" s="228"/>
      <c r="C122" s="210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28"/>
      <c r="AD122" s="227"/>
      <c r="AE122" s="237"/>
      <c r="AG122" s="237"/>
    </row>
    <row r="123" spans="2:33">
      <c r="B123" s="273" t="s">
        <v>417</v>
      </c>
      <c r="C123" s="273" t="s">
        <v>366</v>
      </c>
      <c r="D123" s="237"/>
      <c r="E123" s="237">
        <f t="shared" ref="E123:Q123" si="38">(E118+E119+E120)*(1+E121/SUM(E111:E120))</f>
        <v>3034079.5862625074</v>
      </c>
      <c r="F123" s="237">
        <f t="shared" si="38"/>
        <v>677404.47082188667</v>
      </c>
      <c r="G123" s="237">
        <f t="shared" si="38"/>
        <v>223543.56159311661</v>
      </c>
      <c r="H123" s="237">
        <f t="shared" si="38"/>
        <v>90121.094719198358</v>
      </c>
      <c r="I123" s="237">
        <f t="shared" si="38"/>
        <v>370529.21354953561</v>
      </c>
      <c r="J123" s="237"/>
      <c r="K123" s="237"/>
      <c r="L123" s="237"/>
      <c r="M123" s="237">
        <f t="shared" ca="1" si="38"/>
        <v>3104936.9828623575</v>
      </c>
      <c r="N123" s="237">
        <f t="shared" ca="1" si="38"/>
        <v>690422.86643097666</v>
      </c>
      <c r="O123" s="237">
        <f t="shared" ca="1" si="38"/>
        <v>226547.98086113838</v>
      </c>
      <c r="P123" s="237">
        <f ca="1">(P118+P119+P120)*(1+P121/SUM(P111:P120))</f>
        <v>89886.119891893366</v>
      </c>
      <c r="Q123" s="237">
        <f t="shared" ca="1" si="38"/>
        <v>371462.39910356782</v>
      </c>
      <c r="R123" s="235"/>
      <c r="S123" s="235"/>
      <c r="T123" s="235"/>
      <c r="U123" s="235"/>
      <c r="V123" s="235">
        <f t="shared" ref="V123:Z123" ca="1" si="39">(V118+V119+V120)*(1+V121/SUM(V111:V120))</f>
        <v>3104927.3867054735</v>
      </c>
      <c r="W123" s="235">
        <f t="shared" ca="1" si="39"/>
        <v>690420.6081861105</v>
      </c>
      <c r="X123" s="235">
        <f t="shared" ca="1" si="39"/>
        <v>226547.28672072419</v>
      </c>
      <c r="Y123" s="235">
        <f t="shared" ca="1" si="39"/>
        <v>89885.910587552426</v>
      </c>
      <c r="Z123" s="235">
        <f t="shared" ca="1" si="39"/>
        <v>371461.44154420838</v>
      </c>
      <c r="AA123" s="235"/>
      <c r="AB123" s="235"/>
      <c r="AC123" s="237"/>
      <c r="AE123" s="237"/>
      <c r="AG123" s="237"/>
    </row>
    <row r="124" spans="2:33">
      <c r="B124" s="273" t="s">
        <v>417</v>
      </c>
      <c r="C124" s="273" t="s">
        <v>131</v>
      </c>
      <c r="D124" s="237"/>
      <c r="E124" s="237"/>
      <c r="F124" s="237">
        <f t="shared" ref="F124:Q124" si="40">($AG$128*F111+F113+F115+F116+F117)*(1+F121/SUM(F111:F120))</f>
        <v>26896059.823034935</v>
      </c>
      <c r="G124" s="237">
        <f t="shared" si="40"/>
        <v>10485660.384083513</v>
      </c>
      <c r="H124" s="237">
        <f t="shared" si="40"/>
        <v>10748334.960370611</v>
      </c>
      <c r="I124" s="237">
        <f t="shared" si="40"/>
        <v>6174902.5792565802</v>
      </c>
      <c r="J124" s="237"/>
      <c r="K124" s="237"/>
      <c r="L124" s="237"/>
      <c r="M124" s="237"/>
      <c r="N124" s="237">
        <f t="shared" ca="1" si="40"/>
        <v>27841234.701671798</v>
      </c>
      <c r="O124" s="237">
        <f t="shared" ca="1" si="40"/>
        <v>10855287.044124695</v>
      </c>
      <c r="P124" s="237">
        <f t="shared" ca="1" si="40"/>
        <v>11161316.598243881</v>
      </c>
      <c r="Q124" s="237">
        <f t="shared" ca="1" si="40"/>
        <v>6400415.3955017999</v>
      </c>
      <c r="R124" s="235"/>
      <c r="S124" s="235"/>
      <c r="T124" s="235"/>
      <c r="U124" s="235"/>
      <c r="V124" s="235"/>
      <c r="W124" s="235">
        <f t="shared" ref="W124:Z124" ca="1" si="41">($AG$128*W111+W113+W115+W116+W117)*(1+W121/SUM(W111:W120))</f>
        <v>27840663.314410701</v>
      </c>
      <c r="X124" s="235">
        <f t="shared" ca="1" si="41"/>
        <v>10855060.020625148</v>
      </c>
      <c r="Y124" s="235">
        <f t="shared" ca="1" si="41"/>
        <v>11161054.318193795</v>
      </c>
      <c r="Z124" s="235">
        <f t="shared" ca="1" si="41"/>
        <v>6400309.9807192273</v>
      </c>
      <c r="AA124" s="235"/>
      <c r="AB124" s="235"/>
      <c r="AC124" s="237"/>
      <c r="AE124" s="237"/>
      <c r="AG124" s="237"/>
    </row>
    <row r="125" spans="2:33">
      <c r="B125" s="273" t="s">
        <v>417</v>
      </c>
      <c r="C125" s="273" t="s">
        <v>415</v>
      </c>
      <c r="D125" s="237"/>
      <c r="E125" s="237"/>
      <c r="F125" s="237">
        <f t="shared" ref="F125:Q125" si="42">((1-$AG$128)*F111)*(1+F121/SUM(F111:F120))</f>
        <v>7724466.943238453</v>
      </c>
      <c r="G125" s="237">
        <f t="shared" si="42"/>
        <v>3034121.6031527566</v>
      </c>
      <c r="H125" s="237">
        <f t="shared" si="42"/>
        <v>3965872.1694480395</v>
      </c>
      <c r="I125" s="237">
        <f t="shared" si="42"/>
        <v>1463484.3285310178</v>
      </c>
      <c r="J125" s="237"/>
      <c r="K125" s="237"/>
      <c r="L125" s="237"/>
      <c r="M125" s="237"/>
      <c r="N125" s="237">
        <f t="shared" ca="1" si="42"/>
        <v>7981750.6812680187</v>
      </c>
      <c r="O125" s="237">
        <f t="shared" ca="1" si="42"/>
        <v>3135280.2403041129</v>
      </c>
      <c r="P125" s="237">
        <f t="shared" ca="1" si="42"/>
        <v>4098637.3172828406</v>
      </c>
      <c r="Q125" s="237">
        <f t="shared" ca="1" si="42"/>
        <v>1513149.1358614492</v>
      </c>
      <c r="R125" s="235"/>
      <c r="S125" s="235"/>
      <c r="T125" s="235"/>
      <c r="U125" s="235"/>
      <c r="V125" s="235"/>
      <c r="W125" s="235">
        <f t="shared" ref="W125:Z125" ca="1" si="43">((1-$AG$128)*W111)*(1+W121/SUM(W111:W120))</f>
        <v>7981592.1009085914</v>
      </c>
      <c r="X125" s="235">
        <f t="shared" ca="1" si="43"/>
        <v>3135217.953567618</v>
      </c>
      <c r="Y125" s="235">
        <f t="shared" ca="1" si="43"/>
        <v>4098555.8931536935</v>
      </c>
      <c r="Z125" s="235">
        <f t="shared" ca="1" si="43"/>
        <v>1513118.9646603074</v>
      </c>
      <c r="AA125" s="235"/>
      <c r="AB125" s="235"/>
      <c r="AC125" s="237"/>
      <c r="AE125" s="237"/>
      <c r="AG125" s="237"/>
    </row>
    <row r="126" spans="2:33">
      <c r="B126" s="256" t="s">
        <v>417</v>
      </c>
      <c r="C126" s="256" t="s">
        <v>416</v>
      </c>
      <c r="D126" s="241"/>
      <c r="E126" s="241"/>
      <c r="F126" s="241">
        <f t="shared" ref="F126:Q126" si="44">(F112+F114)*(1+F121/SUM(F111:F120))</f>
        <v>45303286.430646412</v>
      </c>
      <c r="G126" s="241">
        <f t="shared" si="44"/>
        <v>18222533.114093065</v>
      </c>
      <c r="H126" s="241">
        <f t="shared" si="44"/>
        <v>25618430.656387474</v>
      </c>
      <c r="I126" s="241">
        <f t="shared" si="44"/>
        <v>7481506.9829329448</v>
      </c>
      <c r="J126" s="241"/>
      <c r="K126" s="241"/>
      <c r="L126" s="241"/>
      <c r="M126" s="241"/>
      <c r="N126" s="241">
        <f t="shared" ca="1" si="44"/>
        <v>45401217.173424676</v>
      </c>
      <c r="O126" s="241">
        <f t="shared" ca="1" si="44"/>
        <v>18262402.367855452</v>
      </c>
      <c r="P126" s="241">
        <f ca="1">(P112+P114)*(1+P121/SUM(P111:P120))</f>
        <v>25677430.532540374</v>
      </c>
      <c r="Q126" s="241">
        <f t="shared" ca="1" si="44"/>
        <v>7495686.2856178116</v>
      </c>
      <c r="R126" s="239"/>
      <c r="S126" s="239"/>
      <c r="T126" s="239"/>
      <c r="U126" s="239"/>
      <c r="V126" s="239"/>
      <c r="W126" s="239">
        <f t="shared" ref="W126:Z126" ca="1" si="45">(W112+W114)*(1+W121/SUM(W111:W120))</f>
        <v>45400205.877328254</v>
      </c>
      <c r="X126" s="239">
        <f t="shared" ca="1" si="45"/>
        <v>18261995.606042601</v>
      </c>
      <c r="Y126" s="239">
        <f t="shared" ca="1" si="45"/>
        <v>25676858.621007975</v>
      </c>
      <c r="Z126" s="239">
        <f t="shared" ca="1" si="45"/>
        <v>7495518.7860807274</v>
      </c>
      <c r="AA126" s="239"/>
      <c r="AB126" s="239"/>
      <c r="AC126" s="241"/>
      <c r="AE126" s="237"/>
      <c r="AG126" s="237"/>
    </row>
    <row r="127" spans="2:33">
      <c r="B127" s="160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E127" s="237"/>
      <c r="AG127" s="301">
        <v>0.13</v>
      </c>
    </row>
    <row r="128" spans="2:33" s="247" customFormat="1">
      <c r="B128" s="246" t="s">
        <v>417</v>
      </c>
      <c r="C128" s="246" t="s">
        <v>132</v>
      </c>
      <c r="D128" s="160">
        <f>SUM(D111:D121)</f>
        <v>180494165.10119569</v>
      </c>
      <c r="E128" s="160">
        <f t="shared" ref="E128:R128" si="46">SUM(E111:E121)</f>
        <v>54673668.963313594</v>
      </c>
      <c r="F128" s="160">
        <f t="shared" si="46"/>
        <v>80601217.667741671</v>
      </c>
      <c r="G128" s="160">
        <f t="shared" si="46"/>
        <v>31965858.662922446</v>
      </c>
      <c r="H128" s="160">
        <f t="shared" si="46"/>
        <v>40422758.88092532</v>
      </c>
      <c r="I128" s="160">
        <f t="shared" si="46"/>
        <v>15490423.104270078</v>
      </c>
      <c r="J128" s="160">
        <f>SUM(J111:J121)</f>
        <v>980658.57267608284</v>
      </c>
      <c r="K128" s="160">
        <f t="shared" si="46"/>
        <v>331840.08810690849</v>
      </c>
      <c r="L128" s="160">
        <f t="shared" ca="1" si="46"/>
        <v>183942140.82245237</v>
      </c>
      <c r="M128" s="160">
        <f t="shared" ca="1" si="46"/>
        <v>55659457.41858016</v>
      </c>
      <c r="N128" s="160">
        <f t="shared" ca="1" si="46"/>
        <v>81914625.422795475</v>
      </c>
      <c r="O128" s="160">
        <f t="shared" ca="1" si="46"/>
        <v>32479517.633145403</v>
      </c>
      <c r="P128" s="160">
        <f t="shared" ca="1" si="46"/>
        <v>41027270.567958988</v>
      </c>
      <c r="Q128" s="160">
        <f t="shared" ca="1" si="46"/>
        <v>15780713.216084629</v>
      </c>
      <c r="R128" s="160">
        <f t="shared" ca="1" si="46"/>
        <v>1002230.8253898566</v>
      </c>
      <c r="S128" s="160">
        <f ca="1">Sch.47T!F24</f>
        <v>348462.31944789249</v>
      </c>
      <c r="T128" s="160">
        <f t="shared" ref="T128" ca="1" si="47">SUM(L128:S128)-SUM(D128:K128)</f>
        <v>7193827.1847029924</v>
      </c>
      <c r="U128" s="160">
        <f ca="1">SUM(U111:U121)</f>
        <v>183938773.13182959</v>
      </c>
      <c r="V128" s="160">
        <f t="shared" ref="V128:AA128" ca="1" si="48">SUM(V111:V121)</f>
        <v>55658391.626983315</v>
      </c>
      <c r="W128" s="160">
        <f t="shared" ca="1" si="48"/>
        <v>81912881.900833651</v>
      </c>
      <c r="X128" s="160">
        <f t="shared" ca="1" si="48"/>
        <v>32478820.866956092</v>
      </c>
      <c r="Y128" s="160">
        <f t="shared" ca="1" si="48"/>
        <v>41026354.742943011</v>
      </c>
      <c r="Z128" s="160">
        <f t="shared" ca="1" si="48"/>
        <v>15780409.173004471</v>
      </c>
      <c r="AA128" s="160">
        <f t="shared" ca="1" si="48"/>
        <v>1002217.6922047171</v>
      </c>
      <c r="AB128" s="160">
        <f ca="1">Sch.47T!F38</f>
        <v>356569.09109995369</v>
      </c>
      <c r="AC128" s="160">
        <f t="shared" ref="AC128" ca="1" si="49">SUM(U128:AB128)-SUM(L128:S128)</f>
        <v>0</v>
      </c>
      <c r="AE128" s="241">
        <f ca="1">T128-T10+AC128-AC10</f>
        <v>-3.5166740417480469E-6</v>
      </c>
      <c r="AG128" s="302">
        <f>AG127/(1+AG127)</f>
        <v>0.11504424778761063</v>
      </c>
    </row>
    <row r="129" spans="2:33" s="247" customFormat="1">
      <c r="B129" s="487"/>
      <c r="C129" s="487"/>
      <c r="AG129" s="488"/>
    </row>
    <row r="130" spans="2:33" s="247" customFormat="1">
      <c r="B130" s="246" t="s">
        <v>517</v>
      </c>
      <c r="C130" s="246">
        <f>SUM('Sch.16,17,19'!$Q$27:$Q$33)+SUM(Sch.24!$S$66:$S$103)+SUM('Sch.29,36'!$S$55:$S$89)+SUM(Sch.48T!$T$52:$T$81)+SUM('Sch.48T-DF'!$O$17:$O$23)+SUM(Sch.40!$S$33:$S$47)+SUM('Sch.15,51,53,54'!$G$51:$G$81)-SUM(D128:J128)</f>
        <v>-4.0415167808532715E-2</v>
      </c>
    </row>
    <row r="132" spans="2:33">
      <c r="B132" s="160" t="s">
        <v>578</v>
      </c>
      <c r="C132" s="160" t="s">
        <v>579</v>
      </c>
      <c r="D132" s="598"/>
      <c r="E132" s="598"/>
      <c r="F132" s="598"/>
      <c r="G132" s="598"/>
      <c r="H132" s="598"/>
      <c r="I132" s="598"/>
      <c r="J132" s="598"/>
      <c r="K132" s="598"/>
      <c r="L132" s="598"/>
      <c r="M132" s="598"/>
      <c r="N132" s="598"/>
      <c r="O132" s="418">
        <f ca="1">Summary!G77</f>
        <v>102.68168673193495</v>
      </c>
      <c r="P132" s="425"/>
      <c r="Q132" s="598"/>
      <c r="R132" s="598"/>
      <c r="S132" s="598"/>
      <c r="T132" s="598"/>
      <c r="U132" s="598"/>
      <c r="V132" s="598"/>
      <c r="W132" s="598"/>
      <c r="X132" s="418">
        <f ca="1">Summary!K77</f>
        <v>100.01205678154736</v>
      </c>
      <c r="Y132" s="425"/>
      <c r="Z132" s="247"/>
      <c r="AA132" s="247"/>
      <c r="AB132" s="247"/>
      <c r="AC132" s="247"/>
    </row>
    <row r="133" spans="2:33">
      <c r="B133" s="237"/>
      <c r="C133" s="237"/>
      <c r="O133" s="237"/>
      <c r="P133" s="245"/>
      <c r="X133" s="237"/>
      <c r="Y133" s="245"/>
      <c r="Z133" s="247"/>
      <c r="AA133" s="247"/>
      <c r="AB133" s="247"/>
      <c r="AC133" s="247"/>
    </row>
    <row r="134" spans="2:33">
      <c r="B134" s="228" t="s">
        <v>578</v>
      </c>
      <c r="C134" s="255" t="s">
        <v>366</v>
      </c>
      <c r="D134" s="599"/>
      <c r="E134" s="599"/>
      <c r="F134" s="599"/>
      <c r="G134" s="599"/>
      <c r="H134" s="599"/>
      <c r="I134" s="599"/>
      <c r="J134" s="599"/>
      <c r="K134" s="599"/>
      <c r="L134" s="599"/>
      <c r="M134" s="599"/>
      <c r="N134" s="599"/>
      <c r="O134" s="228">
        <f ca="1">(O118+O119+O120)*(1+O121/SUM(O111:O120))</f>
        <v>226547.98086113838</v>
      </c>
      <c r="P134" s="244">
        <f ca="1">(P118+P119+P120)*(1+P121/SUM(P111:P120))</f>
        <v>89886.119891893366</v>
      </c>
      <c r="Q134" s="599"/>
      <c r="R134" s="599"/>
      <c r="S134" s="599"/>
      <c r="T134" s="599"/>
      <c r="U134" s="599"/>
      <c r="V134" s="599"/>
      <c r="W134" s="599"/>
      <c r="X134" s="228">
        <f ca="1">(X118+X119+X120)*(1+X121/SUM(X111:X120))</f>
        <v>226547.28672072419</v>
      </c>
      <c r="Y134" s="244">
        <f ca="1">(Y118+Y119+Y120)*(1+Y121/SUM(Y111:Y120))</f>
        <v>89885.910587552426</v>
      </c>
      <c r="Z134" s="247"/>
      <c r="AA134" s="247"/>
      <c r="AB134" s="247"/>
      <c r="AC134" s="247"/>
    </row>
    <row r="135" spans="2:33">
      <c r="B135" s="237" t="s">
        <v>578</v>
      </c>
      <c r="C135" s="273" t="s">
        <v>131</v>
      </c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37">
        <f ca="1">SUMIFS(Sch.48T!T52:T81,Sch.48T!S52:S81,"Load Size kW")*O132/100</f>
        <v>1229586.0769587322</v>
      </c>
      <c r="P135" s="245">
        <f ca="1">'Sch.48T-DF'!O18*O132/100</f>
        <v>220942.60862891132</v>
      </c>
      <c r="Q135" s="247"/>
      <c r="R135" s="247"/>
      <c r="S135" s="247"/>
      <c r="T135" s="247"/>
      <c r="U135" s="247"/>
      <c r="V135" s="247"/>
      <c r="W135" s="247"/>
      <c r="X135" s="237">
        <f ca="1">SUMIFS(Sch.48T!T114:T147,Sch.48T!S114:S147,"Load Size kW")*X132/100</f>
        <v>1227741.8786664288</v>
      </c>
      <c r="Y135" s="245">
        <f ca="1">'Sch.48T-DF'!O41*X132/100</f>
        <v>223475.16066375689</v>
      </c>
      <c r="Z135" s="247"/>
      <c r="AA135" s="247"/>
      <c r="AB135" s="247"/>
      <c r="AC135" s="247"/>
    </row>
    <row r="136" spans="2:33">
      <c r="B136" s="237" t="s">
        <v>578</v>
      </c>
      <c r="C136" s="273" t="s">
        <v>415</v>
      </c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37">
        <f ca="1">(O111+O113+O115+O116+O117)*(1+O121/SUM(O111:O120))-O135</f>
        <v>12760981.207470072</v>
      </c>
      <c r="P136" s="245">
        <f ca="1">(P111+P113+P115+P116+P117)*(1+P121/SUM(P111:P120))-P135</f>
        <v>15039011.306897812</v>
      </c>
      <c r="Q136" s="247"/>
      <c r="R136" s="247"/>
      <c r="S136" s="247"/>
      <c r="T136" s="247"/>
      <c r="U136" s="247"/>
      <c r="V136" s="247"/>
      <c r="W136" s="247"/>
      <c r="X136" s="237">
        <f ca="1">(X111+X113+X115+X116+X117)*(1+X121/SUM(X111:X120))-X135</f>
        <v>12762536.095526336</v>
      </c>
      <c r="Y136" s="245">
        <f ca="1">(Y111+Y113+Y115+Y116+Y117)*(1+Y121/SUM(Y111:Y120))-Y135</f>
        <v>15036135.050683731</v>
      </c>
      <c r="Z136" s="247"/>
      <c r="AA136" s="247"/>
      <c r="AB136" s="247"/>
      <c r="AC136" s="247"/>
    </row>
    <row r="137" spans="2:33">
      <c r="B137" s="241" t="s">
        <v>578</v>
      </c>
      <c r="C137" s="256" t="s">
        <v>416</v>
      </c>
      <c r="D137" s="600"/>
      <c r="E137" s="600"/>
      <c r="F137" s="600"/>
      <c r="G137" s="600"/>
      <c r="H137" s="600"/>
      <c r="I137" s="600"/>
      <c r="J137" s="600"/>
      <c r="K137" s="600"/>
      <c r="L137" s="600"/>
      <c r="M137" s="600"/>
      <c r="N137" s="600"/>
      <c r="O137" s="241">
        <f ca="1">(O112+O114)*(1+O121/SUM(O111:O120))</f>
        <v>18262402.367855452</v>
      </c>
      <c r="P137" s="259">
        <f ca="1">(P112+P114)*(1+P121/SUM(P111:P120))</f>
        <v>25677430.532540374</v>
      </c>
      <c r="Q137" s="600"/>
      <c r="R137" s="600"/>
      <c r="S137" s="600"/>
      <c r="T137" s="600"/>
      <c r="U137" s="600"/>
      <c r="V137" s="600"/>
      <c r="W137" s="600"/>
      <c r="X137" s="241">
        <f ca="1">(X112+X114)*(1+X121/SUM(X111:X120))</f>
        <v>18261995.606042601</v>
      </c>
      <c r="Y137" s="259">
        <f ca="1">(Y112+Y114)*(1+Y121/SUM(Y111:Y120))</f>
        <v>25676858.621007975</v>
      </c>
      <c r="Z137" s="247"/>
      <c r="AA137" s="247"/>
      <c r="AB137" s="247"/>
      <c r="AC137" s="247"/>
    </row>
  </sheetData>
  <pageMargins left="0.7" right="0.7" top="0.75" bottom="0.75" header="0.3" footer="0.3"/>
  <pageSetup orientation="portrait" r:id="rId1"/>
  <ignoredErrors>
    <ignoredError sqref="S112:S121 T1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F94C-5A11-408A-B907-841CBEA4B71E}">
  <sheetPr>
    <pageSetUpPr autoPageBreaks="0" fitToPage="1"/>
  </sheetPr>
  <dimension ref="B2:U277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ColWidth="9" defaultRowHeight="15.75"/>
  <cols>
    <col min="1" max="1" width="0.875" style="48" customWidth="1"/>
    <col min="2" max="2" width="36" style="48" bestFit="1" customWidth="1"/>
    <col min="3" max="3" width="20.625" style="48" bestFit="1" customWidth="1"/>
    <col min="4" max="4" width="12.625" style="48" bestFit="1" customWidth="1"/>
    <col min="5" max="5" width="11" style="48" bestFit="1" customWidth="1"/>
    <col min="6" max="6" width="7.625" style="48" customWidth="1"/>
    <col min="7" max="7" width="10.5" style="48" customWidth="1"/>
    <col min="8" max="8" width="41.5" style="48" customWidth="1"/>
    <col min="9" max="21" width="15.125" style="48" customWidth="1"/>
    <col min="22" max="22" width="9.25" style="48" customWidth="1"/>
    <col min="23" max="16384" width="9" style="48"/>
  </cols>
  <sheetData>
    <row r="2" spans="2:21">
      <c r="B2" s="171" t="s">
        <v>269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</row>
    <row r="3" spans="2:21">
      <c r="B3" s="97"/>
      <c r="C3" s="97" t="s">
        <v>146</v>
      </c>
      <c r="D3" s="97" t="s">
        <v>90</v>
      </c>
      <c r="E3" s="97" t="s">
        <v>115</v>
      </c>
      <c r="F3" s="97" t="s">
        <v>130</v>
      </c>
      <c r="G3" s="97" t="s">
        <v>131</v>
      </c>
      <c r="H3" s="97" t="s">
        <v>142</v>
      </c>
      <c r="I3" s="98" t="s">
        <v>154</v>
      </c>
      <c r="J3" s="75">
        <v>44378</v>
      </c>
      <c r="K3" s="75">
        <v>44409</v>
      </c>
      <c r="L3" s="75">
        <v>44440</v>
      </c>
      <c r="M3" s="75">
        <v>44470</v>
      </c>
      <c r="N3" s="75">
        <v>44501</v>
      </c>
      <c r="O3" s="75">
        <v>44531</v>
      </c>
      <c r="P3" s="75">
        <v>44562</v>
      </c>
      <c r="Q3" s="75">
        <v>44593</v>
      </c>
      <c r="R3" s="75">
        <v>44621</v>
      </c>
      <c r="S3" s="75">
        <v>44652</v>
      </c>
      <c r="T3" s="75">
        <v>44682</v>
      </c>
      <c r="U3" s="75">
        <v>44713</v>
      </c>
    </row>
    <row r="4" spans="2:21">
      <c r="B4" s="97"/>
      <c r="C4" s="99"/>
      <c r="D4" s="99"/>
      <c r="E4" s="99"/>
      <c r="F4" s="99"/>
      <c r="G4" s="99"/>
      <c r="H4" s="99"/>
      <c r="I4" s="97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5" spans="2:21">
      <c r="B5" s="57" t="s">
        <v>269</v>
      </c>
      <c r="C5" s="101" t="s">
        <v>356</v>
      </c>
      <c r="D5" s="101" t="s">
        <v>2</v>
      </c>
      <c r="E5" s="101" t="s">
        <v>132</v>
      </c>
      <c r="F5" s="101" t="s">
        <v>132</v>
      </c>
      <c r="G5" s="101" t="s">
        <v>132</v>
      </c>
      <c r="H5" s="101" t="s">
        <v>285</v>
      </c>
      <c r="I5" s="55">
        <f>SUM(J5:U5)</f>
        <v>247734</v>
      </c>
      <c r="J5" s="102">
        <v>19278</v>
      </c>
      <c r="K5" s="102">
        <v>19415</v>
      </c>
      <c r="L5" s="102">
        <v>19685</v>
      </c>
      <c r="M5" s="102">
        <v>20001</v>
      </c>
      <c r="N5" s="102">
        <v>20407</v>
      </c>
      <c r="O5" s="102">
        <v>20595</v>
      </c>
      <c r="P5" s="102">
        <v>20830</v>
      </c>
      <c r="Q5" s="102">
        <v>20994</v>
      </c>
      <c r="R5" s="102">
        <v>21370</v>
      </c>
      <c r="S5" s="102">
        <v>21539</v>
      </c>
      <c r="T5" s="102">
        <v>21723</v>
      </c>
      <c r="U5" s="102">
        <v>21897</v>
      </c>
    </row>
    <row r="6" spans="2:21">
      <c r="B6" s="57" t="s">
        <v>269</v>
      </c>
      <c r="C6" s="101" t="s">
        <v>356</v>
      </c>
      <c r="D6" s="101" t="s">
        <v>2</v>
      </c>
      <c r="E6" s="101" t="s">
        <v>132</v>
      </c>
      <c r="F6" s="101" t="s">
        <v>132</v>
      </c>
      <c r="G6" s="101" t="s">
        <v>132</v>
      </c>
      <c r="H6" s="101" t="s">
        <v>286</v>
      </c>
      <c r="I6" s="55">
        <f t="shared" ref="I6:I68" si="0">SUM(J6:U6)</f>
        <v>452344</v>
      </c>
      <c r="J6" s="102">
        <v>36089</v>
      </c>
      <c r="K6" s="102">
        <v>36209</v>
      </c>
      <c r="L6" s="102">
        <v>36559</v>
      </c>
      <c r="M6" s="102">
        <v>36886</v>
      </c>
      <c r="N6" s="102">
        <v>37284</v>
      </c>
      <c r="O6" s="102">
        <v>37508</v>
      </c>
      <c r="P6" s="102">
        <v>37754</v>
      </c>
      <c r="Q6" s="102">
        <v>38069</v>
      </c>
      <c r="R6" s="102">
        <v>38582</v>
      </c>
      <c r="S6" s="102">
        <v>38878</v>
      </c>
      <c r="T6" s="102">
        <v>39126</v>
      </c>
      <c r="U6" s="102">
        <v>39400</v>
      </c>
    </row>
    <row r="7" spans="2:21">
      <c r="B7" s="57" t="s">
        <v>269</v>
      </c>
      <c r="C7" s="101" t="s">
        <v>356</v>
      </c>
      <c r="D7" s="101" t="s">
        <v>2</v>
      </c>
      <c r="E7" s="101" t="s">
        <v>132</v>
      </c>
      <c r="F7" s="101" t="s">
        <v>132</v>
      </c>
      <c r="G7" s="101" t="s">
        <v>132</v>
      </c>
      <c r="H7" s="101" t="s">
        <v>271</v>
      </c>
      <c r="I7" s="55">
        <f t="shared" si="0"/>
        <v>1328900.3587096774</v>
      </c>
      <c r="J7" s="102">
        <v>110253.03096774191</v>
      </c>
      <c r="K7" s="102">
        <v>110356.59096774195</v>
      </c>
      <c r="L7" s="102">
        <v>110384.08129032257</v>
      </c>
      <c r="M7" s="102">
        <v>110369.36774193549</v>
      </c>
      <c r="N7" s="102">
        <v>110565.16000000002</v>
      </c>
      <c r="O7" s="102">
        <v>110965.45548387097</v>
      </c>
      <c r="P7" s="102">
        <v>111015.79096774192</v>
      </c>
      <c r="Q7" s="102">
        <v>110848.08258064515</v>
      </c>
      <c r="R7" s="102">
        <v>110981.7548387097</v>
      </c>
      <c r="S7" s="102">
        <v>111013.96774193548</v>
      </c>
      <c r="T7" s="102">
        <v>111012.60516129034</v>
      </c>
      <c r="U7" s="102">
        <v>111134.47096774196</v>
      </c>
    </row>
    <row r="8" spans="2:21">
      <c r="B8" s="57" t="s">
        <v>269</v>
      </c>
      <c r="C8" s="101" t="s">
        <v>356</v>
      </c>
      <c r="D8" s="101" t="s">
        <v>2</v>
      </c>
      <c r="E8" s="101" t="s">
        <v>132</v>
      </c>
      <c r="F8" s="101" t="s">
        <v>132</v>
      </c>
      <c r="G8" s="101" t="s">
        <v>132</v>
      </c>
      <c r="H8" s="101" t="s">
        <v>133</v>
      </c>
      <c r="I8" s="55">
        <f t="shared" si="0"/>
        <v>6381.4662921348308</v>
      </c>
      <c r="J8" s="102">
        <v>528</v>
      </c>
      <c r="K8" s="102">
        <v>494</v>
      </c>
      <c r="L8" s="102">
        <v>472</v>
      </c>
      <c r="M8" s="102">
        <v>609</v>
      </c>
      <c r="N8" s="102">
        <v>628</v>
      </c>
      <c r="O8" s="102">
        <v>462</v>
      </c>
      <c r="P8" s="102">
        <v>467</v>
      </c>
      <c r="Q8" s="102">
        <v>426</v>
      </c>
      <c r="R8" s="102">
        <v>577.93258426966293</v>
      </c>
      <c r="S8" s="102">
        <v>416.06741573033702</v>
      </c>
      <c r="T8" s="102">
        <v>448.53370786516854</v>
      </c>
      <c r="U8" s="102">
        <v>852.93258426966293</v>
      </c>
    </row>
    <row r="9" spans="2:21">
      <c r="B9" s="57" t="s">
        <v>269</v>
      </c>
      <c r="C9" s="101" t="s">
        <v>356</v>
      </c>
      <c r="D9" s="101" t="s">
        <v>2</v>
      </c>
      <c r="E9" s="101" t="s">
        <v>132</v>
      </c>
      <c r="F9" s="101" t="s">
        <v>132</v>
      </c>
      <c r="G9" s="101" t="s">
        <v>132</v>
      </c>
      <c r="H9" s="101" t="s">
        <v>216</v>
      </c>
      <c r="I9" s="55">
        <f t="shared" si="0"/>
        <v>596.1514285714286</v>
      </c>
      <c r="J9" s="102">
        <v>47.382857142857141</v>
      </c>
      <c r="K9" s="102">
        <v>47.282857142857139</v>
      </c>
      <c r="L9" s="102">
        <v>46.965714285714284</v>
      </c>
      <c r="M9" s="102">
        <v>45.965714285714284</v>
      </c>
      <c r="N9" s="102">
        <v>48.948571428571427</v>
      </c>
      <c r="O9" s="102">
        <v>50.965714285714284</v>
      </c>
      <c r="P9" s="102">
        <v>51.44</v>
      </c>
      <c r="Q9" s="102">
        <v>53.42285714285714</v>
      </c>
      <c r="R9" s="102">
        <v>51.408571428571427</v>
      </c>
      <c r="S9" s="102">
        <v>51.471428571428575</v>
      </c>
      <c r="T9" s="102">
        <v>51.44</v>
      </c>
      <c r="U9" s="102">
        <v>49.457142857142856</v>
      </c>
    </row>
    <row r="10" spans="2:21">
      <c r="B10" s="57" t="s">
        <v>269</v>
      </c>
      <c r="C10" s="101" t="s">
        <v>356</v>
      </c>
      <c r="D10" s="101" t="s">
        <v>2</v>
      </c>
      <c r="E10" s="101" t="s">
        <v>132</v>
      </c>
      <c r="F10" s="101" t="s">
        <v>132</v>
      </c>
      <c r="G10" s="101" t="s">
        <v>132</v>
      </c>
      <c r="H10" s="56" t="s">
        <v>302</v>
      </c>
      <c r="I10" s="55">
        <f t="shared" si="0"/>
        <v>340424.48000000004</v>
      </c>
      <c r="J10" s="102">
        <v>31760.720000000001</v>
      </c>
      <c r="K10" s="102">
        <v>29468.639999999999</v>
      </c>
      <c r="L10" s="102">
        <v>21853.200000000001</v>
      </c>
      <c r="M10" s="102">
        <v>18647.800000000003</v>
      </c>
      <c r="N10" s="102">
        <v>23635.4</v>
      </c>
      <c r="O10" s="102">
        <v>34121.160000000003</v>
      </c>
      <c r="P10" s="102">
        <v>47028.960000000006</v>
      </c>
      <c r="Q10" s="102">
        <v>37454.92</v>
      </c>
      <c r="R10" s="102">
        <v>29232.720000000001</v>
      </c>
      <c r="S10" s="102">
        <v>23543.559999999998</v>
      </c>
      <c r="T10" s="102">
        <v>22732.639999999999</v>
      </c>
      <c r="U10" s="102">
        <v>20944.760000000002</v>
      </c>
    </row>
    <row r="11" spans="2:21">
      <c r="B11" s="57" t="s">
        <v>269</v>
      </c>
      <c r="C11" s="101" t="s">
        <v>165</v>
      </c>
      <c r="D11" s="101" t="s">
        <v>2</v>
      </c>
      <c r="E11" s="101" t="s">
        <v>132</v>
      </c>
      <c r="F11" s="101" t="s">
        <v>132</v>
      </c>
      <c r="G11" s="101" t="s">
        <v>132</v>
      </c>
      <c r="H11" s="101" t="s">
        <v>285</v>
      </c>
      <c r="I11" s="55">
        <f t="shared" si="0"/>
        <v>8319</v>
      </c>
      <c r="J11" s="102">
        <v>644</v>
      </c>
      <c r="K11" s="102">
        <v>653</v>
      </c>
      <c r="L11" s="102">
        <v>666</v>
      </c>
      <c r="M11" s="102">
        <v>674</v>
      </c>
      <c r="N11" s="102">
        <v>684</v>
      </c>
      <c r="O11" s="102">
        <v>688</v>
      </c>
      <c r="P11" s="102">
        <v>694</v>
      </c>
      <c r="Q11" s="102">
        <v>708</v>
      </c>
      <c r="R11" s="102">
        <v>718</v>
      </c>
      <c r="S11" s="102">
        <v>728</v>
      </c>
      <c r="T11" s="102">
        <v>730</v>
      </c>
      <c r="U11" s="102">
        <v>732</v>
      </c>
    </row>
    <row r="12" spans="2:21">
      <c r="B12" s="57" t="s">
        <v>269</v>
      </c>
      <c r="C12" s="101" t="s">
        <v>165</v>
      </c>
      <c r="D12" s="101" t="s">
        <v>2</v>
      </c>
      <c r="E12" s="101" t="s">
        <v>132</v>
      </c>
      <c r="F12" s="101" t="s">
        <v>132</v>
      </c>
      <c r="G12" s="101" t="s">
        <v>132</v>
      </c>
      <c r="H12" s="101" t="s">
        <v>286</v>
      </c>
      <c r="I12" s="55">
        <f t="shared" si="0"/>
        <v>11191</v>
      </c>
      <c r="J12" s="102">
        <v>895</v>
      </c>
      <c r="K12" s="102">
        <v>895</v>
      </c>
      <c r="L12" s="102">
        <v>905</v>
      </c>
      <c r="M12" s="102">
        <v>917</v>
      </c>
      <c r="N12" s="102">
        <v>920</v>
      </c>
      <c r="O12" s="102">
        <v>930</v>
      </c>
      <c r="P12" s="102">
        <v>935</v>
      </c>
      <c r="Q12" s="102">
        <v>946</v>
      </c>
      <c r="R12" s="102">
        <v>954</v>
      </c>
      <c r="S12" s="102">
        <v>960</v>
      </c>
      <c r="T12" s="102">
        <v>963</v>
      </c>
      <c r="U12" s="102">
        <v>971</v>
      </c>
    </row>
    <row r="13" spans="2:21">
      <c r="B13" s="57" t="s">
        <v>269</v>
      </c>
      <c r="C13" s="101" t="s">
        <v>165</v>
      </c>
      <c r="D13" s="101" t="s">
        <v>2</v>
      </c>
      <c r="E13" s="101" t="s">
        <v>132</v>
      </c>
      <c r="F13" s="101" t="s">
        <v>136</v>
      </c>
      <c r="G13" s="101" t="s">
        <v>132</v>
      </c>
      <c r="H13" s="101" t="s">
        <v>271</v>
      </c>
      <c r="I13" s="55">
        <f t="shared" si="0"/>
        <v>39261.300000000003</v>
      </c>
      <c r="J13" s="102">
        <v>3271.8999999999996</v>
      </c>
      <c r="K13" s="102">
        <v>3276.9666666666676</v>
      </c>
      <c r="L13" s="102">
        <v>3272.6333333333332</v>
      </c>
      <c r="M13" s="102">
        <v>3271.5333333333328</v>
      </c>
      <c r="N13" s="102">
        <v>3275.7333333333327</v>
      </c>
      <c r="O13" s="102">
        <v>3279.1666666666674</v>
      </c>
      <c r="P13" s="102">
        <v>3278.4000000000015</v>
      </c>
      <c r="Q13" s="102">
        <v>3266.1333333333328</v>
      </c>
      <c r="R13" s="102">
        <v>3267.2999999999993</v>
      </c>
      <c r="S13" s="102">
        <v>3270.2</v>
      </c>
      <c r="T13" s="102">
        <v>3265.333333333333</v>
      </c>
      <c r="U13" s="102">
        <v>3266</v>
      </c>
    </row>
    <row r="14" spans="2:21">
      <c r="B14" s="57" t="s">
        <v>269</v>
      </c>
      <c r="C14" s="101" t="s">
        <v>165</v>
      </c>
      <c r="D14" s="101" t="s">
        <v>2</v>
      </c>
      <c r="E14" s="101" t="s">
        <v>132</v>
      </c>
      <c r="F14" s="101" t="s">
        <v>137</v>
      </c>
      <c r="G14" s="101" t="s">
        <v>132</v>
      </c>
      <c r="H14" s="101" t="s">
        <v>271</v>
      </c>
      <c r="I14" s="55">
        <f t="shared" si="0"/>
        <v>2717.666666666667</v>
      </c>
      <c r="J14" s="102">
        <v>227</v>
      </c>
      <c r="K14" s="102">
        <v>227</v>
      </c>
      <c r="L14" s="102">
        <v>227</v>
      </c>
      <c r="M14" s="102">
        <v>226.7</v>
      </c>
      <c r="N14" s="102">
        <v>226.06666666666666</v>
      </c>
      <c r="O14" s="102">
        <v>226.13333333333333</v>
      </c>
      <c r="P14" s="102">
        <v>226.9</v>
      </c>
      <c r="Q14" s="102">
        <v>226.96666666666667</v>
      </c>
      <c r="R14" s="102">
        <v>225.9</v>
      </c>
      <c r="S14" s="102">
        <v>226</v>
      </c>
      <c r="T14" s="102">
        <v>226</v>
      </c>
      <c r="U14" s="102">
        <v>226</v>
      </c>
    </row>
    <row r="15" spans="2:21">
      <c r="B15" s="57" t="s">
        <v>269</v>
      </c>
      <c r="C15" s="101" t="s">
        <v>165</v>
      </c>
      <c r="D15" s="101" t="s">
        <v>2</v>
      </c>
      <c r="E15" s="101" t="s">
        <v>132</v>
      </c>
      <c r="F15" s="101" t="s">
        <v>132</v>
      </c>
      <c r="G15" s="101" t="s">
        <v>132</v>
      </c>
      <c r="H15" s="101" t="s">
        <v>217</v>
      </c>
      <c r="I15" s="55">
        <f t="shared" si="0"/>
        <v>24552.924358974364</v>
      </c>
      <c r="J15" s="102">
        <v>1998.9916666666668</v>
      </c>
      <c r="K15" s="102">
        <v>1989.5064102564102</v>
      </c>
      <c r="L15" s="102">
        <v>1990.2692307692307</v>
      </c>
      <c r="M15" s="102">
        <v>2048.1903846153846</v>
      </c>
      <c r="N15" s="102">
        <v>2042.2307692307693</v>
      </c>
      <c r="O15" s="102">
        <v>2078.8051282051283</v>
      </c>
      <c r="P15" s="102">
        <v>2121.874358974359</v>
      </c>
      <c r="Q15" s="102">
        <v>2139.125641025641</v>
      </c>
      <c r="R15" s="102">
        <v>2014.9307692307693</v>
      </c>
      <c r="S15" s="102">
        <v>2020.3833333333334</v>
      </c>
      <c r="T15" s="102">
        <v>2049.7435897435894</v>
      </c>
      <c r="U15" s="102">
        <v>2058.873076923077</v>
      </c>
    </row>
    <row r="16" spans="2:21">
      <c r="B16" s="57" t="s">
        <v>269</v>
      </c>
      <c r="C16" s="101" t="s">
        <v>165</v>
      </c>
      <c r="D16" s="101" t="s">
        <v>2</v>
      </c>
      <c r="E16" s="101" t="s">
        <v>132</v>
      </c>
      <c r="F16" s="101" t="s">
        <v>132</v>
      </c>
      <c r="G16" s="101" t="s">
        <v>132</v>
      </c>
      <c r="H16" s="101" t="s">
        <v>139</v>
      </c>
      <c r="I16" s="55">
        <f t="shared" si="0"/>
        <v>14515.131233595803</v>
      </c>
      <c r="J16" s="102">
        <v>1017</v>
      </c>
      <c r="K16" s="102">
        <v>934.20209973753288</v>
      </c>
      <c r="L16" s="102">
        <v>972.39895013123351</v>
      </c>
      <c r="M16" s="102">
        <v>1047.6010498687665</v>
      </c>
      <c r="N16" s="102">
        <v>1216.6325459317586</v>
      </c>
      <c r="O16" s="102">
        <v>1361.3280839895012</v>
      </c>
      <c r="P16" s="102">
        <v>1765.0341207349084</v>
      </c>
      <c r="Q16" s="102">
        <v>1560.3989501312335</v>
      </c>
      <c r="R16" s="102">
        <v>1376.4330708661419</v>
      </c>
      <c r="S16" s="102">
        <v>1166.7664041994751</v>
      </c>
      <c r="T16" s="102">
        <v>1128.734908136483</v>
      </c>
      <c r="U16" s="102">
        <v>968.60104986876638</v>
      </c>
    </row>
    <row r="17" spans="2:21">
      <c r="B17" s="57" t="s">
        <v>269</v>
      </c>
      <c r="C17" s="101" t="s">
        <v>165</v>
      </c>
      <c r="D17" s="101" t="s">
        <v>2</v>
      </c>
      <c r="E17" s="101" t="s">
        <v>132</v>
      </c>
      <c r="F17" s="101" t="s">
        <v>132</v>
      </c>
      <c r="G17" s="101" t="s">
        <v>132</v>
      </c>
      <c r="H17" s="101" t="s">
        <v>138</v>
      </c>
      <c r="I17" s="55">
        <f t="shared" si="0"/>
        <v>113</v>
      </c>
      <c r="J17" s="102">
        <v>16</v>
      </c>
      <c r="K17" s="102">
        <v>17</v>
      </c>
      <c r="L17" s="102">
        <v>17</v>
      </c>
      <c r="M17" s="102">
        <v>13</v>
      </c>
      <c r="N17" s="102">
        <v>4</v>
      </c>
      <c r="O17" s="102">
        <v>5</v>
      </c>
      <c r="P17" s="102">
        <v>2</v>
      </c>
      <c r="Q17" s="102">
        <v>6</v>
      </c>
      <c r="R17" s="102">
        <v>5</v>
      </c>
      <c r="S17" s="102">
        <v>6</v>
      </c>
      <c r="T17" s="102">
        <v>9</v>
      </c>
      <c r="U17" s="102">
        <v>13</v>
      </c>
    </row>
    <row r="18" spans="2:21">
      <c r="B18" s="57" t="s">
        <v>269</v>
      </c>
      <c r="C18" s="101" t="s">
        <v>165</v>
      </c>
      <c r="D18" s="101" t="s">
        <v>3</v>
      </c>
      <c r="E18" s="101" t="s">
        <v>132</v>
      </c>
      <c r="F18" s="101" t="s">
        <v>132</v>
      </c>
      <c r="G18" s="101" t="s">
        <v>132</v>
      </c>
      <c r="H18" s="101" t="s">
        <v>285</v>
      </c>
      <c r="I18" s="55">
        <f t="shared" si="0"/>
        <v>29994</v>
      </c>
      <c r="J18" s="102">
        <v>2338</v>
      </c>
      <c r="K18" s="102">
        <v>2358</v>
      </c>
      <c r="L18" s="102">
        <v>2385</v>
      </c>
      <c r="M18" s="102">
        <v>2414</v>
      </c>
      <c r="N18" s="102">
        <v>2453</v>
      </c>
      <c r="O18" s="102">
        <v>2481</v>
      </c>
      <c r="P18" s="102">
        <v>2513</v>
      </c>
      <c r="Q18" s="102">
        <v>2538</v>
      </c>
      <c r="R18" s="102">
        <v>2572</v>
      </c>
      <c r="S18" s="102">
        <v>2606</v>
      </c>
      <c r="T18" s="102">
        <v>2651</v>
      </c>
      <c r="U18" s="102">
        <v>2685</v>
      </c>
    </row>
    <row r="19" spans="2:21">
      <c r="B19" s="57" t="s">
        <v>269</v>
      </c>
      <c r="C19" s="101" t="s">
        <v>165</v>
      </c>
      <c r="D19" s="101" t="s">
        <v>3</v>
      </c>
      <c r="E19" s="101" t="s">
        <v>132</v>
      </c>
      <c r="F19" s="101" t="s">
        <v>132</v>
      </c>
      <c r="G19" s="101" t="s">
        <v>132</v>
      </c>
      <c r="H19" s="101" t="s">
        <v>286</v>
      </c>
      <c r="I19" s="55">
        <f t="shared" si="0"/>
        <v>54240</v>
      </c>
      <c r="J19" s="102">
        <v>4313</v>
      </c>
      <c r="K19" s="102">
        <v>4321</v>
      </c>
      <c r="L19" s="102">
        <v>4377</v>
      </c>
      <c r="M19" s="102">
        <v>4435</v>
      </c>
      <c r="N19" s="102">
        <v>4446</v>
      </c>
      <c r="O19" s="102">
        <v>4471</v>
      </c>
      <c r="P19" s="102">
        <v>4518</v>
      </c>
      <c r="Q19" s="102">
        <v>4546</v>
      </c>
      <c r="R19" s="102">
        <v>4616</v>
      </c>
      <c r="S19" s="102">
        <v>4657</v>
      </c>
      <c r="T19" s="102">
        <v>4741</v>
      </c>
      <c r="U19" s="102">
        <v>4799</v>
      </c>
    </row>
    <row r="20" spans="2:21">
      <c r="B20" s="57" t="s">
        <v>269</v>
      </c>
      <c r="C20" s="101" t="s">
        <v>165</v>
      </c>
      <c r="D20" s="101" t="s">
        <v>3</v>
      </c>
      <c r="E20" s="101" t="s">
        <v>132</v>
      </c>
      <c r="F20" s="101" t="s">
        <v>136</v>
      </c>
      <c r="G20" s="101" t="s">
        <v>132</v>
      </c>
      <c r="H20" s="101" t="s">
        <v>271</v>
      </c>
      <c r="I20" s="55">
        <f t="shared" si="0"/>
        <v>137486.80000000002</v>
      </c>
      <c r="J20" s="102">
        <v>11411.233333333334</v>
      </c>
      <c r="K20" s="102">
        <v>11425.83333333333</v>
      </c>
      <c r="L20" s="102">
        <v>11403.666666666666</v>
      </c>
      <c r="M20" s="102">
        <v>11418.966666666669</v>
      </c>
      <c r="N20" s="102">
        <v>11443.066666666669</v>
      </c>
      <c r="O20" s="102">
        <v>11474.733333333332</v>
      </c>
      <c r="P20" s="102">
        <v>11477.999999999993</v>
      </c>
      <c r="Q20" s="102">
        <v>11460.16666666667</v>
      </c>
      <c r="R20" s="102">
        <v>11489.233333333337</v>
      </c>
      <c r="S20" s="102">
        <v>11473.266666666668</v>
      </c>
      <c r="T20" s="102">
        <v>11486.933333333334</v>
      </c>
      <c r="U20" s="102">
        <v>11521.699999999999</v>
      </c>
    </row>
    <row r="21" spans="2:21">
      <c r="B21" s="57" t="s">
        <v>269</v>
      </c>
      <c r="C21" s="101" t="s">
        <v>165</v>
      </c>
      <c r="D21" s="101" t="s">
        <v>3</v>
      </c>
      <c r="E21" s="101" t="s">
        <v>132</v>
      </c>
      <c r="F21" s="101" t="s">
        <v>136</v>
      </c>
      <c r="G21" s="101" t="s">
        <v>132</v>
      </c>
      <c r="H21" s="101" t="s">
        <v>272</v>
      </c>
      <c r="I21" s="55">
        <f t="shared" si="0"/>
        <v>2.6301369863013697</v>
      </c>
      <c r="J21" s="102">
        <v>0</v>
      </c>
      <c r="K21" s="102">
        <v>0</v>
      </c>
      <c r="L21" s="102">
        <v>0</v>
      </c>
      <c r="M21" s="102">
        <v>0</v>
      </c>
      <c r="N21" s="102">
        <v>2.6301369863013697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</row>
    <row r="22" spans="2:21">
      <c r="B22" s="57" t="s">
        <v>269</v>
      </c>
      <c r="C22" s="101" t="s">
        <v>165</v>
      </c>
      <c r="D22" s="101" t="s">
        <v>3</v>
      </c>
      <c r="E22" s="101" t="s">
        <v>132</v>
      </c>
      <c r="F22" s="101" t="s">
        <v>137</v>
      </c>
      <c r="G22" s="101" t="s">
        <v>132</v>
      </c>
      <c r="H22" s="101" t="s">
        <v>271</v>
      </c>
      <c r="I22" s="55">
        <f t="shared" si="0"/>
        <v>64614.799999999988</v>
      </c>
      <c r="J22" s="102">
        <v>5393.2666666666673</v>
      </c>
      <c r="K22" s="102">
        <v>5384.2000000000007</v>
      </c>
      <c r="L22" s="102">
        <v>5378.7333333333336</v>
      </c>
      <c r="M22" s="102">
        <v>5374.9333333333325</v>
      </c>
      <c r="N22" s="102">
        <v>5371.4333333333316</v>
      </c>
      <c r="O22" s="102">
        <v>5386.7</v>
      </c>
      <c r="P22" s="102">
        <v>5387.5666666666684</v>
      </c>
      <c r="Q22" s="102">
        <v>5375.7333333333318</v>
      </c>
      <c r="R22" s="102">
        <v>5388.699999999998</v>
      </c>
      <c r="S22" s="102">
        <v>5385.0999999999985</v>
      </c>
      <c r="T22" s="102">
        <v>5389.1333333333323</v>
      </c>
      <c r="U22" s="102">
        <v>5399.3</v>
      </c>
    </row>
    <row r="23" spans="2:21">
      <c r="B23" s="57" t="s">
        <v>269</v>
      </c>
      <c r="C23" s="101" t="s">
        <v>165</v>
      </c>
      <c r="D23" s="101" t="s">
        <v>3</v>
      </c>
      <c r="E23" s="101" t="s">
        <v>132</v>
      </c>
      <c r="F23" s="101" t="s">
        <v>137</v>
      </c>
      <c r="G23" s="101" t="s">
        <v>132</v>
      </c>
      <c r="H23" s="101" t="s">
        <v>272</v>
      </c>
      <c r="I23" s="55">
        <f t="shared" si="0"/>
        <v>63.471232876712314</v>
      </c>
      <c r="J23" s="102">
        <v>0</v>
      </c>
      <c r="K23" s="102">
        <v>0</v>
      </c>
      <c r="L23" s="102">
        <v>0</v>
      </c>
      <c r="M23" s="102">
        <v>0</v>
      </c>
      <c r="N23" s="102">
        <v>62.150684931506831</v>
      </c>
      <c r="O23" s="102">
        <v>0</v>
      </c>
      <c r="P23" s="102">
        <v>0</v>
      </c>
      <c r="Q23" s="102">
        <v>0.19178082191780821</v>
      </c>
      <c r="R23" s="102">
        <v>0.30410958904109592</v>
      </c>
      <c r="S23" s="102">
        <v>0</v>
      </c>
      <c r="T23" s="102">
        <v>0.8246575342465754</v>
      </c>
      <c r="U23" s="102">
        <v>0</v>
      </c>
    </row>
    <row r="24" spans="2:21">
      <c r="B24" s="57" t="s">
        <v>269</v>
      </c>
      <c r="C24" s="101" t="s">
        <v>165</v>
      </c>
      <c r="D24" s="101" t="s">
        <v>3</v>
      </c>
      <c r="E24" s="101" t="s">
        <v>132</v>
      </c>
      <c r="F24" s="101" t="s">
        <v>132</v>
      </c>
      <c r="G24" s="101" t="s">
        <v>132</v>
      </c>
      <c r="H24" s="101" t="s">
        <v>217</v>
      </c>
      <c r="I24" s="55">
        <f t="shared" si="0"/>
        <v>1187878.7378205128</v>
      </c>
      <c r="J24" s="102">
        <v>99876.58205128205</v>
      </c>
      <c r="K24" s="102">
        <v>100083.1641025641</v>
      </c>
      <c r="L24" s="102">
        <v>99727.209615384621</v>
      </c>
      <c r="M24" s="102">
        <v>99636.014743589738</v>
      </c>
      <c r="N24" s="102">
        <v>98616.714743589735</v>
      </c>
      <c r="O24" s="102">
        <v>98715.899358974362</v>
      </c>
      <c r="P24" s="102">
        <v>98716.667307692303</v>
      </c>
      <c r="Q24" s="102">
        <v>98538.346153846156</v>
      </c>
      <c r="R24" s="102">
        <v>98607.953205128215</v>
      </c>
      <c r="S24" s="102">
        <v>98765.269871794866</v>
      </c>
      <c r="T24" s="102">
        <v>98187.490384615376</v>
      </c>
      <c r="U24" s="102">
        <v>98407.426282051281</v>
      </c>
    </row>
    <row r="25" spans="2:21">
      <c r="B25" s="57" t="s">
        <v>269</v>
      </c>
      <c r="C25" s="101" t="s">
        <v>165</v>
      </c>
      <c r="D25" s="101" t="s">
        <v>3</v>
      </c>
      <c r="E25" s="101" t="s">
        <v>132</v>
      </c>
      <c r="F25" s="101" t="s">
        <v>132</v>
      </c>
      <c r="G25" s="101" t="s">
        <v>132</v>
      </c>
      <c r="H25" s="101" t="s">
        <v>219</v>
      </c>
      <c r="I25" s="55">
        <f t="shared" si="0"/>
        <v>2130.0812961011588</v>
      </c>
      <c r="J25" s="102">
        <v>0</v>
      </c>
      <c r="K25" s="102">
        <v>0</v>
      </c>
      <c r="L25" s="102">
        <v>0</v>
      </c>
      <c r="M25" s="102">
        <v>0</v>
      </c>
      <c r="N25" s="102">
        <v>2108.3416030031608</v>
      </c>
      <c r="O25" s="102">
        <v>0</v>
      </c>
      <c r="P25" s="102">
        <v>0</v>
      </c>
      <c r="Q25" s="102">
        <v>5.1778736389181592</v>
      </c>
      <c r="R25" s="102">
        <v>3.0412715138742521</v>
      </c>
      <c r="S25" s="102">
        <v>0</v>
      </c>
      <c r="T25" s="102">
        <v>13.520547945205477</v>
      </c>
      <c r="U25" s="102">
        <v>0</v>
      </c>
    </row>
    <row r="26" spans="2:21">
      <c r="B26" s="57" t="s">
        <v>269</v>
      </c>
      <c r="C26" s="101" t="s">
        <v>165</v>
      </c>
      <c r="D26" s="101" t="s">
        <v>3</v>
      </c>
      <c r="E26" s="101" t="s">
        <v>132</v>
      </c>
      <c r="F26" s="101" t="s">
        <v>132</v>
      </c>
      <c r="G26" s="101" t="s">
        <v>132</v>
      </c>
      <c r="H26" s="101" t="s">
        <v>139</v>
      </c>
      <c r="I26" s="55">
        <f t="shared" si="0"/>
        <v>715183.48293963249</v>
      </c>
      <c r="J26" s="102">
        <v>74324.769028871393</v>
      </c>
      <c r="K26" s="102">
        <v>68993.07086614173</v>
      </c>
      <c r="L26" s="102">
        <v>66045.469816272962</v>
      </c>
      <c r="M26" s="102">
        <v>59381.207349081356</v>
      </c>
      <c r="N26" s="102">
        <v>55445.343832020997</v>
      </c>
      <c r="O26" s="102">
        <v>56710.779527559047</v>
      </c>
      <c r="P26" s="102">
        <v>59012.850393700792</v>
      </c>
      <c r="Q26" s="102">
        <v>56361.398950131224</v>
      </c>
      <c r="R26" s="102">
        <v>57278.341207349076</v>
      </c>
      <c r="S26" s="102">
        <v>55578.309711286092</v>
      </c>
      <c r="T26" s="102">
        <v>53081.170603674531</v>
      </c>
      <c r="U26" s="102">
        <v>52970.771653543314</v>
      </c>
    </row>
    <row r="27" spans="2:21">
      <c r="B27" s="57" t="s">
        <v>269</v>
      </c>
      <c r="C27" s="101" t="s">
        <v>165</v>
      </c>
      <c r="D27" s="101" t="s">
        <v>3</v>
      </c>
      <c r="E27" s="101" t="s">
        <v>132</v>
      </c>
      <c r="F27" s="101" t="s">
        <v>132</v>
      </c>
      <c r="G27" s="101" t="s">
        <v>132</v>
      </c>
      <c r="H27" s="101" t="s">
        <v>138</v>
      </c>
      <c r="I27" s="55">
        <f t="shared" si="0"/>
        <v>108913.48275862068</v>
      </c>
      <c r="J27" s="102">
        <v>10485.189655172415</v>
      </c>
      <c r="K27" s="102">
        <v>11080.103448275862</v>
      </c>
      <c r="L27" s="102">
        <v>12804.327586206897</v>
      </c>
      <c r="M27" s="102">
        <v>12060.896551724139</v>
      </c>
      <c r="N27" s="102">
        <v>9286.5689655172409</v>
      </c>
      <c r="O27" s="102">
        <v>7276.4310344827582</v>
      </c>
      <c r="P27" s="102">
        <v>6477</v>
      </c>
      <c r="Q27" s="102">
        <v>6510.1379310344828</v>
      </c>
      <c r="R27" s="102">
        <v>7076.4655172413795</v>
      </c>
      <c r="S27" s="102">
        <v>8104.7413793103451</v>
      </c>
      <c r="T27" s="102">
        <v>8201.2068965517246</v>
      </c>
      <c r="U27" s="102">
        <v>9550.4137931034475</v>
      </c>
    </row>
    <row r="28" spans="2:21">
      <c r="B28" s="57" t="s">
        <v>269</v>
      </c>
      <c r="C28" s="101" t="s">
        <v>165</v>
      </c>
      <c r="D28" s="101" t="s">
        <v>3</v>
      </c>
      <c r="E28" s="101" t="s">
        <v>132</v>
      </c>
      <c r="F28" s="101" t="s">
        <v>132</v>
      </c>
      <c r="G28" s="101" t="s">
        <v>132</v>
      </c>
      <c r="H28" s="122" t="s">
        <v>303</v>
      </c>
      <c r="I28" s="55">
        <f t="shared" si="0"/>
        <v>104394</v>
      </c>
      <c r="J28" s="102">
        <v>9151</v>
      </c>
      <c r="K28" s="102">
        <v>9166</v>
      </c>
      <c r="L28" s="102">
        <v>9066</v>
      </c>
      <c r="M28" s="102">
        <v>9169</v>
      </c>
      <c r="N28" s="102">
        <v>9075</v>
      </c>
      <c r="O28" s="102">
        <v>7884</v>
      </c>
      <c r="P28" s="102">
        <v>8958</v>
      </c>
      <c r="Q28" s="102">
        <v>8917</v>
      </c>
      <c r="R28" s="102">
        <v>8859</v>
      </c>
      <c r="S28" s="102">
        <v>8253</v>
      </c>
      <c r="T28" s="102">
        <v>8064</v>
      </c>
      <c r="U28" s="102">
        <v>7832</v>
      </c>
    </row>
    <row r="29" spans="2:21">
      <c r="B29" s="57" t="s">
        <v>269</v>
      </c>
      <c r="C29" s="101" t="s">
        <v>165</v>
      </c>
      <c r="D29" s="101" t="s">
        <v>3</v>
      </c>
      <c r="E29" s="101" t="s">
        <v>132</v>
      </c>
      <c r="F29" s="101" t="s">
        <v>132</v>
      </c>
      <c r="G29" s="101" t="s">
        <v>132</v>
      </c>
      <c r="H29" s="122" t="s">
        <v>294</v>
      </c>
      <c r="I29" s="55">
        <f t="shared" si="0"/>
        <v>3766.6333333333332</v>
      </c>
      <c r="J29" s="102">
        <v>313.5333333333333</v>
      </c>
      <c r="K29" s="102">
        <v>316</v>
      </c>
      <c r="L29" s="102">
        <v>316</v>
      </c>
      <c r="M29" s="102">
        <v>314</v>
      </c>
      <c r="N29" s="102">
        <v>316.60000000000002</v>
      </c>
      <c r="O29" s="102">
        <v>315</v>
      </c>
      <c r="P29" s="102">
        <v>321</v>
      </c>
      <c r="Q29" s="102">
        <v>316</v>
      </c>
      <c r="R29" s="102">
        <v>316</v>
      </c>
      <c r="S29" s="102">
        <v>317</v>
      </c>
      <c r="T29" s="102">
        <v>307.5</v>
      </c>
      <c r="U29" s="102">
        <v>298</v>
      </c>
    </row>
    <row r="30" spans="2:21">
      <c r="B30" s="57" t="s">
        <v>269</v>
      </c>
      <c r="C30" s="101" t="s">
        <v>165</v>
      </c>
      <c r="D30" s="101" t="s">
        <v>3</v>
      </c>
      <c r="E30" s="101" t="s">
        <v>132</v>
      </c>
      <c r="F30" s="101" t="s">
        <v>132</v>
      </c>
      <c r="G30" s="101" t="s">
        <v>132</v>
      </c>
      <c r="H30" s="122" t="s">
        <v>304</v>
      </c>
      <c r="I30" s="55">
        <f t="shared" si="0"/>
        <v>132.06666666666666</v>
      </c>
      <c r="J30" s="102">
        <v>11.066666666666666</v>
      </c>
      <c r="K30" s="102">
        <v>11</v>
      </c>
      <c r="L30" s="102">
        <v>11</v>
      </c>
      <c r="M30" s="102">
        <v>11</v>
      </c>
      <c r="N30" s="102">
        <v>11</v>
      </c>
      <c r="O30" s="102">
        <v>11</v>
      </c>
      <c r="P30" s="102">
        <v>11</v>
      </c>
      <c r="Q30" s="102">
        <v>11</v>
      </c>
      <c r="R30" s="102">
        <v>11</v>
      </c>
      <c r="S30" s="102">
        <v>11</v>
      </c>
      <c r="T30" s="102">
        <v>11</v>
      </c>
      <c r="U30" s="102">
        <v>11</v>
      </c>
    </row>
    <row r="31" spans="2:21">
      <c r="B31" s="57" t="s">
        <v>269</v>
      </c>
      <c r="C31" s="101" t="s">
        <v>165</v>
      </c>
      <c r="D31" s="101" t="s">
        <v>5</v>
      </c>
      <c r="E31" s="101" t="s">
        <v>132</v>
      </c>
      <c r="F31" s="101" t="s">
        <v>132</v>
      </c>
      <c r="G31" s="101" t="s">
        <v>132</v>
      </c>
      <c r="H31" s="101" t="s">
        <v>285</v>
      </c>
      <c r="I31" s="55">
        <f t="shared" si="0"/>
        <v>317</v>
      </c>
      <c r="J31" s="102">
        <v>24</v>
      </c>
      <c r="K31" s="102">
        <v>21</v>
      </c>
      <c r="L31" s="102">
        <v>23</v>
      </c>
      <c r="M31" s="102">
        <v>24</v>
      </c>
      <c r="N31" s="102">
        <v>24</v>
      </c>
      <c r="O31" s="102">
        <v>27</v>
      </c>
      <c r="P31" s="102">
        <v>27</v>
      </c>
      <c r="Q31" s="102">
        <v>29</v>
      </c>
      <c r="R31" s="102">
        <v>30</v>
      </c>
      <c r="S31" s="102">
        <v>31</v>
      </c>
      <c r="T31" s="102">
        <v>28</v>
      </c>
      <c r="U31" s="102">
        <v>29</v>
      </c>
    </row>
    <row r="32" spans="2:21">
      <c r="B32" s="57" t="s">
        <v>269</v>
      </c>
      <c r="C32" s="101" t="s">
        <v>165</v>
      </c>
      <c r="D32" s="101" t="s">
        <v>5</v>
      </c>
      <c r="E32" s="101" t="s">
        <v>132</v>
      </c>
      <c r="F32" s="101" t="s">
        <v>132</v>
      </c>
      <c r="G32" s="101" t="s">
        <v>132</v>
      </c>
      <c r="H32" s="101" t="s">
        <v>286</v>
      </c>
      <c r="I32" s="55">
        <f t="shared" si="0"/>
        <v>927</v>
      </c>
      <c r="J32" s="102">
        <v>75</v>
      </c>
      <c r="K32" s="102">
        <v>75</v>
      </c>
      <c r="L32" s="102">
        <v>76</v>
      </c>
      <c r="M32" s="102">
        <v>76</v>
      </c>
      <c r="N32" s="102">
        <v>77</v>
      </c>
      <c r="O32" s="102">
        <v>78</v>
      </c>
      <c r="P32" s="102">
        <v>77</v>
      </c>
      <c r="Q32" s="102">
        <v>77</v>
      </c>
      <c r="R32" s="102">
        <v>77</v>
      </c>
      <c r="S32" s="102">
        <v>79</v>
      </c>
      <c r="T32" s="102">
        <v>80</v>
      </c>
      <c r="U32" s="102">
        <v>80</v>
      </c>
    </row>
    <row r="33" spans="2:21">
      <c r="B33" s="57" t="s">
        <v>269</v>
      </c>
      <c r="C33" s="101" t="s">
        <v>165</v>
      </c>
      <c r="D33" s="101" t="s">
        <v>5</v>
      </c>
      <c r="E33" s="101" t="s">
        <v>132</v>
      </c>
      <c r="F33" s="101" t="s">
        <v>136</v>
      </c>
      <c r="G33" s="101" t="s">
        <v>132</v>
      </c>
      <c r="H33" s="101" t="s">
        <v>271</v>
      </c>
      <c r="I33" s="55">
        <f t="shared" si="0"/>
        <v>2064.5333333333333</v>
      </c>
      <c r="J33" s="102">
        <v>172</v>
      </c>
      <c r="K33" s="102">
        <v>172</v>
      </c>
      <c r="L33" s="102">
        <v>172</v>
      </c>
      <c r="M33" s="102">
        <v>172</v>
      </c>
      <c r="N33" s="102">
        <v>172</v>
      </c>
      <c r="O33" s="102">
        <v>172.26666666666665</v>
      </c>
      <c r="P33" s="102">
        <v>172.1</v>
      </c>
      <c r="Q33" s="102">
        <v>171.9666666666667</v>
      </c>
      <c r="R33" s="102">
        <v>172.23333333333332</v>
      </c>
      <c r="S33" s="102">
        <v>171.96666666666667</v>
      </c>
      <c r="T33" s="102">
        <v>172</v>
      </c>
      <c r="U33" s="102">
        <v>172</v>
      </c>
    </row>
    <row r="34" spans="2:21">
      <c r="B34" s="57" t="s">
        <v>269</v>
      </c>
      <c r="C34" s="101" t="s">
        <v>165</v>
      </c>
      <c r="D34" s="101" t="s">
        <v>5</v>
      </c>
      <c r="E34" s="101" t="s">
        <v>132</v>
      </c>
      <c r="F34" s="101" t="s">
        <v>137</v>
      </c>
      <c r="G34" s="101" t="s">
        <v>132</v>
      </c>
      <c r="H34" s="101" t="s">
        <v>271</v>
      </c>
      <c r="I34" s="55">
        <f t="shared" si="0"/>
        <v>2816.0666666666666</v>
      </c>
      <c r="J34" s="102">
        <v>235</v>
      </c>
      <c r="K34" s="102">
        <v>233.60000000000002</v>
      </c>
      <c r="L34" s="102">
        <v>233.26666666666665</v>
      </c>
      <c r="M34" s="102">
        <v>234</v>
      </c>
      <c r="N34" s="102">
        <v>235.89999999999998</v>
      </c>
      <c r="O34" s="102">
        <v>235.29999999999998</v>
      </c>
      <c r="P34" s="102">
        <v>235.1</v>
      </c>
      <c r="Q34" s="102">
        <v>235.06666666666666</v>
      </c>
      <c r="R34" s="102">
        <v>234.9666666666667</v>
      </c>
      <c r="S34" s="102">
        <v>235.86666666666665</v>
      </c>
      <c r="T34" s="102">
        <v>235</v>
      </c>
      <c r="U34" s="102">
        <v>233</v>
      </c>
    </row>
    <row r="35" spans="2:21">
      <c r="B35" s="57" t="s">
        <v>269</v>
      </c>
      <c r="C35" s="101" t="s">
        <v>165</v>
      </c>
      <c r="D35" s="101" t="s">
        <v>5</v>
      </c>
      <c r="E35" s="101" t="s">
        <v>132</v>
      </c>
      <c r="F35" s="101" t="s">
        <v>137</v>
      </c>
      <c r="G35" s="101" t="s">
        <v>132</v>
      </c>
      <c r="H35" s="101" t="s">
        <v>272</v>
      </c>
      <c r="I35" s="55">
        <f t="shared" si="0"/>
        <v>1</v>
      </c>
      <c r="J35" s="102">
        <v>0</v>
      </c>
      <c r="K35" s="102">
        <v>0</v>
      </c>
      <c r="L35" s="102">
        <v>0</v>
      </c>
      <c r="M35" s="102">
        <v>0</v>
      </c>
      <c r="N35" s="102">
        <v>1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</row>
    <row r="36" spans="2:21">
      <c r="B36" s="57" t="s">
        <v>269</v>
      </c>
      <c r="C36" s="101" t="s">
        <v>165</v>
      </c>
      <c r="D36" s="101" t="s">
        <v>5</v>
      </c>
      <c r="E36" s="101" t="s">
        <v>132</v>
      </c>
      <c r="F36" s="101" t="s">
        <v>132</v>
      </c>
      <c r="G36" s="101" t="s">
        <v>132</v>
      </c>
      <c r="H36" s="101" t="s">
        <v>217</v>
      </c>
      <c r="I36" s="55">
        <f t="shared" si="0"/>
        <v>50566.221153846156</v>
      </c>
      <c r="J36" s="102">
        <v>4011.3365384615386</v>
      </c>
      <c r="K36" s="102">
        <v>3997.2019230769229</v>
      </c>
      <c r="L36" s="102">
        <v>4088</v>
      </c>
      <c r="M36" s="102">
        <v>4103</v>
      </c>
      <c r="N36" s="102">
        <v>4280</v>
      </c>
      <c r="O36" s="102">
        <v>4401.8557692307695</v>
      </c>
      <c r="P36" s="102">
        <v>4455.1346153846152</v>
      </c>
      <c r="Q36" s="102">
        <v>4264</v>
      </c>
      <c r="R36" s="102">
        <v>4238.7980769230771</v>
      </c>
      <c r="S36" s="102">
        <v>4326.8942307692305</v>
      </c>
      <c r="T36" s="102">
        <v>4231</v>
      </c>
      <c r="U36" s="102">
        <v>4169</v>
      </c>
    </row>
    <row r="37" spans="2:21">
      <c r="B37" s="57" t="s">
        <v>269</v>
      </c>
      <c r="C37" s="101" t="s">
        <v>165</v>
      </c>
      <c r="D37" s="101" t="s">
        <v>5</v>
      </c>
      <c r="E37" s="101" t="s">
        <v>132</v>
      </c>
      <c r="F37" s="101" t="s">
        <v>132</v>
      </c>
      <c r="G37" s="101" t="s">
        <v>132</v>
      </c>
      <c r="H37" s="101" t="s">
        <v>219</v>
      </c>
      <c r="I37" s="55">
        <f t="shared" si="0"/>
        <v>55.99970802599227</v>
      </c>
      <c r="J37" s="102">
        <v>0</v>
      </c>
      <c r="K37" s="102">
        <v>0</v>
      </c>
      <c r="L37" s="102">
        <v>0</v>
      </c>
      <c r="M37" s="102">
        <v>0</v>
      </c>
      <c r="N37" s="102">
        <v>55.99970802599227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</row>
    <row r="38" spans="2:21">
      <c r="B38" s="57" t="s">
        <v>269</v>
      </c>
      <c r="C38" s="101" t="s">
        <v>165</v>
      </c>
      <c r="D38" s="101" t="s">
        <v>5</v>
      </c>
      <c r="E38" s="101" t="s">
        <v>132</v>
      </c>
      <c r="F38" s="101" t="s">
        <v>132</v>
      </c>
      <c r="G38" s="101" t="s">
        <v>132</v>
      </c>
      <c r="H38" s="101" t="s">
        <v>139</v>
      </c>
      <c r="I38" s="55">
        <f t="shared" si="0"/>
        <v>32855.535433070865</v>
      </c>
      <c r="J38" s="102">
        <v>2856</v>
      </c>
      <c r="K38" s="102">
        <v>2677.732283464567</v>
      </c>
      <c r="L38" s="102">
        <v>2928</v>
      </c>
      <c r="M38" s="102">
        <v>2752</v>
      </c>
      <c r="N38" s="102">
        <v>2623</v>
      </c>
      <c r="O38" s="102">
        <v>2810.8005249343832</v>
      </c>
      <c r="P38" s="102">
        <v>2988</v>
      </c>
      <c r="Q38" s="102">
        <v>2823</v>
      </c>
      <c r="R38" s="102">
        <v>2771.3018372703414</v>
      </c>
      <c r="S38" s="102">
        <v>2646.7007874015744</v>
      </c>
      <c r="T38" s="102">
        <v>2559</v>
      </c>
      <c r="U38" s="102">
        <v>2420</v>
      </c>
    </row>
    <row r="39" spans="2:21">
      <c r="B39" s="57" t="s">
        <v>269</v>
      </c>
      <c r="C39" s="101" t="s">
        <v>165</v>
      </c>
      <c r="D39" s="101" t="s">
        <v>5</v>
      </c>
      <c r="E39" s="101" t="s">
        <v>132</v>
      </c>
      <c r="F39" s="101" t="s">
        <v>132</v>
      </c>
      <c r="G39" s="101" t="s">
        <v>132</v>
      </c>
      <c r="H39" s="101" t="s">
        <v>138</v>
      </c>
      <c r="I39" s="55">
        <f t="shared" si="0"/>
        <v>14449.086206896553</v>
      </c>
      <c r="J39" s="102">
        <v>1198.6724137931035</v>
      </c>
      <c r="K39" s="102">
        <v>1283.9310344827586</v>
      </c>
      <c r="L39" s="102">
        <v>1316.7241379310344</v>
      </c>
      <c r="M39" s="102">
        <v>1270</v>
      </c>
      <c r="N39" s="102">
        <v>1223.6034482758621</v>
      </c>
      <c r="O39" s="102">
        <v>1183.3793103448277</v>
      </c>
      <c r="P39" s="102">
        <v>1206</v>
      </c>
      <c r="Q39" s="102">
        <v>1080</v>
      </c>
      <c r="R39" s="102">
        <v>1075.1724137931035</v>
      </c>
      <c r="S39" s="102">
        <v>1201.6034482758621</v>
      </c>
      <c r="T39" s="102">
        <v>1231</v>
      </c>
      <c r="U39" s="102">
        <v>1179</v>
      </c>
    </row>
    <row r="40" spans="2:21">
      <c r="B40" s="57" t="s">
        <v>269</v>
      </c>
      <c r="C40" s="101" t="s">
        <v>165</v>
      </c>
      <c r="D40" s="101" t="s">
        <v>5</v>
      </c>
      <c r="E40" s="101" t="s">
        <v>132</v>
      </c>
      <c r="F40" s="101" t="s">
        <v>132</v>
      </c>
      <c r="G40" s="101" t="s">
        <v>132</v>
      </c>
      <c r="H40" s="122" t="s">
        <v>303</v>
      </c>
      <c r="I40" s="55">
        <f t="shared" si="0"/>
        <v>11942</v>
      </c>
      <c r="J40" s="102">
        <v>2378</v>
      </c>
      <c r="K40" s="102">
        <v>1950</v>
      </c>
      <c r="L40" s="102">
        <v>461.99999999999994</v>
      </c>
      <c r="M40" s="102">
        <v>461.99999999999994</v>
      </c>
      <c r="N40" s="102">
        <v>820</v>
      </c>
      <c r="O40" s="102">
        <v>820</v>
      </c>
      <c r="P40" s="102">
        <v>820</v>
      </c>
      <c r="Q40" s="102">
        <v>802</v>
      </c>
      <c r="R40" s="102">
        <v>828.00000000000011</v>
      </c>
      <c r="S40" s="102">
        <v>848</v>
      </c>
      <c r="T40" s="102">
        <v>849</v>
      </c>
      <c r="U40" s="102">
        <v>903.00000000000011</v>
      </c>
    </row>
    <row r="41" spans="2:21">
      <c r="B41" s="57" t="s">
        <v>269</v>
      </c>
      <c r="C41" s="101" t="s">
        <v>165</v>
      </c>
      <c r="D41" s="101" t="s">
        <v>5</v>
      </c>
      <c r="E41" s="101" t="s">
        <v>132</v>
      </c>
      <c r="F41" s="101" t="s">
        <v>132</v>
      </c>
      <c r="G41" s="101" t="s">
        <v>132</v>
      </c>
      <c r="H41" s="122" t="s">
        <v>294</v>
      </c>
      <c r="I41" s="55">
        <f t="shared" si="0"/>
        <v>489.2</v>
      </c>
      <c r="J41" s="102">
        <v>83</v>
      </c>
      <c r="K41" s="102">
        <v>73.2</v>
      </c>
      <c r="L41" s="102">
        <v>34</v>
      </c>
      <c r="M41" s="102">
        <v>34</v>
      </c>
      <c r="N41" s="102">
        <v>34</v>
      </c>
      <c r="O41" s="102">
        <v>34</v>
      </c>
      <c r="P41" s="102">
        <v>34</v>
      </c>
      <c r="Q41" s="102">
        <v>34</v>
      </c>
      <c r="R41" s="102">
        <v>34</v>
      </c>
      <c r="S41" s="102">
        <v>34</v>
      </c>
      <c r="T41" s="102">
        <v>34</v>
      </c>
      <c r="U41" s="102">
        <v>27</v>
      </c>
    </row>
    <row r="42" spans="2:21">
      <c r="B42" s="57" t="s">
        <v>269</v>
      </c>
      <c r="C42" s="101" t="s">
        <v>165</v>
      </c>
      <c r="D42" s="101" t="s">
        <v>5</v>
      </c>
      <c r="E42" s="101" t="s">
        <v>132</v>
      </c>
      <c r="F42" s="101" t="s">
        <v>132</v>
      </c>
      <c r="G42" s="101" t="s">
        <v>132</v>
      </c>
      <c r="H42" s="122" t="s">
        <v>304</v>
      </c>
      <c r="I42" s="55">
        <f t="shared" si="0"/>
        <v>25.933333333333334</v>
      </c>
      <c r="J42" s="102">
        <v>3</v>
      </c>
      <c r="K42" s="102">
        <v>2.9333333333333336</v>
      </c>
      <c r="L42" s="102">
        <v>2</v>
      </c>
      <c r="M42" s="102">
        <v>2</v>
      </c>
      <c r="N42" s="102">
        <v>2</v>
      </c>
      <c r="O42" s="102">
        <v>2</v>
      </c>
      <c r="P42" s="102">
        <v>2</v>
      </c>
      <c r="Q42" s="102">
        <v>2</v>
      </c>
      <c r="R42" s="102">
        <v>2</v>
      </c>
      <c r="S42" s="102">
        <v>2</v>
      </c>
      <c r="T42" s="102">
        <v>2</v>
      </c>
      <c r="U42" s="102">
        <v>2</v>
      </c>
    </row>
    <row r="43" spans="2:21">
      <c r="B43" s="57" t="s">
        <v>269</v>
      </c>
      <c r="C43" s="101" t="s">
        <v>215</v>
      </c>
      <c r="D43" s="101" t="s">
        <v>2</v>
      </c>
      <c r="E43" s="101" t="s">
        <v>132</v>
      </c>
      <c r="F43" s="101" t="s">
        <v>132</v>
      </c>
      <c r="G43" s="101" t="s">
        <v>132</v>
      </c>
      <c r="H43" s="101" t="s">
        <v>285</v>
      </c>
      <c r="I43" s="55">
        <f t="shared" si="0"/>
        <v>18</v>
      </c>
      <c r="J43" s="102">
        <v>1</v>
      </c>
      <c r="K43" s="102">
        <v>1</v>
      </c>
      <c r="L43" s="102">
        <v>1</v>
      </c>
      <c r="M43" s="102">
        <v>1</v>
      </c>
      <c r="N43" s="102">
        <v>1</v>
      </c>
      <c r="O43" s="102">
        <v>1</v>
      </c>
      <c r="P43" s="102">
        <v>2</v>
      </c>
      <c r="Q43" s="102">
        <v>2</v>
      </c>
      <c r="R43" s="102">
        <v>2</v>
      </c>
      <c r="S43" s="102">
        <v>2</v>
      </c>
      <c r="T43" s="102">
        <v>2</v>
      </c>
      <c r="U43" s="102">
        <v>2</v>
      </c>
    </row>
    <row r="44" spans="2:21">
      <c r="B44" s="57" t="s">
        <v>269</v>
      </c>
      <c r="C44" s="101" t="s">
        <v>215</v>
      </c>
      <c r="D44" s="101" t="s">
        <v>2</v>
      </c>
      <c r="E44" s="101" t="s">
        <v>132</v>
      </c>
      <c r="F44" s="101" t="s">
        <v>132</v>
      </c>
      <c r="G44" s="101" t="s">
        <v>132</v>
      </c>
      <c r="H44" s="101" t="s">
        <v>286</v>
      </c>
      <c r="I44" s="55">
        <f t="shared" si="0"/>
        <v>18</v>
      </c>
      <c r="J44" s="102">
        <v>1</v>
      </c>
      <c r="K44" s="102">
        <v>1</v>
      </c>
      <c r="L44" s="102">
        <v>1</v>
      </c>
      <c r="M44" s="102">
        <v>1</v>
      </c>
      <c r="N44" s="102">
        <v>1</v>
      </c>
      <c r="O44" s="102">
        <v>1</v>
      </c>
      <c r="P44" s="102">
        <v>2</v>
      </c>
      <c r="Q44" s="102">
        <v>2</v>
      </c>
      <c r="R44" s="102">
        <v>2</v>
      </c>
      <c r="S44" s="102">
        <v>2</v>
      </c>
      <c r="T44" s="102">
        <v>2</v>
      </c>
      <c r="U44" s="102">
        <v>2</v>
      </c>
    </row>
    <row r="45" spans="2:21">
      <c r="B45" s="57" t="s">
        <v>269</v>
      </c>
      <c r="C45" s="101" t="s">
        <v>215</v>
      </c>
      <c r="D45" s="101" t="s">
        <v>2</v>
      </c>
      <c r="E45" s="101" t="s">
        <v>132</v>
      </c>
      <c r="F45" s="101" t="s">
        <v>132</v>
      </c>
      <c r="G45" s="101" t="s">
        <v>140</v>
      </c>
      <c r="H45" s="101" t="s">
        <v>271</v>
      </c>
      <c r="I45" s="55">
        <f t="shared" si="0"/>
        <v>2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1</v>
      </c>
      <c r="Q45" s="102">
        <v>1</v>
      </c>
      <c r="R45" s="102">
        <v>0</v>
      </c>
      <c r="S45" s="102">
        <v>0</v>
      </c>
      <c r="T45" s="102">
        <v>0</v>
      </c>
      <c r="U45" s="102">
        <v>0</v>
      </c>
    </row>
    <row r="46" spans="2:21">
      <c r="B46" s="57" t="s">
        <v>269</v>
      </c>
      <c r="C46" s="101" t="s">
        <v>215</v>
      </c>
      <c r="D46" s="101" t="s">
        <v>2</v>
      </c>
      <c r="E46" s="101" t="s">
        <v>132</v>
      </c>
      <c r="F46" s="101" t="s">
        <v>132</v>
      </c>
      <c r="G46" s="101" t="s">
        <v>220</v>
      </c>
      <c r="H46" s="101" t="s">
        <v>271</v>
      </c>
      <c r="I46" s="55">
        <f t="shared" si="0"/>
        <v>37</v>
      </c>
      <c r="J46" s="102">
        <v>3</v>
      </c>
      <c r="K46" s="102">
        <v>3</v>
      </c>
      <c r="L46" s="102">
        <v>3</v>
      </c>
      <c r="M46" s="102">
        <v>3</v>
      </c>
      <c r="N46" s="102">
        <v>3</v>
      </c>
      <c r="O46" s="102">
        <v>2</v>
      </c>
      <c r="P46" s="102">
        <v>2</v>
      </c>
      <c r="Q46" s="102">
        <v>2</v>
      </c>
      <c r="R46" s="102">
        <v>4</v>
      </c>
      <c r="S46" s="102">
        <v>4</v>
      </c>
      <c r="T46" s="102">
        <v>4</v>
      </c>
      <c r="U46" s="102">
        <v>4</v>
      </c>
    </row>
    <row r="47" spans="2:21">
      <c r="B47" s="57" t="s">
        <v>269</v>
      </c>
      <c r="C47" s="101" t="s">
        <v>215</v>
      </c>
      <c r="D47" s="101" t="s">
        <v>2</v>
      </c>
      <c r="E47" s="101" t="s">
        <v>132</v>
      </c>
      <c r="F47" s="101" t="s">
        <v>132</v>
      </c>
      <c r="G47" s="101" t="s">
        <v>141</v>
      </c>
      <c r="H47" s="101" t="s">
        <v>271</v>
      </c>
      <c r="I47" s="55">
        <f t="shared" si="0"/>
        <v>7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1</v>
      </c>
      <c r="P47" s="102">
        <v>1</v>
      </c>
      <c r="Q47" s="102">
        <v>1</v>
      </c>
      <c r="R47" s="102">
        <v>1</v>
      </c>
      <c r="S47" s="102">
        <v>1</v>
      </c>
      <c r="T47" s="102">
        <v>1</v>
      </c>
      <c r="U47" s="102">
        <v>1</v>
      </c>
    </row>
    <row r="48" spans="2:21">
      <c r="B48" s="57" t="s">
        <v>269</v>
      </c>
      <c r="C48" s="101" t="s">
        <v>215</v>
      </c>
      <c r="D48" s="101" t="s">
        <v>2</v>
      </c>
      <c r="E48" s="101" t="s">
        <v>132</v>
      </c>
      <c r="F48" s="101" t="s">
        <v>132</v>
      </c>
      <c r="G48" s="101" t="s">
        <v>220</v>
      </c>
      <c r="H48" s="101" t="s">
        <v>217</v>
      </c>
      <c r="I48" s="55">
        <f t="shared" si="0"/>
        <v>5273</v>
      </c>
      <c r="J48" s="102">
        <v>526</v>
      </c>
      <c r="K48" s="102">
        <v>526</v>
      </c>
      <c r="L48" s="102">
        <v>526</v>
      </c>
      <c r="M48" s="102">
        <v>526</v>
      </c>
      <c r="N48" s="102">
        <v>526</v>
      </c>
      <c r="O48" s="102">
        <v>229</v>
      </c>
      <c r="P48" s="102">
        <v>245</v>
      </c>
      <c r="Q48" s="102">
        <v>245</v>
      </c>
      <c r="R48" s="102">
        <v>481</v>
      </c>
      <c r="S48" s="102">
        <v>481</v>
      </c>
      <c r="T48" s="102">
        <v>481</v>
      </c>
      <c r="U48" s="102">
        <v>481</v>
      </c>
    </row>
    <row r="49" spans="2:21">
      <c r="B49" s="57" t="s">
        <v>269</v>
      </c>
      <c r="C49" s="101" t="s">
        <v>215</v>
      </c>
      <c r="D49" s="101" t="s">
        <v>2</v>
      </c>
      <c r="E49" s="101" t="s">
        <v>132</v>
      </c>
      <c r="F49" s="101" t="s">
        <v>132</v>
      </c>
      <c r="G49" s="101" t="s">
        <v>141</v>
      </c>
      <c r="H49" s="101" t="s">
        <v>217</v>
      </c>
      <c r="I49" s="55">
        <f t="shared" si="0"/>
        <v>2167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304</v>
      </c>
      <c r="P49" s="102">
        <v>314</v>
      </c>
      <c r="Q49" s="102">
        <v>301</v>
      </c>
      <c r="R49" s="102">
        <v>312</v>
      </c>
      <c r="S49" s="102">
        <v>312</v>
      </c>
      <c r="T49" s="102">
        <v>312</v>
      </c>
      <c r="U49" s="102">
        <v>312</v>
      </c>
    </row>
    <row r="50" spans="2:21">
      <c r="B50" s="57" t="s">
        <v>269</v>
      </c>
      <c r="C50" s="101" t="s">
        <v>215</v>
      </c>
      <c r="D50" s="101" t="s">
        <v>2</v>
      </c>
      <c r="E50" s="101" t="s">
        <v>132</v>
      </c>
      <c r="F50" s="101" t="s">
        <v>132</v>
      </c>
      <c r="G50" s="101" t="s">
        <v>132</v>
      </c>
      <c r="H50" s="101" t="s">
        <v>139</v>
      </c>
      <c r="I50" s="55">
        <f t="shared" si="0"/>
        <v>5873</v>
      </c>
      <c r="J50" s="102">
        <v>388</v>
      </c>
      <c r="K50" s="102">
        <v>323</v>
      </c>
      <c r="L50" s="102">
        <v>322</v>
      </c>
      <c r="M50" s="102">
        <v>348</v>
      </c>
      <c r="N50" s="102">
        <v>413</v>
      </c>
      <c r="O50" s="102">
        <v>502</v>
      </c>
      <c r="P50" s="102">
        <v>671</v>
      </c>
      <c r="Q50" s="102">
        <v>579</v>
      </c>
      <c r="R50" s="102">
        <v>778</v>
      </c>
      <c r="S50" s="102">
        <v>616</v>
      </c>
      <c r="T50" s="102">
        <v>513</v>
      </c>
      <c r="U50" s="102">
        <v>420</v>
      </c>
    </row>
    <row r="51" spans="2:21">
      <c r="B51" s="57" t="s">
        <v>269</v>
      </c>
      <c r="C51" s="101" t="s">
        <v>215</v>
      </c>
      <c r="D51" s="101" t="s">
        <v>3</v>
      </c>
      <c r="E51" s="101" t="s">
        <v>132</v>
      </c>
      <c r="F51" s="101" t="s">
        <v>132</v>
      </c>
      <c r="G51" s="101" t="s">
        <v>132</v>
      </c>
      <c r="H51" s="101" t="s">
        <v>285</v>
      </c>
      <c r="I51" s="55">
        <f t="shared" si="0"/>
        <v>1046</v>
      </c>
      <c r="J51" s="102">
        <v>82</v>
      </c>
      <c r="K51" s="102">
        <v>84</v>
      </c>
      <c r="L51" s="102">
        <v>84</v>
      </c>
      <c r="M51" s="102">
        <v>84</v>
      </c>
      <c r="N51" s="102">
        <v>85</v>
      </c>
      <c r="O51" s="102">
        <v>86</v>
      </c>
      <c r="P51" s="102">
        <v>88</v>
      </c>
      <c r="Q51" s="102">
        <v>89</v>
      </c>
      <c r="R51" s="102">
        <v>89</v>
      </c>
      <c r="S51" s="102">
        <v>90</v>
      </c>
      <c r="T51" s="102">
        <v>91</v>
      </c>
      <c r="U51" s="102">
        <v>94</v>
      </c>
    </row>
    <row r="52" spans="2:21">
      <c r="B52" s="57" t="s">
        <v>269</v>
      </c>
      <c r="C52" s="101" t="s">
        <v>215</v>
      </c>
      <c r="D52" s="101" t="s">
        <v>3</v>
      </c>
      <c r="E52" s="101" t="s">
        <v>132</v>
      </c>
      <c r="F52" s="101" t="s">
        <v>132</v>
      </c>
      <c r="G52" s="101" t="s">
        <v>132</v>
      </c>
      <c r="H52" s="101" t="s">
        <v>286</v>
      </c>
      <c r="I52" s="55">
        <f t="shared" si="0"/>
        <v>3082</v>
      </c>
      <c r="J52" s="102">
        <v>240</v>
      </c>
      <c r="K52" s="102">
        <v>243</v>
      </c>
      <c r="L52" s="102">
        <v>247</v>
      </c>
      <c r="M52" s="102">
        <v>248</v>
      </c>
      <c r="N52" s="102">
        <v>255</v>
      </c>
      <c r="O52" s="102">
        <v>252</v>
      </c>
      <c r="P52" s="102">
        <v>254</v>
      </c>
      <c r="Q52" s="102">
        <v>258</v>
      </c>
      <c r="R52" s="102">
        <v>259</v>
      </c>
      <c r="S52" s="102">
        <v>262</v>
      </c>
      <c r="T52" s="102">
        <v>277</v>
      </c>
      <c r="U52" s="102">
        <v>287</v>
      </c>
    </row>
    <row r="53" spans="2:21">
      <c r="B53" s="57" t="s">
        <v>269</v>
      </c>
      <c r="C53" s="101" t="s">
        <v>215</v>
      </c>
      <c r="D53" s="101" t="s">
        <v>3</v>
      </c>
      <c r="E53" s="101" t="s">
        <v>132</v>
      </c>
      <c r="F53" s="101" t="s">
        <v>132</v>
      </c>
      <c r="G53" s="101" t="s">
        <v>140</v>
      </c>
      <c r="H53" s="101" t="s">
        <v>271</v>
      </c>
      <c r="I53" s="55">
        <f t="shared" si="0"/>
        <v>231.48648041034534</v>
      </c>
      <c r="J53" s="102">
        <v>14.533333333333333</v>
      </c>
      <c r="K53" s="102">
        <v>17.5</v>
      </c>
      <c r="L53" s="102">
        <v>20.266666666666666</v>
      </c>
      <c r="M53" s="102">
        <v>18</v>
      </c>
      <c r="N53" s="102">
        <v>19.766666666666666</v>
      </c>
      <c r="O53" s="102">
        <v>18.366666666666667</v>
      </c>
      <c r="P53" s="102">
        <v>17.766666666666666</v>
      </c>
      <c r="Q53" s="102">
        <v>18</v>
      </c>
      <c r="R53" s="102">
        <v>18.649826938571703</v>
      </c>
      <c r="S53" s="102">
        <v>21.755512467258566</v>
      </c>
      <c r="T53" s="102">
        <v>22.022426095820592</v>
      </c>
      <c r="U53" s="102">
        <v>24.858714908694466</v>
      </c>
    </row>
    <row r="54" spans="2:21">
      <c r="B54" s="57" t="s">
        <v>269</v>
      </c>
      <c r="C54" s="101" t="s">
        <v>215</v>
      </c>
      <c r="D54" s="101" t="s">
        <v>3</v>
      </c>
      <c r="E54" s="101" t="s">
        <v>132</v>
      </c>
      <c r="F54" s="101" t="s">
        <v>132</v>
      </c>
      <c r="G54" s="101" t="s">
        <v>220</v>
      </c>
      <c r="H54" s="101" t="s">
        <v>271</v>
      </c>
      <c r="I54" s="55">
        <f t="shared" si="0"/>
        <v>8003.4963466443714</v>
      </c>
      <c r="J54" s="102">
        <v>634.06666666666661</v>
      </c>
      <c r="K54" s="102">
        <v>649</v>
      </c>
      <c r="L54" s="102">
        <v>652.0333333333333</v>
      </c>
      <c r="M54" s="102">
        <v>655</v>
      </c>
      <c r="N54" s="102">
        <v>668.43333333333339</v>
      </c>
      <c r="O54" s="102">
        <v>673.0333333333333</v>
      </c>
      <c r="P54" s="102">
        <v>684.80000000000007</v>
      </c>
      <c r="Q54" s="102">
        <v>685.26666666666665</v>
      </c>
      <c r="R54" s="102">
        <v>679.06722273289517</v>
      </c>
      <c r="S54" s="102">
        <v>675.85568255264138</v>
      </c>
      <c r="T54" s="102">
        <v>676.68909276248723</v>
      </c>
      <c r="U54" s="102">
        <v>670.25101526301455</v>
      </c>
    </row>
    <row r="55" spans="2:21">
      <c r="B55" s="57" t="s">
        <v>269</v>
      </c>
      <c r="C55" s="101" t="s">
        <v>215</v>
      </c>
      <c r="D55" s="101" t="s">
        <v>3</v>
      </c>
      <c r="E55" s="101" t="s">
        <v>132</v>
      </c>
      <c r="F55" s="101" t="s">
        <v>132</v>
      </c>
      <c r="G55" s="101" t="s">
        <v>141</v>
      </c>
      <c r="H55" s="101" t="s">
        <v>271</v>
      </c>
      <c r="I55" s="55">
        <f t="shared" si="0"/>
        <v>3417.4838396119494</v>
      </c>
      <c r="J55" s="102">
        <v>285</v>
      </c>
      <c r="K55" s="102">
        <v>286.9666666666667</v>
      </c>
      <c r="L55" s="102">
        <v>287.3</v>
      </c>
      <c r="M55" s="102">
        <v>289</v>
      </c>
      <c r="N55" s="102">
        <v>286.83333333333331</v>
      </c>
      <c r="O55" s="102">
        <v>283</v>
      </c>
      <c r="P55" s="102">
        <v>284</v>
      </c>
      <c r="Q55" s="102">
        <v>282.26666666666665</v>
      </c>
      <c r="R55" s="102">
        <v>282.24961699519969</v>
      </c>
      <c r="S55" s="102">
        <v>283.2888049801</v>
      </c>
      <c r="T55" s="102">
        <v>283.28848114169216</v>
      </c>
      <c r="U55" s="102">
        <v>284.29026982829106</v>
      </c>
    </row>
    <row r="56" spans="2:21">
      <c r="B56" s="57" t="s">
        <v>269</v>
      </c>
      <c r="C56" s="101" t="s">
        <v>215</v>
      </c>
      <c r="D56" s="101" t="s">
        <v>3</v>
      </c>
      <c r="E56" s="101" t="s">
        <v>132</v>
      </c>
      <c r="F56" s="101" t="s">
        <v>132</v>
      </c>
      <c r="G56" s="101" t="s">
        <v>220</v>
      </c>
      <c r="H56" s="101" t="s">
        <v>217</v>
      </c>
      <c r="I56" s="55">
        <f t="shared" si="0"/>
        <v>1389404.3666666667</v>
      </c>
      <c r="J56" s="102">
        <v>111148.1</v>
      </c>
      <c r="K56" s="102">
        <v>113021</v>
      </c>
      <c r="L56" s="102">
        <v>113325.59999999999</v>
      </c>
      <c r="M56" s="102">
        <v>113204</v>
      </c>
      <c r="N56" s="102">
        <v>115213.86666666667</v>
      </c>
      <c r="O56" s="102">
        <v>116126.23333333334</v>
      </c>
      <c r="P56" s="102">
        <v>118688.53333333333</v>
      </c>
      <c r="Q56" s="102">
        <v>118976.36666666667</v>
      </c>
      <c r="R56" s="102">
        <v>118395.33333333333</v>
      </c>
      <c r="S56" s="102">
        <v>117391.86666666667</v>
      </c>
      <c r="T56" s="102">
        <v>117623</v>
      </c>
      <c r="U56" s="102">
        <v>116290.46666666667</v>
      </c>
    </row>
    <row r="57" spans="2:21">
      <c r="B57" s="57" t="s">
        <v>269</v>
      </c>
      <c r="C57" s="101" t="s">
        <v>215</v>
      </c>
      <c r="D57" s="101" t="s">
        <v>3</v>
      </c>
      <c r="E57" s="101" t="s">
        <v>132</v>
      </c>
      <c r="F57" s="101" t="s">
        <v>132</v>
      </c>
      <c r="G57" s="101" t="s">
        <v>141</v>
      </c>
      <c r="H57" s="101" t="s">
        <v>217</v>
      </c>
      <c r="I57" s="55">
        <f t="shared" si="0"/>
        <v>1689588.1328828828</v>
      </c>
      <c r="J57" s="102">
        <v>140773</v>
      </c>
      <c r="K57" s="102">
        <v>142962.76801801802</v>
      </c>
      <c r="L57" s="102">
        <v>142628.69594594595</v>
      </c>
      <c r="M57" s="102">
        <v>142082</v>
      </c>
      <c r="N57" s="102">
        <v>140808.67117117115</v>
      </c>
      <c r="O57" s="102">
        <v>139622</v>
      </c>
      <c r="P57" s="102">
        <v>140575</v>
      </c>
      <c r="Q57" s="102">
        <v>139784.99774774775</v>
      </c>
      <c r="R57" s="102">
        <v>139720</v>
      </c>
      <c r="S57" s="102">
        <v>140098</v>
      </c>
      <c r="T57" s="102">
        <v>140421</v>
      </c>
      <c r="U57" s="102">
        <v>140112</v>
      </c>
    </row>
    <row r="58" spans="2:21">
      <c r="B58" s="57" t="s">
        <v>269</v>
      </c>
      <c r="C58" s="101" t="s">
        <v>215</v>
      </c>
      <c r="D58" s="101" t="s">
        <v>3</v>
      </c>
      <c r="E58" s="101" t="s">
        <v>132</v>
      </c>
      <c r="F58" s="101" t="s">
        <v>132</v>
      </c>
      <c r="G58" s="101" t="s">
        <v>132</v>
      </c>
      <c r="H58" s="101" t="s">
        <v>139</v>
      </c>
      <c r="I58" s="55">
        <f t="shared" si="0"/>
        <v>2267892.5</v>
      </c>
      <c r="J58" s="102">
        <v>202284.93333333332</v>
      </c>
      <c r="K58" s="102">
        <v>204007.13333333333</v>
      </c>
      <c r="L58" s="102">
        <v>214382.19999999998</v>
      </c>
      <c r="M58" s="102">
        <v>211576</v>
      </c>
      <c r="N58" s="102">
        <v>194486.76666666663</v>
      </c>
      <c r="O58" s="102">
        <v>184432.00000000003</v>
      </c>
      <c r="P58" s="102">
        <v>179434.6</v>
      </c>
      <c r="Q58" s="102">
        <v>176424.36666666664</v>
      </c>
      <c r="R58" s="102">
        <v>178700.90000000002</v>
      </c>
      <c r="S58" s="102">
        <v>172117.93333333335</v>
      </c>
      <c r="T58" s="102">
        <v>172447</v>
      </c>
      <c r="U58" s="102">
        <v>177598.66666666669</v>
      </c>
    </row>
    <row r="59" spans="2:21">
      <c r="B59" s="57" t="s">
        <v>269</v>
      </c>
      <c r="C59" s="101" t="s">
        <v>215</v>
      </c>
      <c r="D59" s="101" t="s">
        <v>3</v>
      </c>
      <c r="E59" s="101" t="s">
        <v>132</v>
      </c>
      <c r="F59" s="101" t="s">
        <v>132</v>
      </c>
      <c r="G59" s="101" t="s">
        <v>132</v>
      </c>
      <c r="H59" s="101" t="s">
        <v>138</v>
      </c>
      <c r="I59" s="55">
        <f t="shared" si="0"/>
        <v>322568.75862068968</v>
      </c>
      <c r="J59" s="102">
        <v>31816.000000000004</v>
      </c>
      <c r="K59" s="102">
        <v>32561.53448275862</v>
      </c>
      <c r="L59" s="102">
        <v>32537.086206896547</v>
      </c>
      <c r="M59" s="102">
        <v>31938</v>
      </c>
      <c r="N59" s="102">
        <v>28002.844827586207</v>
      </c>
      <c r="O59" s="102">
        <v>24429.96551724138</v>
      </c>
      <c r="P59" s="102">
        <v>21899.931034482761</v>
      </c>
      <c r="Q59" s="102">
        <v>21699.396551724141</v>
      </c>
      <c r="R59" s="102">
        <v>23367</v>
      </c>
      <c r="S59" s="102">
        <v>23444</v>
      </c>
      <c r="T59" s="102">
        <v>24522</v>
      </c>
      <c r="U59" s="102">
        <v>26351</v>
      </c>
    </row>
    <row r="60" spans="2:21">
      <c r="B60" s="57" t="s">
        <v>269</v>
      </c>
      <c r="C60" s="101" t="s">
        <v>215</v>
      </c>
      <c r="D60" s="101" t="s">
        <v>3</v>
      </c>
      <c r="E60" s="101" t="s">
        <v>132</v>
      </c>
      <c r="F60" s="101" t="s">
        <v>132</v>
      </c>
      <c r="G60" s="101" t="s">
        <v>132</v>
      </c>
      <c r="H60" s="122" t="s">
        <v>303</v>
      </c>
      <c r="I60" s="55">
        <f t="shared" si="0"/>
        <v>907042</v>
      </c>
      <c r="J60" s="102">
        <v>77325</v>
      </c>
      <c r="K60" s="102">
        <v>83717</v>
      </c>
      <c r="L60" s="102">
        <v>83644</v>
      </c>
      <c r="M60" s="102">
        <v>81677</v>
      </c>
      <c r="N60" s="102">
        <v>81917</v>
      </c>
      <c r="O60" s="102">
        <v>74823</v>
      </c>
      <c r="P60" s="102">
        <v>73621</v>
      </c>
      <c r="Q60" s="102">
        <v>68752</v>
      </c>
      <c r="R60" s="102">
        <v>64453</v>
      </c>
      <c r="S60" s="102">
        <v>63031</v>
      </c>
      <c r="T60" s="102">
        <v>80579</v>
      </c>
      <c r="U60" s="102">
        <v>73503</v>
      </c>
    </row>
    <row r="61" spans="2:21">
      <c r="B61" s="57" t="s">
        <v>269</v>
      </c>
      <c r="C61" s="101" t="s">
        <v>215</v>
      </c>
      <c r="D61" s="101" t="s">
        <v>3</v>
      </c>
      <c r="E61" s="101" t="s">
        <v>132</v>
      </c>
      <c r="F61" s="101" t="s">
        <v>132</v>
      </c>
      <c r="G61" s="101" t="s">
        <v>132</v>
      </c>
      <c r="H61" s="122" t="s">
        <v>294</v>
      </c>
      <c r="I61" s="55">
        <f t="shared" si="0"/>
        <v>44474</v>
      </c>
      <c r="J61" s="102">
        <v>3467</v>
      </c>
      <c r="K61" s="102">
        <v>3449</v>
      </c>
      <c r="L61" s="102">
        <v>3583</v>
      </c>
      <c r="M61" s="102">
        <v>3762</v>
      </c>
      <c r="N61" s="102">
        <v>3769</v>
      </c>
      <c r="O61" s="102">
        <v>3773</v>
      </c>
      <c r="P61" s="102">
        <v>3797</v>
      </c>
      <c r="Q61" s="102">
        <v>3806</v>
      </c>
      <c r="R61" s="102">
        <v>3791</v>
      </c>
      <c r="S61" s="102">
        <v>3730</v>
      </c>
      <c r="T61" s="102">
        <v>3784</v>
      </c>
      <c r="U61" s="102">
        <v>3763</v>
      </c>
    </row>
    <row r="62" spans="2:21">
      <c r="B62" s="57" t="s">
        <v>269</v>
      </c>
      <c r="C62" s="101" t="s">
        <v>215</v>
      </c>
      <c r="D62" s="101" t="s">
        <v>3</v>
      </c>
      <c r="E62" s="101" t="s">
        <v>132</v>
      </c>
      <c r="F62" s="101" t="s">
        <v>132</v>
      </c>
      <c r="G62" s="101" t="s">
        <v>132</v>
      </c>
      <c r="H62" s="122" t="s">
        <v>304</v>
      </c>
      <c r="I62" s="55">
        <f t="shared" si="0"/>
        <v>108</v>
      </c>
      <c r="J62" s="102">
        <v>9</v>
      </c>
      <c r="K62" s="102">
        <v>9</v>
      </c>
      <c r="L62" s="102">
        <v>9</v>
      </c>
      <c r="M62" s="102">
        <v>9</v>
      </c>
      <c r="N62" s="102">
        <v>9</v>
      </c>
      <c r="O62" s="102">
        <v>9</v>
      </c>
      <c r="P62" s="102">
        <v>9</v>
      </c>
      <c r="Q62" s="102">
        <v>9</v>
      </c>
      <c r="R62" s="102">
        <v>9</v>
      </c>
      <c r="S62" s="102">
        <v>9</v>
      </c>
      <c r="T62" s="102">
        <v>9</v>
      </c>
      <c r="U62" s="102">
        <v>9</v>
      </c>
    </row>
    <row r="63" spans="2:21">
      <c r="B63" s="57" t="s">
        <v>269</v>
      </c>
      <c r="C63" s="101" t="s">
        <v>215</v>
      </c>
      <c r="D63" s="101" t="s">
        <v>5</v>
      </c>
      <c r="E63" s="101" t="s">
        <v>132</v>
      </c>
      <c r="F63" s="101" t="s">
        <v>132</v>
      </c>
      <c r="G63" s="101" t="s">
        <v>132</v>
      </c>
      <c r="H63" s="101" t="s">
        <v>285</v>
      </c>
      <c r="I63" s="55">
        <f t="shared" si="0"/>
        <v>109</v>
      </c>
      <c r="J63" s="102">
        <v>9</v>
      </c>
      <c r="K63" s="102">
        <v>11</v>
      </c>
      <c r="L63" s="102">
        <v>9</v>
      </c>
      <c r="M63" s="102">
        <v>9</v>
      </c>
      <c r="N63" s="102">
        <v>9</v>
      </c>
      <c r="O63" s="102">
        <v>9</v>
      </c>
      <c r="P63" s="102">
        <v>9</v>
      </c>
      <c r="Q63" s="102">
        <v>9</v>
      </c>
      <c r="R63" s="102">
        <v>8</v>
      </c>
      <c r="S63" s="102">
        <v>9</v>
      </c>
      <c r="T63" s="102">
        <v>9</v>
      </c>
      <c r="U63" s="102">
        <v>9</v>
      </c>
    </row>
    <row r="64" spans="2:21">
      <c r="B64" s="57" t="s">
        <v>269</v>
      </c>
      <c r="C64" s="101" t="s">
        <v>215</v>
      </c>
      <c r="D64" s="101" t="s">
        <v>5</v>
      </c>
      <c r="E64" s="101" t="s">
        <v>132</v>
      </c>
      <c r="F64" s="101" t="s">
        <v>132</v>
      </c>
      <c r="G64" s="101" t="s">
        <v>132</v>
      </c>
      <c r="H64" s="101" t="s">
        <v>286</v>
      </c>
      <c r="I64" s="55">
        <f t="shared" si="0"/>
        <v>426</v>
      </c>
      <c r="J64" s="102">
        <v>36</v>
      </c>
      <c r="K64" s="102">
        <v>38</v>
      </c>
      <c r="L64" s="102">
        <v>38</v>
      </c>
      <c r="M64" s="102">
        <v>37</v>
      </c>
      <c r="N64" s="102">
        <v>34</v>
      </c>
      <c r="O64" s="102">
        <v>34</v>
      </c>
      <c r="P64" s="102">
        <v>34</v>
      </c>
      <c r="Q64" s="102">
        <v>35</v>
      </c>
      <c r="R64" s="102">
        <v>35</v>
      </c>
      <c r="S64" s="102">
        <v>35</v>
      </c>
      <c r="T64" s="102">
        <v>35</v>
      </c>
      <c r="U64" s="102">
        <v>35</v>
      </c>
    </row>
    <row r="65" spans="2:21">
      <c r="B65" s="57" t="s">
        <v>269</v>
      </c>
      <c r="C65" s="101" t="s">
        <v>215</v>
      </c>
      <c r="D65" s="101" t="s">
        <v>5</v>
      </c>
      <c r="E65" s="101" t="s">
        <v>132</v>
      </c>
      <c r="F65" s="101" t="s">
        <v>132</v>
      </c>
      <c r="G65" s="101" t="s">
        <v>140</v>
      </c>
      <c r="H65" s="101" t="s">
        <v>271</v>
      </c>
      <c r="I65" s="55">
        <f t="shared" si="0"/>
        <v>46.766666666666666</v>
      </c>
      <c r="J65" s="102">
        <v>3</v>
      </c>
      <c r="K65" s="102">
        <v>3</v>
      </c>
      <c r="L65" s="102">
        <v>3</v>
      </c>
      <c r="M65" s="102">
        <v>3.3666666666666667</v>
      </c>
      <c r="N65" s="102">
        <v>4.7</v>
      </c>
      <c r="O65" s="102">
        <v>5</v>
      </c>
      <c r="P65" s="102">
        <v>5</v>
      </c>
      <c r="Q65" s="102">
        <v>4</v>
      </c>
      <c r="R65" s="102">
        <v>4</v>
      </c>
      <c r="S65" s="102">
        <v>4</v>
      </c>
      <c r="T65" s="102">
        <v>4</v>
      </c>
      <c r="U65" s="102">
        <v>3.7</v>
      </c>
    </row>
    <row r="66" spans="2:21">
      <c r="B66" s="57" t="s">
        <v>269</v>
      </c>
      <c r="C66" s="101" t="s">
        <v>215</v>
      </c>
      <c r="D66" s="101" t="s">
        <v>5</v>
      </c>
      <c r="E66" s="101" t="s">
        <v>132</v>
      </c>
      <c r="F66" s="101" t="s">
        <v>132</v>
      </c>
      <c r="G66" s="101" t="s">
        <v>220</v>
      </c>
      <c r="H66" s="101" t="s">
        <v>271</v>
      </c>
      <c r="I66" s="55">
        <f t="shared" si="0"/>
        <v>650.6</v>
      </c>
      <c r="J66" s="102">
        <v>54</v>
      </c>
      <c r="K66" s="102">
        <v>54</v>
      </c>
      <c r="L66" s="102">
        <v>54</v>
      </c>
      <c r="M66" s="102">
        <v>54.56666666666667</v>
      </c>
      <c r="N66" s="102">
        <v>52</v>
      </c>
      <c r="O66" s="102">
        <v>52</v>
      </c>
      <c r="P66" s="102">
        <v>52</v>
      </c>
      <c r="Q66" s="102">
        <v>55</v>
      </c>
      <c r="R66" s="102">
        <v>55.033333333333331</v>
      </c>
      <c r="S66" s="102">
        <v>55</v>
      </c>
      <c r="T66" s="102">
        <v>56</v>
      </c>
      <c r="U66" s="102">
        <v>57</v>
      </c>
    </row>
    <row r="67" spans="2:21">
      <c r="B67" s="57" t="s">
        <v>269</v>
      </c>
      <c r="C67" s="101" t="s">
        <v>215</v>
      </c>
      <c r="D67" s="101" t="s">
        <v>5</v>
      </c>
      <c r="E67" s="101" t="s">
        <v>132</v>
      </c>
      <c r="F67" s="101" t="s">
        <v>132</v>
      </c>
      <c r="G67" s="101" t="s">
        <v>141</v>
      </c>
      <c r="H67" s="101" t="s">
        <v>271</v>
      </c>
      <c r="I67" s="55">
        <f t="shared" si="0"/>
        <v>451</v>
      </c>
      <c r="J67" s="102">
        <v>39</v>
      </c>
      <c r="K67" s="102">
        <v>39</v>
      </c>
      <c r="L67" s="102">
        <v>39</v>
      </c>
      <c r="M67" s="102">
        <v>38</v>
      </c>
      <c r="N67" s="102">
        <v>38</v>
      </c>
      <c r="O67" s="102">
        <v>38</v>
      </c>
      <c r="P67" s="102">
        <v>38</v>
      </c>
      <c r="Q67" s="102">
        <v>37</v>
      </c>
      <c r="R67" s="102">
        <v>37</v>
      </c>
      <c r="S67" s="102">
        <v>36</v>
      </c>
      <c r="T67" s="102">
        <v>36</v>
      </c>
      <c r="U67" s="102">
        <v>36</v>
      </c>
    </row>
    <row r="68" spans="2:21">
      <c r="B68" s="57" t="s">
        <v>269</v>
      </c>
      <c r="C68" s="101" t="s">
        <v>215</v>
      </c>
      <c r="D68" s="101" t="s">
        <v>5</v>
      </c>
      <c r="E68" s="101" t="s">
        <v>132</v>
      </c>
      <c r="F68" s="101" t="s">
        <v>132</v>
      </c>
      <c r="G68" s="101" t="s">
        <v>220</v>
      </c>
      <c r="H68" s="101" t="s">
        <v>217</v>
      </c>
      <c r="I68" s="55">
        <f t="shared" si="0"/>
        <v>117720.66666666666</v>
      </c>
      <c r="J68" s="102">
        <v>9493</v>
      </c>
      <c r="K68" s="102">
        <v>9540.6</v>
      </c>
      <c r="L68" s="102">
        <v>9452</v>
      </c>
      <c r="M68" s="102">
        <v>9716.1</v>
      </c>
      <c r="N68" s="102">
        <v>9403</v>
      </c>
      <c r="O68" s="102">
        <v>9412</v>
      </c>
      <c r="P68" s="102">
        <v>9426</v>
      </c>
      <c r="Q68" s="102">
        <v>10070</v>
      </c>
      <c r="R68" s="102">
        <v>10099.966666666667</v>
      </c>
      <c r="S68" s="102">
        <v>10269</v>
      </c>
      <c r="T68" s="102">
        <v>10372</v>
      </c>
      <c r="U68" s="102">
        <v>10467</v>
      </c>
    </row>
    <row r="69" spans="2:21">
      <c r="B69" s="57" t="s">
        <v>269</v>
      </c>
      <c r="C69" s="101" t="s">
        <v>215</v>
      </c>
      <c r="D69" s="101" t="s">
        <v>5</v>
      </c>
      <c r="E69" s="101" t="s">
        <v>132</v>
      </c>
      <c r="F69" s="101" t="s">
        <v>132</v>
      </c>
      <c r="G69" s="101" t="s">
        <v>141</v>
      </c>
      <c r="H69" s="101" t="s">
        <v>217</v>
      </c>
      <c r="I69" s="55">
        <f t="shared" ref="I69:I132" si="1">SUM(J69:U69)</f>
        <v>250954</v>
      </c>
      <c r="J69" s="102">
        <v>21394</v>
      </c>
      <c r="K69" s="102">
        <v>21481</v>
      </c>
      <c r="L69" s="102">
        <v>21411</v>
      </c>
      <c r="M69" s="102">
        <v>21136</v>
      </c>
      <c r="N69" s="102">
        <v>21150</v>
      </c>
      <c r="O69" s="102">
        <v>21208</v>
      </c>
      <c r="P69" s="102">
        <v>21090</v>
      </c>
      <c r="Q69" s="102">
        <v>20795</v>
      </c>
      <c r="R69" s="102">
        <v>20594</v>
      </c>
      <c r="S69" s="102">
        <v>20232</v>
      </c>
      <c r="T69" s="102">
        <v>20221</v>
      </c>
      <c r="U69" s="102">
        <v>20242</v>
      </c>
    </row>
    <row r="70" spans="2:21">
      <c r="B70" s="57" t="s">
        <v>269</v>
      </c>
      <c r="C70" s="101" t="s">
        <v>215</v>
      </c>
      <c r="D70" s="101" t="s">
        <v>5</v>
      </c>
      <c r="E70" s="101" t="s">
        <v>132</v>
      </c>
      <c r="F70" s="101" t="s">
        <v>132</v>
      </c>
      <c r="G70" s="101" t="s">
        <v>132</v>
      </c>
      <c r="H70" s="101" t="s">
        <v>139</v>
      </c>
      <c r="I70" s="55">
        <f t="shared" si="1"/>
        <v>286376.76666666666</v>
      </c>
      <c r="J70" s="102">
        <v>23852</v>
      </c>
      <c r="K70" s="102">
        <v>25294.799999999999</v>
      </c>
      <c r="L70" s="102">
        <v>25839</v>
      </c>
      <c r="M70" s="102">
        <v>27431.666666666664</v>
      </c>
      <c r="N70" s="102">
        <v>24986</v>
      </c>
      <c r="O70" s="102">
        <v>23411</v>
      </c>
      <c r="P70" s="102">
        <v>21753</v>
      </c>
      <c r="Q70" s="102">
        <v>22231</v>
      </c>
      <c r="R70" s="102">
        <v>22691.3</v>
      </c>
      <c r="S70" s="102">
        <v>22666</v>
      </c>
      <c r="T70" s="102">
        <v>22930</v>
      </c>
      <c r="U70" s="102">
        <v>23291</v>
      </c>
    </row>
    <row r="71" spans="2:21">
      <c r="B71" s="57" t="s">
        <v>269</v>
      </c>
      <c r="C71" s="101" t="s">
        <v>215</v>
      </c>
      <c r="D71" s="101" t="s">
        <v>5</v>
      </c>
      <c r="E71" s="101" t="s">
        <v>132</v>
      </c>
      <c r="F71" s="101" t="s">
        <v>132</v>
      </c>
      <c r="G71" s="101" t="s">
        <v>132</v>
      </c>
      <c r="H71" s="101" t="s">
        <v>138</v>
      </c>
      <c r="I71" s="55">
        <f t="shared" si="1"/>
        <v>81408.741379310348</v>
      </c>
      <c r="J71" s="102">
        <v>7007</v>
      </c>
      <c r="K71" s="102">
        <v>7345.3965517241386</v>
      </c>
      <c r="L71" s="102">
        <v>7876</v>
      </c>
      <c r="M71" s="102">
        <v>8325.0517241379312</v>
      </c>
      <c r="N71" s="102">
        <v>6997.5</v>
      </c>
      <c r="O71" s="102">
        <v>6299</v>
      </c>
      <c r="P71" s="102">
        <v>5803</v>
      </c>
      <c r="Q71" s="102">
        <v>6041</v>
      </c>
      <c r="R71" s="102">
        <v>6357.3620689655172</v>
      </c>
      <c r="S71" s="102">
        <v>6319</v>
      </c>
      <c r="T71" s="102">
        <v>6316</v>
      </c>
      <c r="U71" s="102">
        <v>6722.4310344827591</v>
      </c>
    </row>
    <row r="72" spans="2:21">
      <c r="B72" s="57" t="s">
        <v>269</v>
      </c>
      <c r="C72" s="101" t="s">
        <v>215</v>
      </c>
      <c r="D72" s="101" t="s">
        <v>5</v>
      </c>
      <c r="E72" s="101" t="s">
        <v>132</v>
      </c>
      <c r="F72" s="101" t="s">
        <v>132</v>
      </c>
      <c r="G72" s="101" t="s">
        <v>132</v>
      </c>
      <c r="H72" s="122" t="s">
        <v>303</v>
      </c>
      <c r="I72" s="55">
        <f t="shared" si="1"/>
        <v>18439</v>
      </c>
      <c r="J72" s="102">
        <v>0</v>
      </c>
      <c r="K72" s="102">
        <v>0</v>
      </c>
      <c r="L72" s="102">
        <v>1114</v>
      </c>
      <c r="M72" s="102">
        <v>1527</v>
      </c>
      <c r="N72" s="102">
        <v>2012</v>
      </c>
      <c r="O72" s="102">
        <v>1734</v>
      </c>
      <c r="P72" s="102">
        <v>1841</v>
      </c>
      <c r="Q72" s="102">
        <v>2236</v>
      </c>
      <c r="R72" s="102">
        <v>2062</v>
      </c>
      <c r="S72" s="102">
        <v>2003.9999999999998</v>
      </c>
      <c r="T72" s="102">
        <v>1827</v>
      </c>
      <c r="U72" s="102">
        <v>2082</v>
      </c>
    </row>
    <row r="73" spans="2:21">
      <c r="B73" s="57" t="s">
        <v>269</v>
      </c>
      <c r="C73" s="101" t="s">
        <v>215</v>
      </c>
      <c r="D73" s="101" t="s">
        <v>5</v>
      </c>
      <c r="E73" s="101" t="s">
        <v>132</v>
      </c>
      <c r="F73" s="101" t="s">
        <v>132</v>
      </c>
      <c r="G73" s="101" t="s">
        <v>132</v>
      </c>
      <c r="H73" s="122" t="s">
        <v>294</v>
      </c>
      <c r="I73" s="55">
        <f t="shared" si="1"/>
        <v>855</v>
      </c>
      <c r="J73" s="102">
        <v>0</v>
      </c>
      <c r="K73" s="102">
        <v>0</v>
      </c>
      <c r="L73" s="102">
        <v>41.000000000000007</v>
      </c>
      <c r="M73" s="102">
        <v>36.000000000000007</v>
      </c>
      <c r="N73" s="102">
        <v>66</v>
      </c>
      <c r="O73" s="102">
        <v>69</v>
      </c>
      <c r="P73" s="102">
        <v>74</v>
      </c>
      <c r="Q73" s="102">
        <v>103</v>
      </c>
      <c r="R73" s="102">
        <v>115</v>
      </c>
      <c r="S73" s="102">
        <v>117.00000000000001</v>
      </c>
      <c r="T73" s="102">
        <v>117.00000000000001</v>
      </c>
      <c r="U73" s="102">
        <v>117.00000000000001</v>
      </c>
    </row>
    <row r="74" spans="2:21">
      <c r="B74" s="57" t="s">
        <v>269</v>
      </c>
      <c r="C74" s="101" t="s">
        <v>215</v>
      </c>
      <c r="D74" s="101" t="s">
        <v>5</v>
      </c>
      <c r="E74" s="101" t="s">
        <v>132</v>
      </c>
      <c r="F74" s="101" t="s">
        <v>132</v>
      </c>
      <c r="G74" s="101" t="s">
        <v>132</v>
      </c>
      <c r="H74" s="122" t="s">
        <v>304</v>
      </c>
      <c r="I74" s="55">
        <f t="shared" si="1"/>
        <v>10</v>
      </c>
      <c r="J74" s="102">
        <v>0</v>
      </c>
      <c r="K74" s="102">
        <v>0</v>
      </c>
      <c r="L74" s="102">
        <v>1</v>
      </c>
      <c r="M74" s="102">
        <v>1</v>
      </c>
      <c r="N74" s="102">
        <v>1</v>
      </c>
      <c r="O74" s="102">
        <v>1</v>
      </c>
      <c r="P74" s="102">
        <v>1</v>
      </c>
      <c r="Q74" s="102">
        <v>1</v>
      </c>
      <c r="R74" s="102">
        <v>1</v>
      </c>
      <c r="S74" s="102">
        <v>1</v>
      </c>
      <c r="T74" s="102">
        <v>1</v>
      </c>
      <c r="U74" s="102">
        <v>1</v>
      </c>
    </row>
    <row r="75" spans="2:21">
      <c r="B75" s="57" t="s">
        <v>269</v>
      </c>
      <c r="C75" s="101" t="s">
        <v>89</v>
      </c>
      <c r="D75" s="101" t="s">
        <v>116</v>
      </c>
      <c r="E75" s="101" t="s">
        <v>132</v>
      </c>
      <c r="F75" s="101" t="s">
        <v>132</v>
      </c>
      <c r="G75" s="101" t="s">
        <v>132</v>
      </c>
      <c r="H75" s="101" t="s">
        <v>285</v>
      </c>
      <c r="I75" s="55">
        <f t="shared" si="1"/>
        <v>7254</v>
      </c>
      <c r="J75" s="102">
        <v>579</v>
      </c>
      <c r="K75" s="102">
        <v>584</v>
      </c>
      <c r="L75" s="102">
        <v>591</v>
      </c>
      <c r="M75" s="102">
        <v>590</v>
      </c>
      <c r="N75" s="102">
        <v>596</v>
      </c>
      <c r="O75" s="102">
        <v>592</v>
      </c>
      <c r="P75" s="102">
        <v>600</v>
      </c>
      <c r="Q75" s="102">
        <v>604</v>
      </c>
      <c r="R75" s="102">
        <v>607</v>
      </c>
      <c r="S75" s="102">
        <v>630</v>
      </c>
      <c r="T75" s="102">
        <v>637</v>
      </c>
      <c r="U75" s="102">
        <v>644</v>
      </c>
    </row>
    <row r="76" spans="2:21">
      <c r="B76" s="57" t="s">
        <v>269</v>
      </c>
      <c r="C76" s="101" t="s">
        <v>89</v>
      </c>
      <c r="D76" s="101" t="s">
        <v>116</v>
      </c>
      <c r="E76" s="101" t="s">
        <v>132</v>
      </c>
      <c r="F76" s="101" t="s">
        <v>132</v>
      </c>
      <c r="G76" s="101" t="s">
        <v>132</v>
      </c>
      <c r="H76" s="101" t="s">
        <v>286</v>
      </c>
      <c r="I76" s="55">
        <f t="shared" si="1"/>
        <v>12769</v>
      </c>
      <c r="J76" s="102">
        <v>1013</v>
      </c>
      <c r="K76" s="102">
        <v>1022</v>
      </c>
      <c r="L76" s="102">
        <v>1040</v>
      </c>
      <c r="M76" s="102">
        <v>1039</v>
      </c>
      <c r="N76" s="102">
        <v>1033</v>
      </c>
      <c r="O76" s="102">
        <v>1031</v>
      </c>
      <c r="P76" s="102">
        <v>1034</v>
      </c>
      <c r="Q76" s="102">
        <v>1039</v>
      </c>
      <c r="R76" s="102">
        <v>1047</v>
      </c>
      <c r="S76" s="102">
        <v>1137</v>
      </c>
      <c r="T76" s="102">
        <v>1165</v>
      </c>
      <c r="U76" s="102">
        <v>1169</v>
      </c>
    </row>
    <row r="77" spans="2:21">
      <c r="B77" s="57" t="s">
        <v>269</v>
      </c>
      <c r="C77" s="101" t="s">
        <v>89</v>
      </c>
      <c r="D77" s="101" t="s">
        <v>116</v>
      </c>
      <c r="E77" s="101" t="s">
        <v>132</v>
      </c>
      <c r="F77" s="101" t="s">
        <v>136</v>
      </c>
      <c r="G77" s="101" t="s">
        <v>132</v>
      </c>
      <c r="H77" s="101" t="s">
        <v>221</v>
      </c>
      <c r="I77" s="55">
        <f t="shared" si="1"/>
        <v>508.93495414173873</v>
      </c>
      <c r="J77" s="102">
        <v>1.3864709558289894</v>
      </c>
      <c r="K77" s="102">
        <v>0.66584472427294938</v>
      </c>
      <c r="L77" s="102">
        <v>1.4932896174291583</v>
      </c>
      <c r="M77" s="102">
        <v>2.5097782091287493</v>
      </c>
      <c r="N77" s="102">
        <v>491.93688539125372</v>
      </c>
      <c r="O77" s="102">
        <v>7.1247625079164031E-2</v>
      </c>
      <c r="P77" s="102">
        <v>8.4969389909225257E-2</v>
      </c>
      <c r="Q77" s="102">
        <v>0.26852438252058264</v>
      </c>
      <c r="R77" s="102">
        <v>1.7918513827316869</v>
      </c>
      <c r="S77" s="102">
        <v>1.0657589191471397</v>
      </c>
      <c r="T77" s="102">
        <v>2.6328900147772853</v>
      </c>
      <c r="U77" s="102">
        <v>5.0274435296601228</v>
      </c>
    </row>
    <row r="78" spans="2:21">
      <c r="B78" s="57" t="s">
        <v>269</v>
      </c>
      <c r="C78" s="101" t="s">
        <v>89</v>
      </c>
      <c r="D78" s="101" t="s">
        <v>116</v>
      </c>
      <c r="E78" s="101" t="s">
        <v>132</v>
      </c>
      <c r="F78" s="101" t="s">
        <v>136</v>
      </c>
      <c r="G78" s="101" t="s">
        <v>132</v>
      </c>
      <c r="H78" s="101" t="s">
        <v>131</v>
      </c>
      <c r="I78" s="55">
        <f t="shared" si="1"/>
        <v>495.84657534246583</v>
      </c>
      <c r="J78" s="102">
        <v>0</v>
      </c>
      <c r="K78" s="102">
        <v>0</v>
      </c>
      <c r="L78" s="102">
        <v>0.91506849315068495</v>
      </c>
      <c r="M78" s="102">
        <v>4.1835616438356169</v>
      </c>
      <c r="N78" s="102">
        <v>489.66301369863027</v>
      </c>
      <c r="O78" s="102">
        <v>5.205479452054794E-2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1.0328767123287672</v>
      </c>
    </row>
    <row r="79" spans="2:21">
      <c r="B79" s="57" t="s">
        <v>269</v>
      </c>
      <c r="C79" s="101" t="s">
        <v>89</v>
      </c>
      <c r="D79" s="101" t="s">
        <v>116</v>
      </c>
      <c r="E79" s="101" t="s">
        <v>132</v>
      </c>
      <c r="F79" s="101" t="s">
        <v>137</v>
      </c>
      <c r="G79" s="101" t="s">
        <v>140</v>
      </c>
      <c r="H79" s="101" t="s">
        <v>221</v>
      </c>
      <c r="I79" s="55">
        <f t="shared" si="1"/>
        <v>983.23536988517992</v>
      </c>
      <c r="J79" s="102">
        <v>1.7561600097537533</v>
      </c>
      <c r="K79" s="102">
        <v>5.6711483871387109</v>
      </c>
      <c r="L79" s="102">
        <v>4.4794933359525144</v>
      </c>
      <c r="M79" s="102">
        <v>8.8492400015505801</v>
      </c>
      <c r="N79" s="102">
        <v>930.54804252697181</v>
      </c>
      <c r="O79" s="102">
        <v>0.32056153683766098</v>
      </c>
      <c r="P79" s="102">
        <v>3.0492400253324887</v>
      </c>
      <c r="Q79" s="102">
        <v>4.7560692421363733</v>
      </c>
      <c r="R79" s="102">
        <v>4.0958412497361198</v>
      </c>
      <c r="S79" s="102">
        <v>9.1642389698121178</v>
      </c>
      <c r="T79" s="102">
        <v>6.4986805995355708</v>
      </c>
      <c r="U79" s="102">
        <v>4.0466540004222082</v>
      </c>
    </row>
    <row r="80" spans="2:21">
      <c r="B80" s="57" t="s">
        <v>269</v>
      </c>
      <c r="C80" s="101" t="s">
        <v>89</v>
      </c>
      <c r="D80" s="101" t="s">
        <v>116</v>
      </c>
      <c r="E80" s="101" t="s">
        <v>132</v>
      </c>
      <c r="F80" s="101" t="s">
        <v>137</v>
      </c>
      <c r="G80" s="101" t="s">
        <v>140</v>
      </c>
      <c r="H80" s="101" t="s">
        <v>131</v>
      </c>
      <c r="I80" s="55">
        <f t="shared" si="1"/>
        <v>2698.3863013698633</v>
      </c>
      <c r="J80" s="102">
        <v>3.7013698630136989</v>
      </c>
      <c r="K80" s="102">
        <v>9.8000000000000007</v>
      </c>
      <c r="L80" s="102">
        <v>7.9123287671232898</v>
      </c>
      <c r="M80" s="102">
        <v>17.098630136986312</v>
      </c>
      <c r="N80" s="102">
        <v>2654.8520547945213</v>
      </c>
      <c r="O80" s="102">
        <v>4.1095890410958902E-2</v>
      </c>
      <c r="P80" s="102">
        <v>0</v>
      </c>
      <c r="Q80" s="102">
        <v>0</v>
      </c>
      <c r="R80" s="102">
        <v>0</v>
      </c>
      <c r="S80" s="102">
        <v>0.38356164383561642</v>
      </c>
      <c r="T80" s="102">
        <v>0.86301369863013699</v>
      </c>
      <c r="U80" s="102">
        <v>3.7342465753424658</v>
      </c>
    </row>
    <row r="81" spans="2:21">
      <c r="B81" s="57" t="s">
        <v>269</v>
      </c>
      <c r="C81" s="101" t="s">
        <v>89</v>
      </c>
      <c r="D81" s="101" t="s">
        <v>116</v>
      </c>
      <c r="E81" s="101" t="s">
        <v>132</v>
      </c>
      <c r="F81" s="101" t="s">
        <v>137</v>
      </c>
      <c r="G81" s="101" t="s">
        <v>220</v>
      </c>
      <c r="H81" s="23" t="s">
        <v>131</v>
      </c>
      <c r="I81" s="55">
        <f t="shared" si="1"/>
        <v>441.46027397260241</v>
      </c>
      <c r="J81" s="102">
        <v>0</v>
      </c>
      <c r="K81" s="102">
        <v>1.3671232876712329</v>
      </c>
      <c r="L81" s="102">
        <v>1.5013698630136987</v>
      </c>
      <c r="M81" s="102">
        <v>0.84657534246575339</v>
      </c>
      <c r="N81" s="102">
        <v>435.92328767123252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1.2684931506849315</v>
      </c>
      <c r="U81" s="102">
        <v>0.55342465753424652</v>
      </c>
    </row>
    <row r="82" spans="2:21">
      <c r="B82" s="57" t="s">
        <v>269</v>
      </c>
      <c r="C82" s="101" t="s">
        <v>89</v>
      </c>
      <c r="D82" s="101" t="s">
        <v>116</v>
      </c>
      <c r="E82" s="101" t="s">
        <v>132</v>
      </c>
      <c r="F82" s="101" t="s">
        <v>137</v>
      </c>
      <c r="G82" s="101" t="s">
        <v>141</v>
      </c>
      <c r="H82" s="101" t="s">
        <v>131</v>
      </c>
      <c r="I82" s="55">
        <f t="shared" si="1"/>
        <v>12.999999999999996</v>
      </c>
      <c r="J82" s="102">
        <v>0</v>
      </c>
      <c r="K82" s="102">
        <v>0</v>
      </c>
      <c r="L82" s="102">
        <v>0</v>
      </c>
      <c r="M82" s="102">
        <v>0</v>
      </c>
      <c r="N82" s="102">
        <v>12.999999999999996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</row>
    <row r="83" spans="2:21">
      <c r="B83" s="57" t="s">
        <v>269</v>
      </c>
      <c r="C83" s="101" t="s">
        <v>89</v>
      </c>
      <c r="D83" s="101" t="s">
        <v>116</v>
      </c>
      <c r="E83" s="101" t="s">
        <v>132</v>
      </c>
      <c r="F83" s="101" t="s">
        <v>132</v>
      </c>
      <c r="G83" s="101" t="s">
        <v>140</v>
      </c>
      <c r="H83" s="101" t="s">
        <v>217</v>
      </c>
      <c r="I83" s="55">
        <f>SUM(J83:U83)</f>
        <v>55806.423731300492</v>
      </c>
      <c r="J83" s="102">
        <v>59.528700244977443</v>
      </c>
      <c r="K83" s="102">
        <v>257.17840081885868</v>
      </c>
      <c r="L83" s="102">
        <v>138.64919937015992</v>
      </c>
      <c r="M83" s="102">
        <v>386.12144623968788</v>
      </c>
      <c r="N83" s="102">
        <v>54887.910519142322</v>
      </c>
      <c r="O83" s="102">
        <v>0.58074730842305256</v>
      </c>
      <c r="P83" s="102">
        <v>0</v>
      </c>
      <c r="Q83" s="102">
        <v>0</v>
      </c>
      <c r="R83" s="102">
        <v>0</v>
      </c>
      <c r="S83" s="102">
        <v>2.6849271690943639</v>
      </c>
      <c r="T83" s="102">
        <v>19.131728942368589</v>
      </c>
      <c r="U83" s="102">
        <v>54.638062064597854</v>
      </c>
    </row>
    <row r="84" spans="2:21">
      <c r="B84" s="57" t="s">
        <v>269</v>
      </c>
      <c r="C84" s="101" t="s">
        <v>89</v>
      </c>
      <c r="D84" s="101" t="s">
        <v>116</v>
      </c>
      <c r="E84" s="101" t="s">
        <v>132</v>
      </c>
      <c r="F84" s="101" t="s">
        <v>137</v>
      </c>
      <c r="G84" s="101" t="s">
        <v>220</v>
      </c>
      <c r="H84" s="101" t="s">
        <v>217</v>
      </c>
      <c r="I84" s="55">
        <f t="shared" si="1"/>
        <v>42806.539309357671</v>
      </c>
      <c r="J84" s="102">
        <v>0</v>
      </c>
      <c r="K84" s="102">
        <v>97.879462704017811</v>
      </c>
      <c r="L84" s="102">
        <v>93.835492182836504</v>
      </c>
      <c r="M84" s="102">
        <v>70.265452507379777</v>
      </c>
      <c r="N84" s="102">
        <v>42381.975428858765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117.20284821768165</v>
      </c>
      <c r="U84" s="102">
        <v>45.380624886987867</v>
      </c>
    </row>
    <row r="85" spans="2:21">
      <c r="B85" s="57" t="s">
        <v>269</v>
      </c>
      <c r="C85" s="101" t="s">
        <v>89</v>
      </c>
      <c r="D85" s="101" t="s">
        <v>116</v>
      </c>
      <c r="E85" s="101" t="s">
        <v>132</v>
      </c>
      <c r="F85" s="101" t="s">
        <v>137</v>
      </c>
      <c r="G85" s="101" t="s">
        <v>141</v>
      </c>
      <c r="H85" s="101" t="s">
        <v>217</v>
      </c>
      <c r="I85" s="55">
        <f t="shared" si="1"/>
        <v>5726.0005996812115</v>
      </c>
      <c r="J85" s="102">
        <v>0</v>
      </c>
      <c r="K85" s="102">
        <v>0</v>
      </c>
      <c r="L85" s="102">
        <v>0</v>
      </c>
      <c r="M85" s="102">
        <v>0</v>
      </c>
      <c r="N85" s="102">
        <v>5726.0005996812115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</row>
    <row r="86" spans="2:21">
      <c r="B86" s="57" t="s">
        <v>269</v>
      </c>
      <c r="C86" s="101" t="s">
        <v>89</v>
      </c>
      <c r="D86" s="101" t="s">
        <v>116</v>
      </c>
      <c r="E86" s="101" t="s">
        <v>132</v>
      </c>
      <c r="F86" s="101" t="s">
        <v>132</v>
      </c>
      <c r="G86" s="101" t="s">
        <v>132</v>
      </c>
      <c r="H86" s="101" t="s">
        <v>138</v>
      </c>
      <c r="I86" s="55">
        <f t="shared" si="1"/>
        <v>70608.913793103449</v>
      </c>
      <c r="J86" s="102">
        <v>9866.5344827586214</v>
      </c>
      <c r="K86" s="102">
        <v>9558.310344827587</v>
      </c>
      <c r="L86" s="102">
        <v>9208.6379310344819</v>
      </c>
      <c r="M86" s="102">
        <v>8548.5862068965525</v>
      </c>
      <c r="N86" s="102">
        <v>4786.5344827586214</v>
      </c>
      <c r="O86" s="102">
        <v>758.41379310344837</v>
      </c>
      <c r="P86" s="102">
        <v>390</v>
      </c>
      <c r="Q86" s="102">
        <v>615.5</v>
      </c>
      <c r="R86" s="102">
        <v>2932</v>
      </c>
      <c r="S86" s="102">
        <v>7088.0344827586214</v>
      </c>
      <c r="T86" s="102">
        <v>7966.6551724137926</v>
      </c>
      <c r="U86" s="102">
        <v>8889.7068965517228</v>
      </c>
    </row>
    <row r="87" spans="2:21">
      <c r="B87" s="57" t="s">
        <v>269</v>
      </c>
      <c r="C87" s="101" t="s">
        <v>89</v>
      </c>
      <c r="D87" s="101" t="s">
        <v>116</v>
      </c>
      <c r="E87" s="101" t="s">
        <v>132</v>
      </c>
      <c r="F87" s="101" t="s">
        <v>132</v>
      </c>
      <c r="G87" s="101" t="s">
        <v>132</v>
      </c>
      <c r="H87" s="122" t="s">
        <v>303</v>
      </c>
      <c r="I87" s="55">
        <f t="shared" si="1"/>
        <v>22840</v>
      </c>
      <c r="J87" s="102">
        <v>3882</v>
      </c>
      <c r="K87" s="102">
        <v>4583</v>
      </c>
      <c r="L87" s="102">
        <v>4176</v>
      </c>
      <c r="M87" s="102">
        <v>1494</v>
      </c>
      <c r="N87" s="102">
        <v>4403</v>
      </c>
      <c r="O87" s="102">
        <v>74</v>
      </c>
      <c r="P87" s="102">
        <v>74</v>
      </c>
      <c r="Q87" s="102">
        <v>64</v>
      </c>
      <c r="R87" s="102">
        <v>415</v>
      </c>
      <c r="S87" s="102">
        <v>1094</v>
      </c>
      <c r="T87" s="102">
        <v>1627</v>
      </c>
      <c r="U87" s="102">
        <v>954</v>
      </c>
    </row>
    <row r="88" spans="2:21">
      <c r="B88" s="57" t="s">
        <v>269</v>
      </c>
      <c r="C88" s="101" t="s">
        <v>89</v>
      </c>
      <c r="D88" s="101" t="s">
        <v>116</v>
      </c>
      <c r="E88" s="101" t="s">
        <v>132</v>
      </c>
      <c r="F88" s="101" t="s">
        <v>132</v>
      </c>
      <c r="G88" s="101" t="s">
        <v>132</v>
      </c>
      <c r="H88" s="122" t="s">
        <v>294</v>
      </c>
      <c r="I88" s="55">
        <f t="shared" si="1"/>
        <v>853.73333333333335</v>
      </c>
      <c r="J88" s="102">
        <v>82</v>
      </c>
      <c r="K88" s="102">
        <v>82</v>
      </c>
      <c r="L88" s="102">
        <v>82</v>
      </c>
      <c r="M88" s="102">
        <v>82</v>
      </c>
      <c r="N88" s="102">
        <v>82</v>
      </c>
      <c r="O88" s="102">
        <v>79.733333333333334</v>
      </c>
      <c r="P88" s="102">
        <v>48</v>
      </c>
      <c r="Q88" s="102">
        <v>48</v>
      </c>
      <c r="R88" s="102">
        <v>48</v>
      </c>
      <c r="S88" s="102">
        <v>48</v>
      </c>
      <c r="T88" s="102">
        <v>86</v>
      </c>
      <c r="U88" s="102">
        <v>86</v>
      </c>
    </row>
    <row r="89" spans="2:21">
      <c r="B89" s="57" t="s">
        <v>269</v>
      </c>
      <c r="C89" s="101" t="s">
        <v>89</v>
      </c>
      <c r="D89" s="101" t="s">
        <v>116</v>
      </c>
      <c r="E89" s="101" t="s">
        <v>132</v>
      </c>
      <c r="F89" s="101" t="s">
        <v>132</v>
      </c>
      <c r="G89" s="101" t="s">
        <v>132</v>
      </c>
      <c r="H89" s="122" t="s">
        <v>304</v>
      </c>
      <c r="I89" s="55">
        <f t="shared" si="1"/>
        <v>12.166666666666668</v>
      </c>
      <c r="J89" s="102">
        <v>1</v>
      </c>
      <c r="K89" s="102">
        <v>1</v>
      </c>
      <c r="L89" s="102">
        <v>1</v>
      </c>
      <c r="M89" s="102">
        <v>1</v>
      </c>
      <c r="N89" s="102">
        <v>1</v>
      </c>
      <c r="O89" s="102">
        <v>0.93333333333333335</v>
      </c>
      <c r="P89" s="102">
        <v>1.2333333333333334</v>
      </c>
      <c r="Q89" s="102">
        <v>1</v>
      </c>
      <c r="R89" s="102">
        <v>1</v>
      </c>
      <c r="S89" s="102">
        <v>1</v>
      </c>
      <c r="T89" s="102">
        <v>1</v>
      </c>
      <c r="U89" s="102">
        <v>1</v>
      </c>
    </row>
    <row r="90" spans="2:21">
      <c r="B90" s="57" t="s">
        <v>269</v>
      </c>
      <c r="C90" s="101" t="s">
        <v>188</v>
      </c>
      <c r="D90" s="101" t="s">
        <v>5</v>
      </c>
      <c r="E90" s="101" t="s">
        <v>113</v>
      </c>
      <c r="F90" s="101" t="s">
        <v>132</v>
      </c>
      <c r="G90" s="101" t="s">
        <v>132</v>
      </c>
      <c r="H90" s="101" t="s">
        <v>286</v>
      </c>
      <c r="I90" s="55">
        <f t="shared" si="1"/>
        <v>12</v>
      </c>
      <c r="J90" s="102">
        <v>1</v>
      </c>
      <c r="K90" s="102">
        <v>1</v>
      </c>
      <c r="L90" s="102">
        <v>1</v>
      </c>
      <c r="M90" s="102">
        <v>1</v>
      </c>
      <c r="N90" s="102">
        <v>1</v>
      </c>
      <c r="O90" s="102">
        <v>1</v>
      </c>
      <c r="P90" s="102">
        <v>1</v>
      </c>
      <c r="Q90" s="102">
        <v>1</v>
      </c>
      <c r="R90" s="102">
        <v>1</v>
      </c>
      <c r="S90" s="102">
        <v>1</v>
      </c>
      <c r="T90" s="102">
        <v>1</v>
      </c>
      <c r="U90" s="102">
        <v>1</v>
      </c>
    </row>
    <row r="91" spans="2:21">
      <c r="B91" s="57" t="s">
        <v>269</v>
      </c>
      <c r="C91" s="101" t="s">
        <v>188</v>
      </c>
      <c r="D91" s="101" t="s">
        <v>5</v>
      </c>
      <c r="E91" s="101" t="s">
        <v>113</v>
      </c>
      <c r="F91" s="101" t="s">
        <v>132</v>
      </c>
      <c r="G91" s="101" t="s">
        <v>140</v>
      </c>
      <c r="H91" s="101" t="s">
        <v>271</v>
      </c>
      <c r="I91" s="55">
        <f t="shared" si="1"/>
        <v>12</v>
      </c>
      <c r="J91" s="102">
        <v>1</v>
      </c>
      <c r="K91" s="102">
        <v>1</v>
      </c>
      <c r="L91" s="102">
        <v>1</v>
      </c>
      <c r="M91" s="102">
        <v>1</v>
      </c>
      <c r="N91" s="102">
        <v>1</v>
      </c>
      <c r="O91" s="102">
        <v>1</v>
      </c>
      <c r="P91" s="102">
        <v>1</v>
      </c>
      <c r="Q91" s="102">
        <v>1</v>
      </c>
      <c r="R91" s="102">
        <v>1</v>
      </c>
      <c r="S91" s="102">
        <v>1</v>
      </c>
      <c r="T91" s="102">
        <v>1</v>
      </c>
      <c r="U91" s="102">
        <v>1</v>
      </c>
    </row>
    <row r="92" spans="2:21">
      <c r="B92" s="57" t="s">
        <v>269</v>
      </c>
      <c r="C92" s="101" t="s">
        <v>188</v>
      </c>
      <c r="D92" s="101" t="s">
        <v>5</v>
      </c>
      <c r="E92" s="101" t="s">
        <v>113</v>
      </c>
      <c r="F92" s="101" t="s">
        <v>132</v>
      </c>
      <c r="G92" s="101" t="s">
        <v>140</v>
      </c>
      <c r="H92" s="23" t="s">
        <v>217</v>
      </c>
      <c r="I92" s="55">
        <f t="shared" si="1"/>
        <v>24249</v>
      </c>
      <c r="J92" s="102">
        <v>2213</v>
      </c>
      <c r="K92" s="102">
        <v>2213</v>
      </c>
      <c r="L92" s="102">
        <v>2191</v>
      </c>
      <c r="M92" s="102">
        <v>2191</v>
      </c>
      <c r="N92" s="102">
        <v>2191</v>
      </c>
      <c r="O92" s="102">
        <v>1900</v>
      </c>
      <c r="P92" s="102">
        <v>1900</v>
      </c>
      <c r="Q92" s="102">
        <v>1900</v>
      </c>
      <c r="R92" s="102">
        <v>1900</v>
      </c>
      <c r="S92" s="102">
        <v>1900</v>
      </c>
      <c r="T92" s="102">
        <v>1900</v>
      </c>
      <c r="U92" s="102">
        <v>1850</v>
      </c>
    </row>
    <row r="93" spans="2:21">
      <c r="B93" s="57" t="s">
        <v>269</v>
      </c>
      <c r="C93" s="101" t="s">
        <v>188</v>
      </c>
      <c r="D93" s="101" t="s">
        <v>5</v>
      </c>
      <c r="E93" s="101" t="s">
        <v>113</v>
      </c>
      <c r="F93" s="101" t="s">
        <v>132</v>
      </c>
      <c r="G93" s="101" t="s">
        <v>132</v>
      </c>
      <c r="H93" s="101" t="s">
        <v>139</v>
      </c>
      <c r="I93" s="55">
        <f t="shared" si="1"/>
        <v>17900</v>
      </c>
      <c r="J93" s="102">
        <v>1900</v>
      </c>
      <c r="K93" s="102">
        <v>1700</v>
      </c>
      <c r="L93" s="102">
        <v>1700</v>
      </c>
      <c r="M93" s="102">
        <v>1300</v>
      </c>
      <c r="N93" s="102">
        <v>1400</v>
      </c>
      <c r="O93" s="102">
        <v>1400</v>
      </c>
      <c r="P93" s="102">
        <v>1800</v>
      </c>
      <c r="Q93" s="102">
        <v>1400</v>
      </c>
      <c r="R93" s="102">
        <v>1200</v>
      </c>
      <c r="S93" s="102">
        <v>1400</v>
      </c>
      <c r="T93" s="102">
        <v>1200</v>
      </c>
      <c r="U93" s="102">
        <v>1500</v>
      </c>
    </row>
    <row r="94" spans="2:21">
      <c r="B94" s="57" t="s">
        <v>269</v>
      </c>
      <c r="C94" s="101" t="s">
        <v>188</v>
      </c>
      <c r="D94" s="101" t="s">
        <v>5</v>
      </c>
      <c r="E94" s="101" t="s">
        <v>113</v>
      </c>
      <c r="F94" s="101" t="s">
        <v>132</v>
      </c>
      <c r="G94" s="101" t="s">
        <v>132</v>
      </c>
      <c r="H94" s="101" t="s">
        <v>222</v>
      </c>
      <c r="I94" s="55">
        <f t="shared" si="1"/>
        <v>6100</v>
      </c>
      <c r="J94" s="102">
        <v>100</v>
      </c>
      <c r="K94" s="102">
        <v>300</v>
      </c>
      <c r="L94" s="102">
        <v>300</v>
      </c>
      <c r="M94" s="102">
        <v>700</v>
      </c>
      <c r="N94" s="102">
        <v>600</v>
      </c>
      <c r="O94" s="102">
        <v>600</v>
      </c>
      <c r="P94" s="102">
        <v>200</v>
      </c>
      <c r="Q94" s="102">
        <v>600</v>
      </c>
      <c r="R94" s="102">
        <v>800</v>
      </c>
      <c r="S94" s="102">
        <v>600</v>
      </c>
      <c r="T94" s="102">
        <v>800</v>
      </c>
      <c r="U94" s="102">
        <v>500</v>
      </c>
    </row>
    <row r="95" spans="2:21">
      <c r="B95" s="57" t="s">
        <v>269</v>
      </c>
      <c r="C95" s="101" t="s">
        <v>109</v>
      </c>
      <c r="D95" s="101" t="s">
        <v>3</v>
      </c>
      <c r="E95" s="101" t="s">
        <v>132</v>
      </c>
      <c r="F95" s="101" t="s">
        <v>132</v>
      </c>
      <c r="G95" s="101" t="s">
        <v>132</v>
      </c>
      <c r="H95" s="101" t="s">
        <v>285</v>
      </c>
      <c r="I95" s="55">
        <f t="shared" si="1"/>
        <v>35</v>
      </c>
      <c r="J95" s="102">
        <v>3</v>
      </c>
      <c r="K95" s="102">
        <v>3</v>
      </c>
      <c r="L95" s="102">
        <v>3</v>
      </c>
      <c r="M95" s="102">
        <v>3</v>
      </c>
      <c r="N95" s="102">
        <v>3</v>
      </c>
      <c r="O95" s="102">
        <v>3</v>
      </c>
      <c r="P95" s="102">
        <v>2</v>
      </c>
      <c r="Q95" s="102">
        <v>3</v>
      </c>
      <c r="R95" s="102">
        <v>3</v>
      </c>
      <c r="S95" s="102">
        <v>3</v>
      </c>
      <c r="T95" s="102">
        <v>3</v>
      </c>
      <c r="U95" s="102">
        <v>3</v>
      </c>
    </row>
    <row r="96" spans="2:21">
      <c r="B96" s="57" t="s">
        <v>269</v>
      </c>
      <c r="C96" s="101" t="s">
        <v>109</v>
      </c>
      <c r="D96" s="101" t="s">
        <v>3</v>
      </c>
      <c r="E96" s="101" t="s">
        <v>132</v>
      </c>
      <c r="F96" s="101" t="s">
        <v>132</v>
      </c>
      <c r="G96" s="101" t="s">
        <v>132</v>
      </c>
      <c r="H96" s="101" t="s">
        <v>286</v>
      </c>
      <c r="I96" s="55">
        <f t="shared" si="1"/>
        <v>123</v>
      </c>
      <c r="J96" s="102">
        <v>12</v>
      </c>
      <c r="K96" s="102">
        <v>10</v>
      </c>
      <c r="L96" s="102">
        <v>10</v>
      </c>
      <c r="M96" s="102">
        <v>10</v>
      </c>
      <c r="N96" s="102">
        <v>10</v>
      </c>
      <c r="O96" s="102">
        <v>10</v>
      </c>
      <c r="P96" s="102">
        <v>10</v>
      </c>
      <c r="Q96" s="102">
        <v>10</v>
      </c>
      <c r="R96" s="102">
        <v>10</v>
      </c>
      <c r="S96" s="102">
        <v>10</v>
      </c>
      <c r="T96" s="102">
        <v>10</v>
      </c>
      <c r="U96" s="102">
        <v>11</v>
      </c>
    </row>
    <row r="97" spans="2:21">
      <c r="B97" s="57" t="s">
        <v>269</v>
      </c>
      <c r="C97" s="101" t="s">
        <v>109</v>
      </c>
      <c r="D97" s="101" t="s">
        <v>3</v>
      </c>
      <c r="E97" s="101" t="s">
        <v>113</v>
      </c>
      <c r="F97" s="101" t="s">
        <v>132</v>
      </c>
      <c r="G97" s="101" t="s">
        <v>140</v>
      </c>
      <c r="H97" s="101" t="s">
        <v>271</v>
      </c>
      <c r="I97" s="55">
        <f t="shared" si="1"/>
        <v>353.66666666666663</v>
      </c>
      <c r="J97" s="102">
        <v>30</v>
      </c>
      <c r="K97" s="102">
        <v>29</v>
      </c>
      <c r="L97" s="102">
        <v>29</v>
      </c>
      <c r="M97" s="102">
        <v>29</v>
      </c>
      <c r="N97" s="102">
        <v>29</v>
      </c>
      <c r="O97" s="102">
        <v>29</v>
      </c>
      <c r="P97" s="102">
        <v>29</v>
      </c>
      <c r="Q97" s="102">
        <v>29.666666666666668</v>
      </c>
      <c r="R97" s="102">
        <v>30</v>
      </c>
      <c r="S97" s="102">
        <v>30</v>
      </c>
      <c r="T97" s="102">
        <v>30</v>
      </c>
      <c r="U97" s="102">
        <v>30</v>
      </c>
    </row>
    <row r="98" spans="2:21">
      <c r="B98" s="57" t="s">
        <v>269</v>
      </c>
      <c r="C98" s="101" t="s">
        <v>109</v>
      </c>
      <c r="D98" s="101" t="s">
        <v>3</v>
      </c>
      <c r="E98" s="101" t="s">
        <v>113</v>
      </c>
      <c r="F98" s="101" t="s">
        <v>132</v>
      </c>
      <c r="G98" s="101" t="s">
        <v>140</v>
      </c>
      <c r="H98" s="101" t="s">
        <v>217</v>
      </c>
      <c r="I98" s="55">
        <f t="shared" si="1"/>
        <v>413974.99726775958</v>
      </c>
      <c r="J98" s="102">
        <v>36069</v>
      </c>
      <c r="K98" s="102">
        <v>35044</v>
      </c>
      <c r="L98" s="102">
        <v>34639</v>
      </c>
      <c r="M98" s="102">
        <v>33991</v>
      </c>
      <c r="N98" s="102">
        <v>33863</v>
      </c>
      <c r="O98" s="102">
        <v>33825</v>
      </c>
      <c r="P98" s="102">
        <v>33791</v>
      </c>
      <c r="Q98" s="102">
        <v>34486.997267759565</v>
      </c>
      <c r="R98" s="102">
        <v>34854</v>
      </c>
      <c r="S98" s="102">
        <v>34837</v>
      </c>
      <c r="T98" s="102">
        <v>34690</v>
      </c>
      <c r="U98" s="102">
        <v>33885</v>
      </c>
    </row>
    <row r="99" spans="2:21">
      <c r="B99" s="57" t="s">
        <v>269</v>
      </c>
      <c r="C99" s="101" t="s">
        <v>109</v>
      </c>
      <c r="D99" s="101" t="s">
        <v>3</v>
      </c>
      <c r="E99" s="101" t="s">
        <v>113</v>
      </c>
      <c r="F99" s="101" t="s">
        <v>132</v>
      </c>
      <c r="G99" s="101" t="s">
        <v>132</v>
      </c>
      <c r="H99" s="101" t="s">
        <v>139</v>
      </c>
      <c r="I99" s="55">
        <f t="shared" si="1"/>
        <v>291879.33333333337</v>
      </c>
      <c r="J99" s="102">
        <v>31951</v>
      </c>
      <c r="K99" s="102">
        <v>28425</v>
      </c>
      <c r="L99" s="102">
        <v>27291</v>
      </c>
      <c r="M99" s="102">
        <v>27817</v>
      </c>
      <c r="N99" s="102">
        <v>24969</v>
      </c>
      <c r="O99" s="102">
        <v>21719</v>
      </c>
      <c r="P99" s="102">
        <v>20414</v>
      </c>
      <c r="Q99" s="102">
        <v>21083.333333333332</v>
      </c>
      <c r="R99" s="102">
        <v>21081</v>
      </c>
      <c r="S99" s="102">
        <v>20693</v>
      </c>
      <c r="T99" s="102">
        <v>21366</v>
      </c>
      <c r="U99" s="102">
        <v>25070</v>
      </c>
    </row>
    <row r="100" spans="2:21">
      <c r="B100" s="57" t="s">
        <v>269</v>
      </c>
      <c r="C100" s="101" t="s">
        <v>109</v>
      </c>
      <c r="D100" s="101" t="s">
        <v>3</v>
      </c>
      <c r="E100" s="101" t="s">
        <v>113</v>
      </c>
      <c r="F100" s="101" t="s">
        <v>132</v>
      </c>
      <c r="G100" s="101" t="s">
        <v>132</v>
      </c>
      <c r="H100" s="101" t="s">
        <v>138</v>
      </c>
      <c r="I100" s="55">
        <f t="shared" si="1"/>
        <v>31472.333333333332</v>
      </c>
      <c r="J100" s="102">
        <v>3008</v>
      </c>
      <c r="K100" s="102">
        <v>2893</v>
      </c>
      <c r="L100" s="102">
        <v>2825</v>
      </c>
      <c r="M100" s="102">
        <v>2784</v>
      </c>
      <c r="N100" s="102">
        <v>2715</v>
      </c>
      <c r="O100" s="102">
        <v>2384</v>
      </c>
      <c r="P100" s="102">
        <v>2607</v>
      </c>
      <c r="Q100" s="102">
        <v>2230.3333333333335</v>
      </c>
      <c r="R100" s="102">
        <v>2547.0000000000005</v>
      </c>
      <c r="S100" s="102">
        <v>2269</v>
      </c>
      <c r="T100" s="102">
        <v>2516.0000000000005</v>
      </c>
      <c r="U100" s="102">
        <v>2694</v>
      </c>
    </row>
    <row r="101" spans="2:21">
      <c r="B101" s="57" t="s">
        <v>269</v>
      </c>
      <c r="C101" s="101" t="s">
        <v>109</v>
      </c>
      <c r="D101" s="101" t="s">
        <v>3</v>
      </c>
      <c r="E101" s="101" t="s">
        <v>114</v>
      </c>
      <c r="F101" s="101" t="s">
        <v>132</v>
      </c>
      <c r="G101" s="101" t="s">
        <v>140</v>
      </c>
      <c r="H101" s="101" t="s">
        <v>271</v>
      </c>
      <c r="I101" s="55">
        <f t="shared" si="1"/>
        <v>83.666666666666671</v>
      </c>
      <c r="J101" s="102">
        <v>6.666666666666667</v>
      </c>
      <c r="K101" s="102">
        <v>7</v>
      </c>
      <c r="L101" s="102">
        <v>7</v>
      </c>
      <c r="M101" s="102">
        <v>7</v>
      </c>
      <c r="N101" s="102">
        <v>7</v>
      </c>
      <c r="O101" s="102">
        <v>7</v>
      </c>
      <c r="P101" s="102">
        <v>7</v>
      </c>
      <c r="Q101" s="102">
        <v>7</v>
      </c>
      <c r="R101" s="102">
        <v>7</v>
      </c>
      <c r="S101" s="102">
        <v>7</v>
      </c>
      <c r="T101" s="102">
        <v>7</v>
      </c>
      <c r="U101" s="102">
        <v>7</v>
      </c>
    </row>
    <row r="102" spans="2:21">
      <c r="B102" s="57" t="s">
        <v>269</v>
      </c>
      <c r="C102" s="101" t="s">
        <v>109</v>
      </c>
      <c r="D102" s="101" t="s">
        <v>3</v>
      </c>
      <c r="E102" s="101" t="s">
        <v>114</v>
      </c>
      <c r="F102" s="101" t="s">
        <v>132</v>
      </c>
      <c r="G102" s="101" t="s">
        <v>141</v>
      </c>
      <c r="H102" s="101" t="s">
        <v>271</v>
      </c>
      <c r="I102" s="55">
        <f t="shared" si="1"/>
        <v>12</v>
      </c>
      <c r="J102" s="102">
        <v>1</v>
      </c>
      <c r="K102" s="102">
        <v>1</v>
      </c>
      <c r="L102" s="102">
        <v>1</v>
      </c>
      <c r="M102" s="102">
        <v>1</v>
      </c>
      <c r="N102" s="102">
        <v>1</v>
      </c>
      <c r="O102" s="102">
        <v>1</v>
      </c>
      <c r="P102" s="102">
        <v>1</v>
      </c>
      <c r="Q102" s="102">
        <v>1</v>
      </c>
      <c r="R102" s="102">
        <v>1</v>
      </c>
      <c r="S102" s="102">
        <v>1</v>
      </c>
      <c r="T102" s="102">
        <v>1</v>
      </c>
      <c r="U102" s="102">
        <v>1</v>
      </c>
    </row>
    <row r="103" spans="2:21">
      <c r="B103" s="57" t="s">
        <v>269</v>
      </c>
      <c r="C103" s="101" t="s">
        <v>109</v>
      </c>
      <c r="D103" s="101" t="s">
        <v>3</v>
      </c>
      <c r="E103" s="101" t="s">
        <v>114</v>
      </c>
      <c r="F103" s="101" t="s">
        <v>132</v>
      </c>
      <c r="G103" s="101" t="s">
        <v>140</v>
      </c>
      <c r="H103" s="101" t="s">
        <v>217</v>
      </c>
      <c r="I103" s="55">
        <f t="shared" si="1"/>
        <v>91474.688524590165</v>
      </c>
      <c r="J103" s="102">
        <v>7588.688524590164</v>
      </c>
      <c r="K103" s="102">
        <v>7416</v>
      </c>
      <c r="L103" s="102">
        <v>7489</v>
      </c>
      <c r="M103" s="102">
        <v>7833</v>
      </c>
      <c r="N103" s="102">
        <v>7682</v>
      </c>
      <c r="O103" s="102">
        <v>7645</v>
      </c>
      <c r="P103" s="102">
        <v>7645</v>
      </c>
      <c r="Q103" s="102">
        <v>7644</v>
      </c>
      <c r="R103" s="102">
        <v>7652</v>
      </c>
      <c r="S103" s="102">
        <v>7652</v>
      </c>
      <c r="T103" s="102">
        <v>7652</v>
      </c>
      <c r="U103" s="102">
        <v>7576</v>
      </c>
    </row>
    <row r="104" spans="2:21">
      <c r="B104" s="57" t="s">
        <v>269</v>
      </c>
      <c r="C104" s="101" t="s">
        <v>109</v>
      </c>
      <c r="D104" s="101" t="s">
        <v>3</v>
      </c>
      <c r="E104" s="101" t="s">
        <v>114</v>
      </c>
      <c r="F104" s="101" t="s">
        <v>132</v>
      </c>
      <c r="G104" s="101" t="s">
        <v>141</v>
      </c>
      <c r="H104" s="101" t="s">
        <v>217</v>
      </c>
      <c r="I104" s="55">
        <f t="shared" si="1"/>
        <v>54406</v>
      </c>
      <c r="J104" s="102">
        <v>4680</v>
      </c>
      <c r="K104" s="102">
        <v>4606</v>
      </c>
      <c r="L104" s="102">
        <v>4512</v>
      </c>
      <c r="M104" s="102">
        <v>4512</v>
      </c>
      <c r="N104" s="102">
        <v>4512</v>
      </c>
      <c r="O104" s="102">
        <v>4512</v>
      </c>
      <c r="P104" s="102">
        <v>4512</v>
      </c>
      <c r="Q104" s="102">
        <v>4512</v>
      </c>
      <c r="R104" s="102">
        <v>4512</v>
      </c>
      <c r="S104" s="102">
        <v>4512</v>
      </c>
      <c r="T104" s="102">
        <v>4512</v>
      </c>
      <c r="U104" s="102">
        <v>4512</v>
      </c>
    </row>
    <row r="105" spans="2:21">
      <c r="B105" s="57" t="s">
        <v>269</v>
      </c>
      <c r="C105" s="101" t="s">
        <v>109</v>
      </c>
      <c r="D105" s="101" t="s">
        <v>3</v>
      </c>
      <c r="E105" s="101" t="s">
        <v>114</v>
      </c>
      <c r="F105" s="101" t="s">
        <v>132</v>
      </c>
      <c r="G105" s="101" t="s">
        <v>132</v>
      </c>
      <c r="H105" s="101" t="s">
        <v>139</v>
      </c>
      <c r="I105" s="55">
        <f t="shared" si="1"/>
        <v>117203.33409090909</v>
      </c>
      <c r="J105" s="102">
        <v>11984.334090909089</v>
      </c>
      <c r="K105" s="102">
        <v>11732</v>
      </c>
      <c r="L105" s="102">
        <v>11222.999999999998</v>
      </c>
      <c r="M105" s="102">
        <v>10743</v>
      </c>
      <c r="N105" s="102">
        <v>9386</v>
      </c>
      <c r="O105" s="102">
        <v>8822</v>
      </c>
      <c r="P105" s="102">
        <v>9127.9999999999982</v>
      </c>
      <c r="Q105" s="102">
        <v>9052</v>
      </c>
      <c r="R105" s="102">
        <v>8832</v>
      </c>
      <c r="S105" s="102">
        <v>8479</v>
      </c>
      <c r="T105" s="102">
        <v>8390</v>
      </c>
      <c r="U105" s="102">
        <v>9432</v>
      </c>
    </row>
    <row r="106" spans="2:21">
      <c r="B106" s="57" t="s">
        <v>269</v>
      </c>
      <c r="C106" s="101" t="s">
        <v>109</v>
      </c>
      <c r="D106" s="101" t="s">
        <v>3</v>
      </c>
      <c r="E106" s="101" t="s">
        <v>114</v>
      </c>
      <c r="F106" s="101" t="s">
        <v>132</v>
      </c>
      <c r="G106" s="101" t="s">
        <v>132</v>
      </c>
      <c r="H106" s="101" t="s">
        <v>138</v>
      </c>
      <c r="I106" s="55">
        <f t="shared" si="1"/>
        <v>9250.1428571428569</v>
      </c>
      <c r="J106" s="102">
        <v>1668.1428571428569</v>
      </c>
      <c r="K106" s="102">
        <v>1447.9999999999998</v>
      </c>
      <c r="L106" s="102">
        <v>1297.9999999999998</v>
      </c>
      <c r="M106" s="102">
        <v>993.99999999999989</v>
      </c>
      <c r="N106" s="102">
        <v>583</v>
      </c>
      <c r="O106" s="102">
        <v>464.99999999999994</v>
      </c>
      <c r="P106" s="102">
        <v>231.99999999999997</v>
      </c>
      <c r="Q106" s="102">
        <v>329</v>
      </c>
      <c r="R106" s="102">
        <v>260.99999999999994</v>
      </c>
      <c r="S106" s="102">
        <v>307.99999999999994</v>
      </c>
      <c r="T106" s="102">
        <v>560</v>
      </c>
      <c r="U106" s="102">
        <v>1104</v>
      </c>
    </row>
    <row r="107" spans="2:21">
      <c r="B107" s="57" t="s">
        <v>269</v>
      </c>
      <c r="C107" s="101" t="s">
        <v>109</v>
      </c>
      <c r="D107" s="101" t="s">
        <v>5</v>
      </c>
      <c r="E107" s="101" t="s">
        <v>132</v>
      </c>
      <c r="F107" s="101" t="s">
        <v>132</v>
      </c>
      <c r="G107" s="101" t="s">
        <v>132</v>
      </c>
      <c r="H107" s="101" t="s">
        <v>286</v>
      </c>
      <c r="I107" s="55">
        <f t="shared" si="1"/>
        <v>119</v>
      </c>
      <c r="J107" s="102">
        <v>9</v>
      </c>
      <c r="K107" s="102">
        <v>10</v>
      </c>
      <c r="L107" s="102">
        <v>10</v>
      </c>
      <c r="M107" s="102">
        <v>10</v>
      </c>
      <c r="N107" s="102">
        <v>10</v>
      </c>
      <c r="O107" s="102">
        <v>10</v>
      </c>
      <c r="P107" s="102">
        <v>10</v>
      </c>
      <c r="Q107" s="102">
        <v>10</v>
      </c>
      <c r="R107" s="102">
        <v>10</v>
      </c>
      <c r="S107" s="102">
        <v>10</v>
      </c>
      <c r="T107" s="102">
        <v>10</v>
      </c>
      <c r="U107" s="102">
        <v>10</v>
      </c>
    </row>
    <row r="108" spans="2:21">
      <c r="B108" s="57" t="s">
        <v>269</v>
      </c>
      <c r="C108" s="101" t="s">
        <v>109</v>
      </c>
      <c r="D108" s="101" t="s">
        <v>5</v>
      </c>
      <c r="E108" s="101" t="s">
        <v>113</v>
      </c>
      <c r="F108" s="101" t="s">
        <v>132</v>
      </c>
      <c r="G108" s="101" t="s">
        <v>140</v>
      </c>
      <c r="H108" s="101" t="s">
        <v>271</v>
      </c>
      <c r="I108" s="55">
        <f t="shared" si="1"/>
        <v>309</v>
      </c>
      <c r="J108" s="102">
        <v>25</v>
      </c>
      <c r="K108" s="102">
        <v>25</v>
      </c>
      <c r="L108" s="102">
        <v>25</v>
      </c>
      <c r="M108" s="102">
        <v>26</v>
      </c>
      <c r="N108" s="102">
        <v>26</v>
      </c>
      <c r="O108" s="102">
        <v>26</v>
      </c>
      <c r="P108" s="102">
        <v>26</v>
      </c>
      <c r="Q108" s="102">
        <v>26</v>
      </c>
      <c r="R108" s="102">
        <v>26</v>
      </c>
      <c r="S108" s="102">
        <v>26</v>
      </c>
      <c r="T108" s="102">
        <v>26</v>
      </c>
      <c r="U108" s="102">
        <v>26</v>
      </c>
    </row>
    <row r="109" spans="2:21">
      <c r="B109" s="57" t="s">
        <v>269</v>
      </c>
      <c r="C109" s="101" t="s">
        <v>109</v>
      </c>
      <c r="D109" s="101" t="s">
        <v>5</v>
      </c>
      <c r="E109" s="101" t="s">
        <v>113</v>
      </c>
      <c r="F109" s="101" t="s">
        <v>132</v>
      </c>
      <c r="G109" s="101" t="s">
        <v>141</v>
      </c>
      <c r="H109" s="101" t="s">
        <v>271</v>
      </c>
      <c r="I109" s="55">
        <f t="shared" si="1"/>
        <v>27</v>
      </c>
      <c r="J109" s="102">
        <v>3</v>
      </c>
      <c r="K109" s="102">
        <v>3</v>
      </c>
      <c r="L109" s="102">
        <v>3</v>
      </c>
      <c r="M109" s="102">
        <v>2</v>
      </c>
      <c r="N109" s="102">
        <v>2</v>
      </c>
      <c r="O109" s="102">
        <v>2</v>
      </c>
      <c r="P109" s="102">
        <v>2</v>
      </c>
      <c r="Q109" s="102">
        <v>2</v>
      </c>
      <c r="R109" s="102">
        <v>2</v>
      </c>
      <c r="S109" s="102">
        <v>2</v>
      </c>
      <c r="T109" s="102">
        <v>2</v>
      </c>
      <c r="U109" s="102">
        <v>2</v>
      </c>
    </row>
    <row r="110" spans="2:21">
      <c r="B110" s="57" t="s">
        <v>269</v>
      </c>
      <c r="C110" s="101" t="s">
        <v>109</v>
      </c>
      <c r="D110" s="101" t="s">
        <v>5</v>
      </c>
      <c r="E110" s="101" t="s">
        <v>113</v>
      </c>
      <c r="F110" s="101" t="s">
        <v>132</v>
      </c>
      <c r="G110" s="101" t="s">
        <v>140</v>
      </c>
      <c r="H110" s="101" t="s">
        <v>217</v>
      </c>
      <c r="I110" s="55">
        <f t="shared" si="1"/>
        <v>404993</v>
      </c>
      <c r="J110" s="102">
        <v>32227</v>
      </c>
      <c r="K110" s="102">
        <v>31996</v>
      </c>
      <c r="L110" s="102">
        <v>31835</v>
      </c>
      <c r="M110" s="102">
        <v>34629</v>
      </c>
      <c r="N110" s="102">
        <v>34364</v>
      </c>
      <c r="O110" s="102">
        <v>34332</v>
      </c>
      <c r="P110" s="102">
        <v>34329</v>
      </c>
      <c r="Q110" s="102">
        <v>34250</v>
      </c>
      <c r="R110" s="102">
        <v>34264</v>
      </c>
      <c r="S110" s="102">
        <v>34285</v>
      </c>
      <c r="T110" s="102">
        <v>34221</v>
      </c>
      <c r="U110" s="102">
        <v>34261</v>
      </c>
    </row>
    <row r="111" spans="2:21">
      <c r="B111" s="57" t="s">
        <v>269</v>
      </c>
      <c r="C111" s="101" t="s">
        <v>109</v>
      </c>
      <c r="D111" s="101" t="s">
        <v>5</v>
      </c>
      <c r="E111" s="101" t="s">
        <v>113</v>
      </c>
      <c r="F111" s="101" t="s">
        <v>132</v>
      </c>
      <c r="G111" s="101" t="s">
        <v>141</v>
      </c>
      <c r="H111" s="101" t="s">
        <v>217</v>
      </c>
      <c r="I111" s="55">
        <f t="shared" si="1"/>
        <v>105203</v>
      </c>
      <c r="J111" s="102">
        <v>11014</v>
      </c>
      <c r="K111" s="102">
        <v>11173</v>
      </c>
      <c r="L111" s="102">
        <v>11156</v>
      </c>
      <c r="M111" s="102">
        <v>7990.9999999999982</v>
      </c>
      <c r="N111" s="102">
        <v>7990.9999999999982</v>
      </c>
      <c r="O111" s="102">
        <v>7990.9999999999982</v>
      </c>
      <c r="P111" s="102">
        <v>7990.9999999999982</v>
      </c>
      <c r="Q111" s="102">
        <v>7990.9999999999982</v>
      </c>
      <c r="R111" s="102">
        <v>7990.9999999999982</v>
      </c>
      <c r="S111" s="102">
        <v>7990.9999999999982</v>
      </c>
      <c r="T111" s="102">
        <v>7963</v>
      </c>
      <c r="U111" s="102">
        <v>7959.9999999999982</v>
      </c>
    </row>
    <row r="112" spans="2:21">
      <c r="B112" s="57" t="s">
        <v>269</v>
      </c>
      <c r="C112" s="101" t="s">
        <v>109</v>
      </c>
      <c r="D112" s="101" t="s">
        <v>5</v>
      </c>
      <c r="E112" s="101" t="s">
        <v>113</v>
      </c>
      <c r="F112" s="101" t="s">
        <v>132</v>
      </c>
      <c r="G112" s="101" t="s">
        <v>132</v>
      </c>
      <c r="H112" s="101" t="s">
        <v>139</v>
      </c>
      <c r="I112" s="55">
        <f t="shared" si="1"/>
        <v>431793</v>
      </c>
      <c r="J112" s="102">
        <v>36500</v>
      </c>
      <c r="K112" s="102">
        <v>36668</v>
      </c>
      <c r="L112" s="102">
        <v>34965</v>
      </c>
      <c r="M112" s="102">
        <v>38455</v>
      </c>
      <c r="N112" s="102">
        <v>37933</v>
      </c>
      <c r="O112" s="102">
        <v>35125</v>
      </c>
      <c r="P112" s="102">
        <v>34231</v>
      </c>
      <c r="Q112" s="102">
        <v>34714</v>
      </c>
      <c r="R112" s="102">
        <v>35951</v>
      </c>
      <c r="S112" s="102">
        <v>35611</v>
      </c>
      <c r="T112" s="102">
        <v>35612</v>
      </c>
      <c r="U112" s="102">
        <v>36028</v>
      </c>
    </row>
    <row r="113" spans="2:21">
      <c r="B113" s="57" t="s">
        <v>269</v>
      </c>
      <c r="C113" s="101" t="s">
        <v>109</v>
      </c>
      <c r="D113" s="101" t="s">
        <v>5</v>
      </c>
      <c r="E113" s="101" t="s">
        <v>113</v>
      </c>
      <c r="F113" s="101" t="s">
        <v>132</v>
      </c>
      <c r="G113" s="101" t="s">
        <v>132</v>
      </c>
      <c r="H113" s="101" t="s">
        <v>138</v>
      </c>
      <c r="I113" s="55">
        <f t="shared" si="1"/>
        <v>108851</v>
      </c>
      <c r="J113" s="102">
        <v>9276.0000000000018</v>
      </c>
      <c r="K113" s="102">
        <v>9368</v>
      </c>
      <c r="L113" s="102">
        <v>9327</v>
      </c>
      <c r="M113" s="102">
        <v>9357.0000000000018</v>
      </c>
      <c r="N113" s="102">
        <v>9179</v>
      </c>
      <c r="O113" s="102">
        <v>8800</v>
      </c>
      <c r="P113" s="102">
        <v>8754</v>
      </c>
      <c r="Q113" s="102">
        <v>9077</v>
      </c>
      <c r="R113" s="102">
        <v>8759</v>
      </c>
      <c r="S113" s="102">
        <v>8977</v>
      </c>
      <c r="T113" s="102">
        <v>8944.0000000000018</v>
      </c>
      <c r="U113" s="102">
        <v>9033</v>
      </c>
    </row>
    <row r="114" spans="2:21">
      <c r="B114" s="57" t="s">
        <v>269</v>
      </c>
      <c r="C114" s="101" t="s">
        <v>109</v>
      </c>
      <c r="D114" s="101" t="s">
        <v>5</v>
      </c>
      <c r="E114" s="101" t="s">
        <v>114</v>
      </c>
      <c r="F114" s="101" t="s">
        <v>132</v>
      </c>
      <c r="G114" s="101" t="s">
        <v>140</v>
      </c>
      <c r="H114" s="101" t="s">
        <v>271</v>
      </c>
      <c r="I114" s="55">
        <f t="shared" si="1"/>
        <v>12</v>
      </c>
      <c r="J114" s="102">
        <v>1</v>
      </c>
      <c r="K114" s="102">
        <v>1</v>
      </c>
      <c r="L114" s="102">
        <v>1</v>
      </c>
      <c r="M114" s="102">
        <v>1</v>
      </c>
      <c r="N114" s="102">
        <v>1</v>
      </c>
      <c r="O114" s="102">
        <v>1</v>
      </c>
      <c r="P114" s="102">
        <v>1</v>
      </c>
      <c r="Q114" s="102">
        <v>1</v>
      </c>
      <c r="R114" s="102">
        <v>1</v>
      </c>
      <c r="S114" s="102">
        <v>1</v>
      </c>
      <c r="T114" s="102">
        <v>1</v>
      </c>
      <c r="U114" s="102">
        <v>1</v>
      </c>
    </row>
    <row r="115" spans="2:21">
      <c r="B115" s="57" t="s">
        <v>269</v>
      </c>
      <c r="C115" s="101" t="s">
        <v>109</v>
      </c>
      <c r="D115" s="101" t="s">
        <v>5</v>
      </c>
      <c r="E115" s="101" t="s">
        <v>114</v>
      </c>
      <c r="F115" s="101" t="s">
        <v>132</v>
      </c>
      <c r="G115" s="101" t="s">
        <v>140</v>
      </c>
      <c r="H115" s="101" t="s">
        <v>217</v>
      </c>
      <c r="I115" s="55">
        <f t="shared" si="1"/>
        <v>1080</v>
      </c>
      <c r="J115" s="102">
        <v>143.00000000000003</v>
      </c>
      <c r="K115" s="102">
        <v>143.00000000000003</v>
      </c>
      <c r="L115" s="102">
        <v>77.000000000000043</v>
      </c>
      <c r="M115" s="102">
        <v>77.000000000000043</v>
      </c>
      <c r="N115" s="102">
        <v>77.000000000000043</v>
      </c>
      <c r="O115" s="102">
        <v>77.000000000000043</v>
      </c>
      <c r="P115" s="102">
        <v>77.999999999999886</v>
      </c>
      <c r="Q115" s="102">
        <v>79.999999999999929</v>
      </c>
      <c r="R115" s="102">
        <v>81.999999999999972</v>
      </c>
      <c r="S115" s="102">
        <v>81.999999999999972</v>
      </c>
      <c r="T115" s="102">
        <v>81.999999999999972</v>
      </c>
      <c r="U115" s="102">
        <v>81.999999999999972</v>
      </c>
    </row>
    <row r="116" spans="2:21">
      <c r="B116" s="57" t="s">
        <v>269</v>
      </c>
      <c r="C116" s="101" t="s">
        <v>109</v>
      </c>
      <c r="D116" s="101" t="s">
        <v>5</v>
      </c>
      <c r="E116" s="101" t="s">
        <v>114</v>
      </c>
      <c r="F116" s="101" t="s">
        <v>132</v>
      </c>
      <c r="G116" s="101" t="s">
        <v>132</v>
      </c>
      <c r="H116" s="101" t="s">
        <v>139</v>
      </c>
      <c r="I116" s="55">
        <f t="shared" si="1"/>
        <v>5999.9999999999991</v>
      </c>
      <c r="J116" s="102">
        <v>499.99999999999994</v>
      </c>
      <c r="K116" s="102">
        <v>499.99999999999994</v>
      </c>
      <c r="L116" s="102">
        <v>499.99999999999994</v>
      </c>
      <c r="M116" s="102">
        <v>499.99999999999994</v>
      </c>
      <c r="N116" s="102">
        <v>499.99999999999994</v>
      </c>
      <c r="O116" s="102">
        <v>499.99999999999994</v>
      </c>
      <c r="P116" s="102">
        <v>499.99999999999994</v>
      </c>
      <c r="Q116" s="102">
        <v>499.99999999999994</v>
      </c>
      <c r="R116" s="102">
        <v>499.99999999999994</v>
      </c>
      <c r="S116" s="102">
        <v>499.99999999999994</v>
      </c>
      <c r="T116" s="102">
        <v>499.99999999999994</v>
      </c>
      <c r="U116" s="102">
        <v>499.99999999999994</v>
      </c>
    </row>
    <row r="117" spans="2:21">
      <c r="B117" s="57" t="s">
        <v>269</v>
      </c>
      <c r="C117" s="101" t="s">
        <v>109</v>
      </c>
      <c r="D117" s="101" t="s">
        <v>5</v>
      </c>
      <c r="E117" s="101" t="s">
        <v>114</v>
      </c>
      <c r="F117" s="101" t="s">
        <v>132</v>
      </c>
      <c r="G117" s="101" t="s">
        <v>132</v>
      </c>
      <c r="H117" s="101" t="s">
        <v>138</v>
      </c>
      <c r="I117" s="55">
        <f t="shared" si="1"/>
        <v>601</v>
      </c>
      <c r="J117" s="102">
        <v>53.999999999999993</v>
      </c>
      <c r="K117" s="102">
        <v>57</v>
      </c>
      <c r="L117" s="102">
        <v>52</v>
      </c>
      <c r="M117" s="102">
        <v>47.999999999999993</v>
      </c>
      <c r="N117" s="102">
        <v>49</v>
      </c>
      <c r="O117" s="102">
        <v>49</v>
      </c>
      <c r="P117" s="102">
        <v>44</v>
      </c>
      <c r="Q117" s="102">
        <v>49</v>
      </c>
      <c r="R117" s="102">
        <v>47.999999999999993</v>
      </c>
      <c r="S117" s="102">
        <v>49.999999999999993</v>
      </c>
      <c r="T117" s="102">
        <v>49</v>
      </c>
      <c r="U117" s="102">
        <v>52</v>
      </c>
    </row>
    <row r="118" spans="2:21">
      <c r="B118" s="57" t="s">
        <v>269</v>
      </c>
      <c r="C118" s="101" t="s">
        <v>223</v>
      </c>
      <c r="D118" s="101" t="s">
        <v>5</v>
      </c>
      <c r="E118" s="101" t="s">
        <v>114</v>
      </c>
      <c r="F118" s="101" t="s">
        <v>132</v>
      </c>
      <c r="G118" s="101" t="s">
        <v>132</v>
      </c>
      <c r="H118" s="101" t="s">
        <v>286</v>
      </c>
      <c r="I118" s="55">
        <f t="shared" si="1"/>
        <v>12</v>
      </c>
      <c r="J118" s="102">
        <v>1</v>
      </c>
      <c r="K118" s="102">
        <v>1</v>
      </c>
      <c r="L118" s="102">
        <v>1</v>
      </c>
      <c r="M118" s="102">
        <v>1</v>
      </c>
      <c r="N118" s="102">
        <v>1</v>
      </c>
      <c r="O118" s="102">
        <v>1</v>
      </c>
      <c r="P118" s="102">
        <v>1</v>
      </c>
      <c r="Q118" s="102">
        <v>1</v>
      </c>
      <c r="R118" s="102">
        <v>1</v>
      </c>
      <c r="S118" s="102">
        <v>1</v>
      </c>
      <c r="T118" s="102">
        <v>1</v>
      </c>
      <c r="U118" s="102">
        <v>1</v>
      </c>
    </row>
    <row r="119" spans="2:21">
      <c r="B119" s="57" t="s">
        <v>269</v>
      </c>
      <c r="C119" s="101" t="s">
        <v>223</v>
      </c>
      <c r="D119" s="101" t="s">
        <v>5</v>
      </c>
      <c r="E119" s="101" t="s">
        <v>114</v>
      </c>
      <c r="F119" s="101" t="s">
        <v>132</v>
      </c>
      <c r="G119" s="101" t="s">
        <v>132</v>
      </c>
      <c r="H119" s="101" t="s">
        <v>271</v>
      </c>
      <c r="I119" s="55">
        <f t="shared" si="1"/>
        <v>12</v>
      </c>
      <c r="J119" s="102">
        <v>1</v>
      </c>
      <c r="K119" s="102">
        <v>1</v>
      </c>
      <c r="L119" s="102">
        <v>1</v>
      </c>
      <c r="M119" s="102">
        <v>1</v>
      </c>
      <c r="N119" s="102">
        <v>1</v>
      </c>
      <c r="O119" s="102">
        <v>1</v>
      </c>
      <c r="P119" s="102">
        <v>1</v>
      </c>
      <c r="Q119" s="102">
        <v>1</v>
      </c>
      <c r="R119" s="102">
        <v>1</v>
      </c>
      <c r="S119" s="102">
        <v>1</v>
      </c>
      <c r="T119" s="102">
        <v>1</v>
      </c>
      <c r="U119" s="102">
        <v>1</v>
      </c>
    </row>
    <row r="120" spans="2:21">
      <c r="B120" s="57" t="s">
        <v>269</v>
      </c>
      <c r="C120" s="101" t="s">
        <v>223</v>
      </c>
      <c r="D120" s="101" t="s">
        <v>5</v>
      </c>
      <c r="E120" s="101" t="s">
        <v>114</v>
      </c>
      <c r="F120" s="101" t="s">
        <v>132</v>
      </c>
      <c r="G120" s="101" t="s">
        <v>132</v>
      </c>
      <c r="H120" s="101" t="s">
        <v>217</v>
      </c>
      <c r="I120" s="55">
        <f t="shared" si="1"/>
        <v>827586</v>
      </c>
      <c r="J120" s="102">
        <v>68908</v>
      </c>
      <c r="K120" s="102">
        <v>68559.999999999985</v>
      </c>
      <c r="L120" s="102">
        <v>68559.999999999985</v>
      </c>
      <c r="M120" s="102">
        <v>68559.999999999985</v>
      </c>
      <c r="N120" s="102">
        <v>68559.999999999985</v>
      </c>
      <c r="O120" s="102">
        <v>68559.999999999985</v>
      </c>
      <c r="P120" s="102">
        <v>68627</v>
      </c>
      <c r="Q120" s="102">
        <v>69197</v>
      </c>
      <c r="R120" s="102">
        <v>69590</v>
      </c>
      <c r="S120" s="102">
        <v>69488</v>
      </c>
      <c r="T120" s="102">
        <v>69488</v>
      </c>
      <c r="U120" s="102">
        <v>69488</v>
      </c>
    </row>
    <row r="121" spans="2:21">
      <c r="B121" s="57" t="s">
        <v>269</v>
      </c>
      <c r="C121" s="101" t="s">
        <v>223</v>
      </c>
      <c r="D121" s="101" t="s">
        <v>5</v>
      </c>
      <c r="E121" s="101" t="s">
        <v>114</v>
      </c>
      <c r="F121" s="101" t="s">
        <v>132</v>
      </c>
      <c r="G121" s="101" t="s">
        <v>132</v>
      </c>
      <c r="H121" s="101" t="s">
        <v>139</v>
      </c>
      <c r="I121" s="55">
        <f t="shared" si="1"/>
        <v>815013</v>
      </c>
      <c r="J121" s="102">
        <v>68280</v>
      </c>
      <c r="K121" s="102">
        <v>66227</v>
      </c>
      <c r="L121" s="102">
        <v>66859</v>
      </c>
      <c r="M121" s="102">
        <v>66315</v>
      </c>
      <c r="N121" s="102">
        <v>66246</v>
      </c>
      <c r="O121" s="102">
        <v>68050</v>
      </c>
      <c r="P121" s="102">
        <v>68414</v>
      </c>
      <c r="Q121" s="102">
        <v>69555</v>
      </c>
      <c r="R121" s="102">
        <v>69421</v>
      </c>
      <c r="S121" s="102">
        <v>68512</v>
      </c>
      <c r="T121" s="102">
        <v>68862</v>
      </c>
      <c r="U121" s="102">
        <v>68272</v>
      </c>
    </row>
    <row r="122" spans="2:21">
      <c r="B122" s="57" t="s">
        <v>269</v>
      </c>
      <c r="C122" s="101" t="s">
        <v>223</v>
      </c>
      <c r="D122" s="101" t="s">
        <v>5</v>
      </c>
      <c r="E122" s="101" t="s">
        <v>114</v>
      </c>
      <c r="F122" s="101" t="s">
        <v>132</v>
      </c>
      <c r="G122" s="101" t="s">
        <v>132</v>
      </c>
      <c r="H122" s="101" t="s">
        <v>138</v>
      </c>
      <c r="I122" s="55">
        <f t="shared" si="1"/>
        <v>22838.999999999996</v>
      </c>
      <c r="J122" s="102">
        <v>2000.9999999999998</v>
      </c>
      <c r="K122" s="102">
        <v>2250.9999999999995</v>
      </c>
      <c r="L122" s="102">
        <v>2550</v>
      </c>
      <c r="M122" s="102">
        <v>1824.9999999999998</v>
      </c>
      <c r="N122" s="102">
        <v>1312.9999999999998</v>
      </c>
      <c r="O122" s="102">
        <v>1154</v>
      </c>
      <c r="P122" s="102">
        <v>897</v>
      </c>
      <c r="Q122" s="102">
        <v>912</v>
      </c>
      <c r="R122" s="102">
        <v>2144</v>
      </c>
      <c r="S122" s="102">
        <v>2205.9999999999995</v>
      </c>
      <c r="T122" s="102">
        <v>2854.9999999999995</v>
      </c>
      <c r="U122" s="102">
        <v>2730.9999999999995</v>
      </c>
    </row>
    <row r="123" spans="2:21">
      <c r="B123" s="57" t="s">
        <v>269</v>
      </c>
      <c r="C123" s="101" t="s">
        <v>106</v>
      </c>
      <c r="D123" s="101" t="s">
        <v>2</v>
      </c>
      <c r="E123" s="101" t="s">
        <v>132</v>
      </c>
      <c r="F123" s="101" t="s">
        <v>132</v>
      </c>
      <c r="G123" s="101" t="s">
        <v>132</v>
      </c>
      <c r="H123" s="101" t="s">
        <v>273</v>
      </c>
      <c r="I123" s="55">
        <f t="shared" si="1"/>
        <v>11358.954476087458</v>
      </c>
      <c r="J123" s="102">
        <v>954.46549560853191</v>
      </c>
      <c r="K123" s="102">
        <v>951.90213299874529</v>
      </c>
      <c r="L123" s="102">
        <v>951.69761606022576</v>
      </c>
      <c r="M123" s="102">
        <v>949.73274780426607</v>
      </c>
      <c r="N123" s="102">
        <v>948.26725219573416</v>
      </c>
      <c r="O123" s="102">
        <v>947.59974905897127</v>
      </c>
      <c r="P123" s="102">
        <v>945.95770551927626</v>
      </c>
      <c r="Q123" s="102">
        <v>945.02434887448294</v>
      </c>
      <c r="R123" s="102">
        <v>944.33795712484255</v>
      </c>
      <c r="S123" s="102">
        <v>940.22638089006239</v>
      </c>
      <c r="T123" s="102">
        <v>940.01227666480372</v>
      </c>
      <c r="U123" s="102">
        <v>939.73081328751437</v>
      </c>
    </row>
    <row r="124" spans="2:21">
      <c r="B124" s="57" t="s">
        <v>269</v>
      </c>
      <c r="C124" s="101" t="s">
        <v>106</v>
      </c>
      <c r="D124" s="101" t="s">
        <v>2</v>
      </c>
      <c r="E124" s="101" t="s">
        <v>132</v>
      </c>
      <c r="F124" s="101" t="s">
        <v>132</v>
      </c>
      <c r="G124" s="101" t="s">
        <v>132</v>
      </c>
      <c r="H124" s="101" t="s">
        <v>274</v>
      </c>
      <c r="I124" s="55">
        <f t="shared" si="1"/>
        <v>526.33326791014065</v>
      </c>
      <c r="J124" s="102">
        <v>43.033333333333331</v>
      </c>
      <c r="K124" s="102">
        <v>43.066666666666663</v>
      </c>
      <c r="L124" s="102">
        <v>44</v>
      </c>
      <c r="M124" s="102">
        <v>44</v>
      </c>
      <c r="N124" s="102">
        <v>44</v>
      </c>
      <c r="O124" s="102">
        <v>44.033333333333331</v>
      </c>
      <c r="P124" s="102">
        <v>44.000926756352769</v>
      </c>
      <c r="Q124" s="102">
        <v>43.997583457897363</v>
      </c>
      <c r="R124" s="102">
        <v>44</v>
      </c>
      <c r="S124" s="102">
        <v>43.99971187799224</v>
      </c>
      <c r="T124" s="102">
        <v>44.001712484564891</v>
      </c>
      <c r="U124" s="102">
        <v>44.2</v>
      </c>
    </row>
    <row r="125" spans="2:21">
      <c r="B125" s="57" t="s">
        <v>269</v>
      </c>
      <c r="C125" s="101" t="s">
        <v>106</v>
      </c>
      <c r="D125" s="101" t="s">
        <v>2</v>
      </c>
      <c r="E125" s="101" t="s">
        <v>132</v>
      </c>
      <c r="F125" s="101" t="s">
        <v>132</v>
      </c>
      <c r="G125" s="101" t="s">
        <v>132</v>
      </c>
      <c r="H125" s="101" t="s">
        <v>275</v>
      </c>
      <c r="I125" s="55">
        <f t="shared" si="1"/>
        <v>24.000151301886131</v>
      </c>
      <c r="J125" s="102">
        <v>2</v>
      </c>
      <c r="K125" s="102">
        <v>2</v>
      </c>
      <c r="L125" s="102">
        <v>2</v>
      </c>
      <c r="M125" s="102">
        <v>2</v>
      </c>
      <c r="N125" s="102">
        <v>2</v>
      </c>
      <c r="O125" s="102">
        <v>2</v>
      </c>
      <c r="P125" s="102">
        <v>2</v>
      </c>
      <c r="Q125" s="102">
        <v>2.0006167131961403</v>
      </c>
      <c r="R125" s="102">
        <v>2</v>
      </c>
      <c r="S125" s="102">
        <v>2</v>
      </c>
      <c r="T125" s="102">
        <v>1.9995345886899889</v>
      </c>
      <c r="U125" s="102">
        <v>2</v>
      </c>
    </row>
    <row r="126" spans="2:21">
      <c r="B126" s="57" t="s">
        <v>269</v>
      </c>
      <c r="C126" s="101" t="s">
        <v>106</v>
      </c>
      <c r="D126" s="101" t="s">
        <v>3</v>
      </c>
      <c r="E126" s="101" t="s">
        <v>132</v>
      </c>
      <c r="F126" s="101" t="s">
        <v>132</v>
      </c>
      <c r="G126" s="101" t="s">
        <v>132</v>
      </c>
      <c r="H126" s="101" t="s">
        <v>273</v>
      </c>
      <c r="I126" s="55">
        <f t="shared" si="1"/>
        <v>13292.36576712665</v>
      </c>
      <c r="J126" s="102">
        <v>1113.302383939774</v>
      </c>
      <c r="K126" s="102">
        <v>1109.8971141781683</v>
      </c>
      <c r="L126" s="102">
        <v>1108.2634880803009</v>
      </c>
      <c r="M126" s="102">
        <v>1107.0966122961104</v>
      </c>
      <c r="N126" s="102">
        <v>1110.9623588456714</v>
      </c>
      <c r="O126" s="102">
        <v>1111.1631116687572</v>
      </c>
      <c r="P126" s="102">
        <v>1107.0901599788604</v>
      </c>
      <c r="Q126" s="102">
        <v>1105.894837355087</v>
      </c>
      <c r="R126" s="102">
        <v>1106.4691046658263</v>
      </c>
      <c r="S126" s="102">
        <v>1105.2053347662613</v>
      </c>
      <c r="T126" s="102">
        <v>1104.0224068272059</v>
      </c>
      <c r="U126" s="102">
        <v>1102.9988545246276</v>
      </c>
    </row>
    <row r="127" spans="2:21">
      <c r="B127" s="57" t="s">
        <v>269</v>
      </c>
      <c r="C127" s="101" t="s">
        <v>106</v>
      </c>
      <c r="D127" s="101" t="s">
        <v>3</v>
      </c>
      <c r="E127" s="101" t="s">
        <v>132</v>
      </c>
      <c r="F127" s="101" t="s">
        <v>132</v>
      </c>
      <c r="G127" s="101" t="s">
        <v>132</v>
      </c>
      <c r="H127" s="101" t="s">
        <v>274</v>
      </c>
      <c r="I127" s="55">
        <f t="shared" si="1"/>
        <v>4567.0003983882498</v>
      </c>
      <c r="J127" s="102">
        <v>379.30000000000007</v>
      </c>
      <c r="K127" s="102">
        <v>381.63333333333327</v>
      </c>
      <c r="L127" s="102">
        <v>380.9666666666667</v>
      </c>
      <c r="M127" s="102">
        <v>380.89999999999992</v>
      </c>
      <c r="N127" s="102">
        <v>381.16666666666669</v>
      </c>
      <c r="O127" s="102">
        <v>381.5333333333333</v>
      </c>
      <c r="P127" s="102">
        <v>380.14745391131055</v>
      </c>
      <c r="Q127" s="102">
        <v>379.82981564524152</v>
      </c>
      <c r="R127" s="102">
        <v>379.86547085201801</v>
      </c>
      <c r="S127" s="102">
        <v>380.23218409479858</v>
      </c>
      <c r="T127" s="102">
        <v>380.42547388488117</v>
      </c>
      <c r="U127" s="102">
        <v>381</v>
      </c>
    </row>
    <row r="128" spans="2:21">
      <c r="B128" s="57" t="s">
        <v>269</v>
      </c>
      <c r="C128" s="101" t="s">
        <v>106</v>
      </c>
      <c r="D128" s="101" t="s">
        <v>3</v>
      </c>
      <c r="E128" s="101" t="s">
        <v>132</v>
      </c>
      <c r="F128" s="101" t="s">
        <v>132</v>
      </c>
      <c r="G128" s="101" t="s">
        <v>132</v>
      </c>
      <c r="H128" s="101" t="s">
        <v>275</v>
      </c>
      <c r="I128" s="55">
        <f t="shared" si="1"/>
        <v>953.11491762270532</v>
      </c>
      <c r="J128" s="102">
        <v>79.833490122295387</v>
      </c>
      <c r="K128" s="102">
        <v>80</v>
      </c>
      <c r="L128" s="102">
        <v>80</v>
      </c>
      <c r="M128" s="102">
        <v>80</v>
      </c>
      <c r="N128" s="102">
        <v>80</v>
      </c>
      <c r="O128" s="102">
        <v>79.451552210724373</v>
      </c>
      <c r="P128" s="102">
        <v>78.997355025406975</v>
      </c>
      <c r="Q128" s="102">
        <v>78.997743492064629</v>
      </c>
      <c r="R128" s="102">
        <v>79</v>
      </c>
      <c r="S128" s="102">
        <v>78.83241431195097</v>
      </c>
      <c r="T128" s="102">
        <v>79.002362460263001</v>
      </c>
      <c r="U128" s="102">
        <v>79</v>
      </c>
    </row>
    <row r="129" spans="2:21">
      <c r="B129" s="57" t="s">
        <v>269</v>
      </c>
      <c r="C129" s="101" t="s">
        <v>106</v>
      </c>
      <c r="D129" s="101" t="s">
        <v>5</v>
      </c>
      <c r="E129" s="101" t="s">
        <v>132</v>
      </c>
      <c r="F129" s="101" t="s">
        <v>132</v>
      </c>
      <c r="G129" s="101" t="s">
        <v>132</v>
      </c>
      <c r="H129" s="101" t="s">
        <v>273</v>
      </c>
      <c r="I129" s="55">
        <f t="shared" si="1"/>
        <v>553.77376815090633</v>
      </c>
      <c r="J129" s="102">
        <v>46</v>
      </c>
      <c r="K129" s="102">
        <v>46</v>
      </c>
      <c r="L129" s="102">
        <v>46</v>
      </c>
      <c r="M129" s="102">
        <v>46</v>
      </c>
      <c r="N129" s="102">
        <v>46</v>
      </c>
      <c r="O129" s="102">
        <v>46.100376411543287</v>
      </c>
      <c r="P129" s="102">
        <v>46.13408889894481</v>
      </c>
      <c r="Q129" s="102">
        <v>46.001832217600374</v>
      </c>
      <c r="R129" s="102">
        <v>46</v>
      </c>
      <c r="S129" s="102">
        <v>45.999734215046018</v>
      </c>
      <c r="T129" s="102">
        <v>46.470153360807409</v>
      </c>
      <c r="U129" s="102">
        <v>47.067583046964486</v>
      </c>
    </row>
    <row r="130" spans="2:21">
      <c r="B130" s="57" t="s">
        <v>269</v>
      </c>
      <c r="C130" s="101" t="s">
        <v>106</v>
      </c>
      <c r="D130" s="101" t="s">
        <v>5</v>
      </c>
      <c r="E130" s="101" t="s">
        <v>132</v>
      </c>
      <c r="F130" s="101" t="s">
        <v>132</v>
      </c>
      <c r="G130" s="101" t="s">
        <v>132</v>
      </c>
      <c r="H130" s="101" t="s">
        <v>274</v>
      </c>
      <c r="I130" s="55">
        <f t="shared" si="1"/>
        <v>432.00177682459218</v>
      </c>
      <c r="J130" s="102">
        <v>36</v>
      </c>
      <c r="K130" s="102">
        <v>36</v>
      </c>
      <c r="L130" s="102">
        <v>36</v>
      </c>
      <c r="M130" s="102">
        <v>36</v>
      </c>
      <c r="N130" s="102">
        <v>36</v>
      </c>
      <c r="O130" s="102">
        <v>36</v>
      </c>
      <c r="P130" s="102">
        <v>36.001968111609365</v>
      </c>
      <c r="Q130" s="102">
        <v>36.000842052815145</v>
      </c>
      <c r="R130" s="102">
        <v>36</v>
      </c>
      <c r="S130" s="102">
        <v>35.999680466194405</v>
      </c>
      <c r="T130" s="102">
        <v>35.999286193973276</v>
      </c>
      <c r="U130" s="102">
        <v>36</v>
      </c>
    </row>
    <row r="131" spans="2:21">
      <c r="B131" s="57" t="s">
        <v>269</v>
      </c>
      <c r="C131" s="101" t="s">
        <v>106</v>
      </c>
      <c r="D131" s="101" t="s">
        <v>5</v>
      </c>
      <c r="E131" s="101" t="s">
        <v>132</v>
      </c>
      <c r="F131" s="101" t="s">
        <v>132</v>
      </c>
      <c r="G131" s="101" t="s">
        <v>132</v>
      </c>
      <c r="H131" s="101" t="s">
        <v>275</v>
      </c>
      <c r="I131" s="55">
        <f t="shared" si="1"/>
        <v>36.000950710147876</v>
      </c>
      <c r="J131" s="102">
        <v>3</v>
      </c>
      <c r="K131" s="102">
        <v>3</v>
      </c>
      <c r="L131" s="102">
        <v>3</v>
      </c>
      <c r="M131" s="102">
        <v>3</v>
      </c>
      <c r="N131" s="102">
        <v>3</v>
      </c>
      <c r="O131" s="102">
        <v>3</v>
      </c>
      <c r="P131" s="102">
        <v>3</v>
      </c>
      <c r="Q131" s="102">
        <v>3.0009094058160799</v>
      </c>
      <c r="R131" s="102">
        <v>3</v>
      </c>
      <c r="S131" s="102">
        <v>3</v>
      </c>
      <c r="T131" s="102">
        <v>3.0000413043317922</v>
      </c>
      <c r="U131" s="102">
        <v>3</v>
      </c>
    </row>
    <row r="132" spans="2:21">
      <c r="B132" s="57" t="s">
        <v>269</v>
      </c>
      <c r="C132" s="101" t="s">
        <v>107</v>
      </c>
      <c r="D132" s="101" t="s">
        <v>104</v>
      </c>
      <c r="E132" s="101" t="s">
        <v>132</v>
      </c>
      <c r="F132" s="101" t="s">
        <v>132</v>
      </c>
      <c r="G132" s="101" t="s">
        <v>132</v>
      </c>
      <c r="H132" s="101" t="s">
        <v>273</v>
      </c>
      <c r="I132" s="55">
        <f t="shared" si="1"/>
        <v>382.93389518695301</v>
      </c>
      <c r="J132" s="102">
        <v>30.93333333333333</v>
      </c>
      <c r="K132" s="102">
        <v>32</v>
      </c>
      <c r="L132" s="102">
        <v>32</v>
      </c>
      <c r="M132" s="102">
        <v>32</v>
      </c>
      <c r="N132" s="102">
        <v>32</v>
      </c>
      <c r="O132" s="102">
        <v>32</v>
      </c>
      <c r="P132" s="102">
        <v>31.99954824411865</v>
      </c>
      <c r="Q132" s="102">
        <v>32.000988748721454</v>
      </c>
      <c r="R132" s="102">
        <v>32</v>
      </c>
      <c r="S132" s="102">
        <v>32</v>
      </c>
      <c r="T132" s="102">
        <v>32.000024860779632</v>
      </c>
      <c r="U132" s="102">
        <v>32</v>
      </c>
    </row>
    <row r="133" spans="2:21">
      <c r="B133" s="57" t="s">
        <v>269</v>
      </c>
      <c r="C133" s="101" t="s">
        <v>107</v>
      </c>
      <c r="D133" s="101" t="s">
        <v>104</v>
      </c>
      <c r="E133" s="101" t="s">
        <v>132</v>
      </c>
      <c r="F133" s="101" t="s">
        <v>132</v>
      </c>
      <c r="G133" s="101" t="s">
        <v>132</v>
      </c>
      <c r="H133" s="101" t="s">
        <v>274</v>
      </c>
      <c r="I133" s="55">
        <f t="shared" ref="I133:I146" si="2">SUM(J133:U133)</f>
        <v>3558.2369917005844</v>
      </c>
      <c r="J133" s="102">
        <v>293</v>
      </c>
      <c r="K133" s="102">
        <v>293</v>
      </c>
      <c r="L133" s="102">
        <v>293</v>
      </c>
      <c r="M133" s="102">
        <v>293</v>
      </c>
      <c r="N133" s="102">
        <v>293</v>
      </c>
      <c r="O133" s="102">
        <v>293</v>
      </c>
      <c r="P133" s="102">
        <v>296.46334210758943</v>
      </c>
      <c r="Q133" s="102">
        <v>300.25604416921226</v>
      </c>
      <c r="R133" s="102">
        <v>300.51720310765813</v>
      </c>
      <c r="S133" s="102">
        <v>301.00062452561195</v>
      </c>
      <c r="T133" s="102">
        <v>300.99977779051267</v>
      </c>
      <c r="U133" s="102">
        <v>301</v>
      </c>
    </row>
    <row r="134" spans="2:21">
      <c r="B134" s="57" t="s">
        <v>269</v>
      </c>
      <c r="C134" s="101" t="s">
        <v>107</v>
      </c>
      <c r="D134" s="101" t="s">
        <v>104</v>
      </c>
      <c r="E134" s="101" t="s">
        <v>132</v>
      </c>
      <c r="F134" s="101" t="s">
        <v>132</v>
      </c>
      <c r="G134" s="101" t="s">
        <v>132</v>
      </c>
      <c r="H134" s="101" t="s">
        <v>275</v>
      </c>
      <c r="I134" s="55">
        <f t="shared" si="2"/>
        <v>670.30171191440525</v>
      </c>
      <c r="J134" s="102">
        <v>55</v>
      </c>
      <c r="K134" s="102">
        <v>55</v>
      </c>
      <c r="L134" s="102">
        <v>55.533190578158454</v>
      </c>
      <c r="M134" s="102">
        <v>56</v>
      </c>
      <c r="N134" s="102">
        <v>56</v>
      </c>
      <c r="O134" s="102">
        <v>56.5</v>
      </c>
      <c r="P134" s="102">
        <v>56.267404337513803</v>
      </c>
      <c r="Q134" s="102">
        <v>56.000273140283468</v>
      </c>
      <c r="R134" s="102">
        <v>56</v>
      </c>
      <c r="S134" s="102">
        <v>55.999834642149608</v>
      </c>
      <c r="T134" s="102">
        <v>56.001009216299806</v>
      </c>
      <c r="U134" s="102">
        <v>56</v>
      </c>
    </row>
    <row r="135" spans="2:21">
      <c r="B135" s="57" t="s">
        <v>269</v>
      </c>
      <c r="C135" s="101" t="s">
        <v>107</v>
      </c>
      <c r="D135" s="101" t="s">
        <v>104</v>
      </c>
      <c r="E135" s="101" t="s">
        <v>132</v>
      </c>
      <c r="F135" s="101" t="s">
        <v>132</v>
      </c>
      <c r="G135" s="101" t="s">
        <v>132</v>
      </c>
      <c r="H135" s="101" t="s">
        <v>276</v>
      </c>
      <c r="I135" s="55">
        <f t="shared" si="2"/>
        <v>2337.4062264139297</v>
      </c>
      <c r="J135" s="102">
        <v>194</v>
      </c>
      <c r="K135" s="102">
        <v>194</v>
      </c>
      <c r="L135" s="102">
        <v>194</v>
      </c>
      <c r="M135" s="102">
        <v>193.53209109730849</v>
      </c>
      <c r="N135" s="102">
        <v>190.96894409937889</v>
      </c>
      <c r="O135" s="102">
        <v>195.19047619047618</v>
      </c>
      <c r="P135" s="102">
        <v>195.00357789855067</v>
      </c>
      <c r="Q135" s="102">
        <v>195.67899844720495</v>
      </c>
      <c r="R135" s="102">
        <v>196</v>
      </c>
      <c r="S135" s="102">
        <v>195.99944457436857</v>
      </c>
      <c r="T135" s="102">
        <v>195.99901777362024</v>
      </c>
      <c r="U135" s="102">
        <v>197.0336763330215</v>
      </c>
    </row>
    <row r="136" spans="2:21">
      <c r="B136" s="57" t="s">
        <v>269</v>
      </c>
      <c r="C136" s="101" t="s">
        <v>107</v>
      </c>
      <c r="D136" s="101" t="s">
        <v>104</v>
      </c>
      <c r="E136" s="101" t="s">
        <v>132</v>
      </c>
      <c r="F136" s="101" t="s">
        <v>132</v>
      </c>
      <c r="G136" s="101" t="s">
        <v>132</v>
      </c>
      <c r="H136" s="101" t="s">
        <v>277</v>
      </c>
      <c r="I136" s="55">
        <f t="shared" si="2"/>
        <v>2940.6303782198192</v>
      </c>
      <c r="J136" s="102">
        <v>238.18810916179336</v>
      </c>
      <c r="K136" s="102">
        <v>240.33333333333334</v>
      </c>
      <c r="L136" s="102">
        <v>243</v>
      </c>
      <c r="M136" s="102">
        <v>243</v>
      </c>
      <c r="N136" s="102">
        <v>243</v>
      </c>
      <c r="O136" s="102">
        <v>244.1335282651072</v>
      </c>
      <c r="P136" s="102">
        <v>243.26675428075151</v>
      </c>
      <c r="Q136" s="102">
        <v>243.0005595441007</v>
      </c>
      <c r="R136" s="102">
        <v>249.70951913640823</v>
      </c>
      <c r="S136" s="102">
        <v>251.00071655781531</v>
      </c>
      <c r="T136" s="102">
        <v>250.99785794050965</v>
      </c>
      <c r="U136" s="102">
        <v>251</v>
      </c>
    </row>
    <row r="137" spans="2:21">
      <c r="B137" s="57" t="s">
        <v>269</v>
      </c>
      <c r="C137" s="101" t="s">
        <v>107</v>
      </c>
      <c r="D137" s="101" t="s">
        <v>104</v>
      </c>
      <c r="E137" s="101" t="s">
        <v>132</v>
      </c>
      <c r="F137" s="101" t="s">
        <v>132</v>
      </c>
      <c r="G137" s="101" t="s">
        <v>132</v>
      </c>
      <c r="H137" s="101" t="s">
        <v>278</v>
      </c>
      <c r="I137" s="55">
        <f t="shared" si="2"/>
        <v>1226.7485812663319</v>
      </c>
      <c r="J137" s="102">
        <v>100</v>
      </c>
      <c r="K137" s="102">
        <v>100</v>
      </c>
      <c r="L137" s="102">
        <v>100</v>
      </c>
      <c r="M137" s="102">
        <v>100.24181963288109</v>
      </c>
      <c r="N137" s="102">
        <v>101</v>
      </c>
      <c r="O137" s="102">
        <v>101.50039904229848</v>
      </c>
      <c r="P137" s="102">
        <v>102.00151847954291</v>
      </c>
      <c r="Q137" s="102">
        <v>102.00075891873983</v>
      </c>
      <c r="R137" s="102">
        <v>105</v>
      </c>
      <c r="S137" s="102">
        <v>105.00020098516606</v>
      </c>
      <c r="T137" s="102">
        <v>105.00388420770349</v>
      </c>
      <c r="U137" s="102">
        <v>105</v>
      </c>
    </row>
    <row r="138" spans="2:21">
      <c r="B138" s="57" t="s">
        <v>269</v>
      </c>
      <c r="C138" s="101" t="s">
        <v>107</v>
      </c>
      <c r="D138" s="101" t="s">
        <v>104</v>
      </c>
      <c r="E138" s="101" t="s">
        <v>132</v>
      </c>
      <c r="F138" s="101" t="s">
        <v>132</v>
      </c>
      <c r="G138" s="101" t="s">
        <v>132</v>
      </c>
      <c r="H138" s="101" t="s">
        <v>279</v>
      </c>
      <c r="I138" s="55">
        <f t="shared" si="2"/>
        <v>26579.096109647213</v>
      </c>
      <c r="J138" s="102">
        <v>2217</v>
      </c>
      <c r="K138" s="102">
        <v>2217</v>
      </c>
      <c r="L138" s="102">
        <v>2217</v>
      </c>
      <c r="M138" s="102">
        <v>2217</v>
      </c>
      <c r="N138" s="102">
        <v>2214</v>
      </c>
      <c r="O138" s="102">
        <v>2214</v>
      </c>
      <c r="P138" s="102">
        <v>2213.5192391843398</v>
      </c>
      <c r="Q138" s="102">
        <v>2212.9951223781322</v>
      </c>
      <c r="R138" s="102">
        <v>2213</v>
      </c>
      <c r="S138" s="102">
        <v>2213.0015112488759</v>
      </c>
      <c r="T138" s="102">
        <v>2213.2795534645657</v>
      </c>
      <c r="U138" s="102">
        <v>2217.3006833712984</v>
      </c>
    </row>
    <row r="139" spans="2:21">
      <c r="B139" s="57" t="s">
        <v>269</v>
      </c>
      <c r="C139" s="101" t="s">
        <v>107</v>
      </c>
      <c r="D139" s="101" t="s">
        <v>104</v>
      </c>
      <c r="E139" s="101" t="s">
        <v>132</v>
      </c>
      <c r="F139" s="101" t="s">
        <v>132</v>
      </c>
      <c r="G139" s="101" t="s">
        <v>132</v>
      </c>
      <c r="H139" s="101" t="s">
        <v>280</v>
      </c>
      <c r="I139" s="55">
        <f t="shared" si="2"/>
        <v>20543.462638465189</v>
      </c>
      <c r="J139" s="102">
        <v>1709</v>
      </c>
      <c r="K139" s="102">
        <v>1709.7333333333333</v>
      </c>
      <c r="L139" s="102">
        <v>1711</v>
      </c>
      <c r="M139" s="102">
        <v>1711</v>
      </c>
      <c r="N139" s="102">
        <v>1713</v>
      </c>
      <c r="O139" s="102">
        <v>1713</v>
      </c>
      <c r="P139" s="102">
        <v>1712.9986129753916</v>
      </c>
      <c r="Q139" s="102">
        <v>1713.0034601043999</v>
      </c>
      <c r="R139" s="102">
        <v>1713</v>
      </c>
      <c r="S139" s="102">
        <v>1713.000230492848</v>
      </c>
      <c r="T139" s="102">
        <v>1712.7270015592164</v>
      </c>
      <c r="U139" s="102">
        <v>1712</v>
      </c>
    </row>
    <row r="140" spans="2:21">
      <c r="B140" s="57" t="s">
        <v>269</v>
      </c>
      <c r="C140" s="101" t="s">
        <v>107</v>
      </c>
      <c r="D140" s="101" t="s">
        <v>104</v>
      </c>
      <c r="E140" s="101" t="s">
        <v>132</v>
      </c>
      <c r="F140" s="101" t="s">
        <v>132</v>
      </c>
      <c r="G140" s="101" t="s">
        <v>132</v>
      </c>
      <c r="H140" s="101" t="s">
        <v>281</v>
      </c>
      <c r="I140" s="55">
        <f t="shared" si="2"/>
        <v>983.99704050185335</v>
      </c>
      <c r="J140" s="102">
        <v>82</v>
      </c>
      <c r="K140" s="102">
        <v>82</v>
      </c>
      <c r="L140" s="102">
        <v>82</v>
      </c>
      <c r="M140" s="102">
        <v>82</v>
      </c>
      <c r="N140" s="102">
        <v>82</v>
      </c>
      <c r="O140" s="102">
        <v>82</v>
      </c>
      <c r="P140" s="102">
        <v>81.999119835112836</v>
      </c>
      <c r="Q140" s="102">
        <v>81.999270215043282</v>
      </c>
      <c r="R140" s="102">
        <v>81.999999999999986</v>
      </c>
      <c r="S140" s="102">
        <v>81.999426537548388</v>
      </c>
      <c r="T140" s="102">
        <v>81.999223914148843</v>
      </c>
      <c r="U140" s="102">
        <v>82</v>
      </c>
    </row>
    <row r="141" spans="2:21">
      <c r="B141" s="57" t="s">
        <v>269</v>
      </c>
      <c r="C141" s="101" t="s">
        <v>107</v>
      </c>
      <c r="D141" s="101" t="s">
        <v>104</v>
      </c>
      <c r="E141" s="101" t="s">
        <v>132</v>
      </c>
      <c r="F141" s="101" t="s">
        <v>132</v>
      </c>
      <c r="G141" s="101" t="s">
        <v>132</v>
      </c>
      <c r="H141" s="101" t="s">
        <v>282</v>
      </c>
      <c r="I141" s="55">
        <f t="shared" si="2"/>
        <v>18658.617894870746</v>
      </c>
      <c r="J141" s="102">
        <v>1559</v>
      </c>
      <c r="K141" s="102">
        <v>1559</v>
      </c>
      <c r="L141" s="102">
        <v>1559</v>
      </c>
      <c r="M141" s="102">
        <v>1559</v>
      </c>
      <c r="N141" s="102">
        <v>1556</v>
      </c>
      <c r="O141" s="102">
        <v>1555.096837944664</v>
      </c>
      <c r="P141" s="102">
        <v>1554.9988300395257</v>
      </c>
      <c r="Q141" s="102">
        <v>1553.2476521739127</v>
      </c>
      <c r="R141" s="102">
        <v>1552</v>
      </c>
      <c r="S141" s="102">
        <v>1551.9987192118226</v>
      </c>
      <c r="T141" s="102">
        <v>1549.2758555008209</v>
      </c>
      <c r="U141" s="102">
        <v>1550</v>
      </c>
    </row>
    <row r="142" spans="2:21">
      <c r="B142" s="57" t="s">
        <v>269</v>
      </c>
      <c r="C142" s="101" t="s">
        <v>107</v>
      </c>
      <c r="D142" s="101" t="s">
        <v>104</v>
      </c>
      <c r="E142" s="101" t="s">
        <v>132</v>
      </c>
      <c r="F142" s="101" t="s">
        <v>132</v>
      </c>
      <c r="G142" s="101" t="s">
        <v>132</v>
      </c>
      <c r="H142" s="101" t="s">
        <v>283</v>
      </c>
      <c r="I142" s="55">
        <f t="shared" si="2"/>
        <v>2440.0357828284577</v>
      </c>
      <c r="J142" s="102">
        <v>195</v>
      </c>
      <c r="K142" s="102">
        <v>195</v>
      </c>
      <c r="L142" s="102">
        <v>195</v>
      </c>
      <c r="M142" s="102">
        <v>195</v>
      </c>
      <c r="N142" s="102">
        <v>207</v>
      </c>
      <c r="O142" s="102">
        <v>207</v>
      </c>
      <c r="P142" s="102">
        <v>207.00019038124711</v>
      </c>
      <c r="Q142" s="102">
        <v>206.41303730780149</v>
      </c>
      <c r="R142" s="102">
        <v>206</v>
      </c>
      <c r="S142" s="102">
        <v>205.99870162297128</v>
      </c>
      <c r="T142" s="102">
        <v>209.62385351643775</v>
      </c>
      <c r="U142" s="102">
        <v>211</v>
      </c>
    </row>
    <row r="143" spans="2:21">
      <c r="B143" s="57" t="s">
        <v>269</v>
      </c>
      <c r="C143" s="101" t="s">
        <v>107</v>
      </c>
      <c r="D143" s="101" t="s">
        <v>104</v>
      </c>
      <c r="E143" s="101" t="s">
        <v>132</v>
      </c>
      <c r="F143" s="101" t="s">
        <v>132</v>
      </c>
      <c r="G143" s="101" t="s">
        <v>132</v>
      </c>
      <c r="H143" s="101" t="s">
        <v>284</v>
      </c>
      <c r="I143" s="55">
        <f t="shared" si="2"/>
        <v>3095.9975745689503</v>
      </c>
      <c r="J143" s="102">
        <v>258</v>
      </c>
      <c r="K143" s="102">
        <v>258</v>
      </c>
      <c r="L143" s="102">
        <v>258</v>
      </c>
      <c r="M143" s="102">
        <v>258</v>
      </c>
      <c r="N143" s="102">
        <v>258</v>
      </c>
      <c r="O143" s="102">
        <v>258</v>
      </c>
      <c r="P143" s="102">
        <v>257.99910570311198</v>
      </c>
      <c r="Q143" s="102">
        <v>257.99926788130409</v>
      </c>
      <c r="R143" s="102">
        <v>258</v>
      </c>
      <c r="S143" s="102">
        <v>258</v>
      </c>
      <c r="T143" s="102">
        <v>257.99920098453401</v>
      </c>
      <c r="U143" s="102">
        <v>258</v>
      </c>
    </row>
    <row r="144" spans="2:21">
      <c r="B144" s="57" t="s">
        <v>269</v>
      </c>
      <c r="C144" s="101" t="s">
        <v>108</v>
      </c>
      <c r="D144" s="101" t="s">
        <v>3</v>
      </c>
      <c r="E144" s="101" t="s">
        <v>132</v>
      </c>
      <c r="F144" s="101" t="s">
        <v>132</v>
      </c>
      <c r="G144" s="101" t="s">
        <v>132</v>
      </c>
      <c r="H144" s="101" t="s">
        <v>285</v>
      </c>
      <c r="I144" s="55">
        <f t="shared" si="2"/>
        <v>12</v>
      </c>
      <c r="J144" s="102">
        <v>1</v>
      </c>
      <c r="K144" s="102">
        <v>1</v>
      </c>
      <c r="L144" s="102">
        <v>1</v>
      </c>
      <c r="M144" s="102">
        <v>1</v>
      </c>
      <c r="N144" s="102">
        <v>1</v>
      </c>
      <c r="O144" s="102">
        <v>1</v>
      </c>
      <c r="P144" s="102">
        <v>1</v>
      </c>
      <c r="Q144" s="102">
        <v>1</v>
      </c>
      <c r="R144" s="102">
        <v>1</v>
      </c>
      <c r="S144" s="102">
        <v>1</v>
      </c>
      <c r="T144" s="102">
        <v>1</v>
      </c>
      <c r="U144" s="102">
        <v>1</v>
      </c>
    </row>
    <row r="145" spans="2:21">
      <c r="B145" s="57" t="s">
        <v>269</v>
      </c>
      <c r="C145" s="101" t="s">
        <v>108</v>
      </c>
      <c r="D145" s="101" t="s">
        <v>3</v>
      </c>
      <c r="E145" s="101" t="s">
        <v>132</v>
      </c>
      <c r="F145" s="101" t="s">
        <v>132</v>
      </c>
      <c r="G145" s="101" t="s">
        <v>132</v>
      </c>
      <c r="H145" s="101" t="s">
        <v>286</v>
      </c>
      <c r="I145" s="55">
        <f t="shared" si="2"/>
        <v>79</v>
      </c>
      <c r="J145" s="102">
        <v>7</v>
      </c>
      <c r="K145" s="102">
        <v>7</v>
      </c>
      <c r="L145" s="102">
        <v>7</v>
      </c>
      <c r="M145" s="102">
        <v>7</v>
      </c>
      <c r="N145" s="102">
        <v>7</v>
      </c>
      <c r="O145" s="102">
        <v>7</v>
      </c>
      <c r="P145" s="102">
        <v>7</v>
      </c>
      <c r="Q145" s="102">
        <v>6</v>
      </c>
      <c r="R145" s="102">
        <v>6</v>
      </c>
      <c r="S145" s="102">
        <v>6</v>
      </c>
      <c r="T145" s="102">
        <v>6</v>
      </c>
      <c r="U145" s="102">
        <v>6</v>
      </c>
    </row>
    <row r="146" spans="2:21">
      <c r="B146" s="57" t="s">
        <v>269</v>
      </c>
      <c r="C146" s="101" t="s">
        <v>108</v>
      </c>
      <c r="D146" s="101" t="s">
        <v>3</v>
      </c>
      <c r="E146" s="101" t="s">
        <v>132</v>
      </c>
      <c r="F146" s="101" t="s">
        <v>136</v>
      </c>
      <c r="G146" s="101" t="s">
        <v>132</v>
      </c>
      <c r="H146" s="101" t="s">
        <v>271</v>
      </c>
      <c r="I146" s="55">
        <f t="shared" si="2"/>
        <v>138.90042674253201</v>
      </c>
      <c r="J146" s="102">
        <v>12</v>
      </c>
      <c r="K146" s="102">
        <v>12</v>
      </c>
      <c r="L146" s="102">
        <v>12</v>
      </c>
      <c r="M146" s="102">
        <v>12</v>
      </c>
      <c r="N146" s="102">
        <v>12</v>
      </c>
      <c r="O146" s="102">
        <v>12</v>
      </c>
      <c r="P146" s="102">
        <v>11.900426742532005</v>
      </c>
      <c r="Q146" s="102">
        <v>11</v>
      </c>
      <c r="R146" s="102">
        <v>11</v>
      </c>
      <c r="S146" s="102">
        <v>11</v>
      </c>
      <c r="T146" s="102">
        <v>11</v>
      </c>
      <c r="U146" s="102">
        <v>11</v>
      </c>
    </row>
    <row r="147" spans="2:21">
      <c r="B147" s="103" t="s">
        <v>269</v>
      </c>
      <c r="C147" s="104" t="s">
        <v>108</v>
      </c>
      <c r="D147" s="104" t="s">
        <v>3</v>
      </c>
      <c r="E147" s="104" t="s">
        <v>132</v>
      </c>
      <c r="F147" s="104" t="s">
        <v>137</v>
      </c>
      <c r="G147" s="104" t="s">
        <v>132</v>
      </c>
      <c r="H147" s="104" t="s">
        <v>271</v>
      </c>
      <c r="I147" s="105">
        <f t="shared" ref="I147:I187" si="3">SUM(J147:U147)</f>
        <v>168</v>
      </c>
      <c r="J147" s="106">
        <v>14</v>
      </c>
      <c r="K147" s="106">
        <v>14</v>
      </c>
      <c r="L147" s="106">
        <v>14</v>
      </c>
      <c r="M147" s="106">
        <v>14</v>
      </c>
      <c r="N147" s="106">
        <v>14</v>
      </c>
      <c r="O147" s="106">
        <v>14</v>
      </c>
      <c r="P147" s="106">
        <v>14</v>
      </c>
      <c r="Q147" s="106">
        <v>14</v>
      </c>
      <c r="R147" s="106">
        <v>14</v>
      </c>
      <c r="S147" s="106">
        <v>14</v>
      </c>
      <c r="T147" s="106">
        <v>14</v>
      </c>
      <c r="U147" s="106">
        <v>14</v>
      </c>
    </row>
    <row r="148" spans="2:21">
      <c r="B148" s="98"/>
      <c r="C148" s="99"/>
      <c r="D148" s="99"/>
      <c r="E148" s="99"/>
      <c r="F148" s="99"/>
      <c r="G148" s="99"/>
      <c r="H148" s="99"/>
      <c r="I148" s="9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57" t="s">
        <v>292</v>
      </c>
      <c r="C149" s="101" t="s">
        <v>356</v>
      </c>
      <c r="D149" s="101" t="s">
        <v>2</v>
      </c>
      <c r="E149" s="101" t="s">
        <v>132</v>
      </c>
      <c r="F149" s="101" t="s">
        <v>132</v>
      </c>
      <c r="G149" s="101" t="s">
        <v>132</v>
      </c>
      <c r="H149" s="56" t="s">
        <v>134</v>
      </c>
      <c r="I149" s="55">
        <f t="shared" si="3"/>
        <v>720685046.35999298</v>
      </c>
      <c r="J149" s="102">
        <v>61286809.289050356</v>
      </c>
      <c r="K149" s="102">
        <v>61387093.121732704</v>
      </c>
      <c r="L149" s="102">
        <v>58315334.763820373</v>
      </c>
      <c r="M149" s="102">
        <v>56417442.121799119</v>
      </c>
      <c r="N149" s="102">
        <v>59559959.154200256</v>
      </c>
      <c r="O149" s="102">
        <v>62301561.448207028</v>
      </c>
      <c r="P149" s="102">
        <v>63461428.982384272</v>
      </c>
      <c r="Q149" s="102">
        <v>62451157.372028664</v>
      </c>
      <c r="R149" s="102">
        <v>61302343.107085414</v>
      </c>
      <c r="S149" s="102">
        <v>59500841.694377862</v>
      </c>
      <c r="T149" s="102">
        <v>58267123.927233681</v>
      </c>
      <c r="U149" s="102">
        <v>56433951.378073171</v>
      </c>
    </row>
    <row r="150" spans="2:21">
      <c r="B150" s="57" t="s">
        <v>292</v>
      </c>
      <c r="C150" s="101" t="s">
        <v>356</v>
      </c>
      <c r="D150" s="101" t="s">
        <v>2</v>
      </c>
      <c r="E150" s="101" t="s">
        <v>132</v>
      </c>
      <c r="F150" s="101" t="s">
        <v>132</v>
      </c>
      <c r="G150" s="101" t="s">
        <v>132</v>
      </c>
      <c r="H150" s="56" t="s">
        <v>135</v>
      </c>
      <c r="I150" s="55">
        <f t="shared" si="3"/>
        <v>916418564.89516139</v>
      </c>
      <c r="J150" s="102">
        <v>85940142.427093118</v>
      </c>
      <c r="K150" s="102">
        <v>80717428.538112745</v>
      </c>
      <c r="L150" s="102">
        <v>46287964.206348084</v>
      </c>
      <c r="M150" s="102">
        <v>33892787.591927342</v>
      </c>
      <c r="N150" s="102">
        <v>60321878.929026678</v>
      </c>
      <c r="O150" s="102">
        <v>106632434.83124948</v>
      </c>
      <c r="P150" s="102">
        <v>162289834.52360195</v>
      </c>
      <c r="Q150" s="102">
        <v>120489134.65275899</v>
      </c>
      <c r="R150" s="102">
        <v>83675244.595027789</v>
      </c>
      <c r="S150" s="102">
        <v>56365760.197264336</v>
      </c>
      <c r="T150" s="102">
        <v>45825335.473230891</v>
      </c>
      <c r="U150" s="102">
        <v>33980618.929520011</v>
      </c>
    </row>
    <row r="151" spans="2:21">
      <c r="B151" s="57" t="s">
        <v>292</v>
      </c>
      <c r="C151" s="101" t="s">
        <v>165</v>
      </c>
      <c r="D151" s="101" t="s">
        <v>2</v>
      </c>
      <c r="E151" s="101" t="s">
        <v>132</v>
      </c>
      <c r="F151" s="101" t="s">
        <v>132</v>
      </c>
      <c r="G151" s="101" t="s">
        <v>132</v>
      </c>
      <c r="H151" s="101" t="s">
        <v>134</v>
      </c>
      <c r="I151" s="55">
        <f t="shared" si="3"/>
        <v>13566732.250124412</v>
      </c>
      <c r="J151" s="102">
        <v>1225169.9524731559</v>
      </c>
      <c r="K151" s="102">
        <v>1211890.424221087</v>
      </c>
      <c r="L151" s="102">
        <v>1094737.3701813056</v>
      </c>
      <c r="M151" s="102">
        <v>980881.71096637845</v>
      </c>
      <c r="N151" s="102">
        <v>997309.62858651567</v>
      </c>
      <c r="O151" s="102">
        <v>1172583.1719767647</v>
      </c>
      <c r="P151" s="102">
        <v>1414354.4189865505</v>
      </c>
      <c r="Q151" s="102">
        <v>1293451.5874821479</v>
      </c>
      <c r="R151" s="102">
        <v>1147041.5148013157</v>
      </c>
      <c r="S151" s="102">
        <v>1017514.8013156732</v>
      </c>
      <c r="T151" s="102">
        <v>999767.18380711973</v>
      </c>
      <c r="U151" s="102">
        <v>1012030.4853263962</v>
      </c>
    </row>
    <row r="152" spans="2:21">
      <c r="B152" s="57" t="s">
        <v>292</v>
      </c>
      <c r="C152" s="101" t="s">
        <v>165</v>
      </c>
      <c r="D152" s="101" t="s">
        <v>2</v>
      </c>
      <c r="E152" s="101" t="s">
        <v>132</v>
      </c>
      <c r="F152" s="101" t="s">
        <v>132</v>
      </c>
      <c r="G152" s="101" t="s">
        <v>132</v>
      </c>
      <c r="H152" s="101" t="s">
        <v>135</v>
      </c>
      <c r="I152" s="55">
        <f t="shared" si="3"/>
        <v>7107440.1776486794</v>
      </c>
      <c r="J152" s="102">
        <v>721533.11216026545</v>
      </c>
      <c r="K152" s="102">
        <v>720161.66900599725</v>
      </c>
      <c r="L152" s="102">
        <v>535527.88056654343</v>
      </c>
      <c r="M152" s="102">
        <v>396203.13895623334</v>
      </c>
      <c r="N152" s="102">
        <v>414101.69707796362</v>
      </c>
      <c r="O152" s="102">
        <v>666403.98111522268</v>
      </c>
      <c r="P152" s="102">
        <v>1029284.9326056727</v>
      </c>
      <c r="Q152" s="102">
        <v>816093.40368263319</v>
      </c>
      <c r="R152" s="102">
        <v>577952.74469186959</v>
      </c>
      <c r="S152" s="102">
        <v>413350.9839461419</v>
      </c>
      <c r="T152" s="102">
        <v>405403.43420476827</v>
      </c>
      <c r="U152" s="102">
        <v>411423.19963536918</v>
      </c>
    </row>
    <row r="153" spans="2:21">
      <c r="B153" s="57" t="s">
        <v>292</v>
      </c>
      <c r="C153" s="101" t="s">
        <v>165</v>
      </c>
      <c r="D153" s="101" t="s">
        <v>2</v>
      </c>
      <c r="E153" s="101" t="s">
        <v>132</v>
      </c>
      <c r="F153" s="101" t="s">
        <v>132</v>
      </c>
      <c r="G153" s="101" t="s">
        <v>132</v>
      </c>
      <c r="H153" s="101" t="s">
        <v>218</v>
      </c>
      <c r="I153" s="55">
        <f t="shared" si="3"/>
        <v>930206.40963127534</v>
      </c>
      <c r="J153" s="102">
        <v>104308.77528704208</v>
      </c>
      <c r="K153" s="102">
        <v>105025.15035538544</v>
      </c>
      <c r="L153" s="102">
        <v>75749.863313285954</v>
      </c>
      <c r="M153" s="102">
        <v>53117.140513942039</v>
      </c>
      <c r="N153" s="102">
        <v>48619.874248223066</v>
      </c>
      <c r="O153" s="102">
        <v>79720.065609622747</v>
      </c>
      <c r="P153" s="102">
        <v>163879.98906506287</v>
      </c>
      <c r="Q153" s="102">
        <v>123726.67695413042</v>
      </c>
      <c r="R153" s="102">
        <v>63235.040955157572</v>
      </c>
      <c r="S153" s="102">
        <v>38770.789948632519</v>
      </c>
      <c r="T153" s="102">
        <v>38559.039746629562</v>
      </c>
      <c r="U153" s="102">
        <v>35494.003634161112</v>
      </c>
    </row>
    <row r="154" spans="2:21">
      <c r="B154" s="57" t="s">
        <v>292</v>
      </c>
      <c r="C154" s="101" t="s">
        <v>165</v>
      </c>
      <c r="D154" s="101" t="s">
        <v>3</v>
      </c>
      <c r="E154" s="101" t="s">
        <v>132</v>
      </c>
      <c r="F154" s="101" t="s">
        <v>132</v>
      </c>
      <c r="G154" s="101" t="s">
        <v>132</v>
      </c>
      <c r="H154" s="101" t="s">
        <v>134</v>
      </c>
      <c r="I154" s="55">
        <f t="shared" si="3"/>
        <v>124967365.13654114</v>
      </c>
      <c r="J154" s="102">
        <v>10563023.939447267</v>
      </c>
      <c r="K154" s="102">
        <v>10608230.681218095</v>
      </c>
      <c r="L154" s="102">
        <v>10139222.672064785</v>
      </c>
      <c r="M154" s="102">
        <v>9775471.4838936813</v>
      </c>
      <c r="N154" s="102">
        <v>10154307.340256989</v>
      </c>
      <c r="O154" s="102">
        <v>10828920.348530179</v>
      </c>
      <c r="P154" s="102">
        <v>11293693.426781008</v>
      </c>
      <c r="Q154" s="102">
        <v>10962168.356939811</v>
      </c>
      <c r="R154" s="102">
        <v>10613206.136174142</v>
      </c>
      <c r="S154" s="102">
        <v>10234340.024877066</v>
      </c>
      <c r="T154" s="102">
        <v>10017866.173930328</v>
      </c>
      <c r="U154" s="102">
        <v>9776914.5524277836</v>
      </c>
    </row>
    <row r="155" spans="2:21">
      <c r="B155" s="57" t="s">
        <v>292</v>
      </c>
      <c r="C155" s="101" t="s">
        <v>165</v>
      </c>
      <c r="D155" s="101" t="s">
        <v>3</v>
      </c>
      <c r="E155" s="101" t="s">
        <v>132</v>
      </c>
      <c r="F155" s="101" t="s">
        <v>132</v>
      </c>
      <c r="G155" s="101" t="s">
        <v>132</v>
      </c>
      <c r="H155" s="101" t="s">
        <v>135</v>
      </c>
      <c r="I155" s="55">
        <f t="shared" si="3"/>
        <v>273578624.4422645</v>
      </c>
      <c r="J155" s="102">
        <v>26291703.075156324</v>
      </c>
      <c r="K155" s="102">
        <v>26781846.752583895</v>
      </c>
      <c r="L155" s="102">
        <v>22878136.149036635</v>
      </c>
      <c r="M155" s="102">
        <v>19989234.018119175</v>
      </c>
      <c r="N155" s="102">
        <v>20473396.835523792</v>
      </c>
      <c r="O155" s="102">
        <v>24114729.105525091</v>
      </c>
      <c r="P155" s="102">
        <v>27408871.901879344</v>
      </c>
      <c r="Q155" s="102">
        <v>24705426.845474713</v>
      </c>
      <c r="R155" s="102">
        <v>22100276.022786152</v>
      </c>
      <c r="S155" s="102">
        <v>20003115.484205071</v>
      </c>
      <c r="T155" s="102">
        <v>19344858.216667831</v>
      </c>
      <c r="U155" s="102">
        <v>19487030.035306502</v>
      </c>
    </row>
    <row r="156" spans="2:21">
      <c r="B156" s="57" t="s">
        <v>292</v>
      </c>
      <c r="C156" s="101" t="s">
        <v>165</v>
      </c>
      <c r="D156" s="101" t="s">
        <v>3</v>
      </c>
      <c r="E156" s="101" t="s">
        <v>132</v>
      </c>
      <c r="F156" s="101" t="s">
        <v>132</v>
      </c>
      <c r="G156" s="101" t="s">
        <v>132</v>
      </c>
      <c r="H156" s="101" t="s">
        <v>218</v>
      </c>
      <c r="I156" s="55">
        <f t="shared" si="3"/>
        <v>109715019.69276887</v>
      </c>
      <c r="J156" s="102">
        <v>13318021.186440673</v>
      </c>
      <c r="K156" s="102">
        <v>14095974.986331327</v>
      </c>
      <c r="L156" s="102">
        <v>10260102.651722256</v>
      </c>
      <c r="M156" s="102">
        <v>8413040.8693275023</v>
      </c>
      <c r="N156" s="102">
        <v>7635915.5276107145</v>
      </c>
      <c r="O156" s="102">
        <v>9603262.985237835</v>
      </c>
      <c r="P156" s="102">
        <v>10907862.963248031</v>
      </c>
      <c r="Q156" s="102">
        <v>8541454.8928719983</v>
      </c>
      <c r="R156" s="102">
        <v>7157181.5910037514</v>
      </c>
      <c r="S156" s="102">
        <v>6299847.0081910305</v>
      </c>
      <c r="T156" s="102">
        <v>6227757.211280413</v>
      </c>
      <c r="U156" s="102">
        <v>7254597.8195033306</v>
      </c>
    </row>
    <row r="157" spans="2:21">
      <c r="B157" s="57" t="s">
        <v>292</v>
      </c>
      <c r="C157" s="101" t="s">
        <v>165</v>
      </c>
      <c r="D157" s="101" t="s">
        <v>5</v>
      </c>
      <c r="E157" s="101" t="s">
        <v>132</v>
      </c>
      <c r="F157" s="101" t="s">
        <v>132</v>
      </c>
      <c r="G157" s="101" t="s">
        <v>132</v>
      </c>
      <c r="H157" s="101" t="s">
        <v>134</v>
      </c>
      <c r="I157" s="55">
        <f t="shared" si="3"/>
        <v>2936892.8839031216</v>
      </c>
      <c r="J157" s="102">
        <v>252888.57595493749</v>
      </c>
      <c r="K157" s="102">
        <v>251012.23376166172</v>
      </c>
      <c r="L157" s="102">
        <v>244532.12462594616</v>
      </c>
      <c r="M157" s="102">
        <v>235201.28498503787</v>
      </c>
      <c r="N157" s="102">
        <v>240304.78788945609</v>
      </c>
      <c r="O157" s="102">
        <v>252332.95194508013</v>
      </c>
      <c r="P157" s="102">
        <v>256061.40364699674</v>
      </c>
      <c r="Q157" s="102">
        <v>251647.03726368514</v>
      </c>
      <c r="R157" s="102">
        <v>243442.17263756771</v>
      </c>
      <c r="S157" s="102">
        <v>237335.05200462262</v>
      </c>
      <c r="T157" s="102">
        <v>236901.7009408325</v>
      </c>
      <c r="U157" s="102">
        <v>235233.55824729701</v>
      </c>
    </row>
    <row r="158" spans="2:21">
      <c r="B158" s="57" t="s">
        <v>292</v>
      </c>
      <c r="C158" s="101" t="s">
        <v>165</v>
      </c>
      <c r="D158" s="101" t="s">
        <v>5</v>
      </c>
      <c r="E158" s="101" t="s">
        <v>132</v>
      </c>
      <c r="F158" s="101" t="s">
        <v>132</v>
      </c>
      <c r="G158" s="101" t="s">
        <v>132</v>
      </c>
      <c r="H158" s="101" t="s">
        <v>135</v>
      </c>
      <c r="I158" s="55">
        <f t="shared" si="3"/>
        <v>8697585.3458522987</v>
      </c>
      <c r="J158" s="102">
        <v>752125.68584917695</v>
      </c>
      <c r="K158" s="102">
        <v>760075.92190889374</v>
      </c>
      <c r="L158" s="102">
        <v>692491.76980987634</v>
      </c>
      <c r="M158" s="102">
        <v>643649.22802092636</v>
      </c>
      <c r="N158" s="102">
        <v>684944.74926630082</v>
      </c>
      <c r="O158" s="102">
        <v>794939.00727319124</v>
      </c>
      <c r="P158" s="102">
        <v>885341.76161930081</v>
      </c>
      <c r="Q158" s="102">
        <v>813995.35416953149</v>
      </c>
      <c r="R158" s="102">
        <v>745667.27084412193</v>
      </c>
      <c r="S158" s="102">
        <v>675856.42154324171</v>
      </c>
      <c r="T158" s="102">
        <v>642916.47545657924</v>
      </c>
      <c r="U158" s="102">
        <v>605581.70009115746</v>
      </c>
    </row>
    <row r="159" spans="2:21">
      <c r="B159" s="57" t="s">
        <v>292</v>
      </c>
      <c r="C159" s="101" t="s">
        <v>165</v>
      </c>
      <c r="D159" s="101" t="s">
        <v>5</v>
      </c>
      <c r="E159" s="101" t="s">
        <v>132</v>
      </c>
      <c r="F159" s="101" t="s">
        <v>132</v>
      </c>
      <c r="G159" s="101" t="s">
        <v>132</v>
      </c>
      <c r="H159" s="101" t="s">
        <v>218</v>
      </c>
      <c r="I159" s="55">
        <f t="shared" si="3"/>
        <v>3467787.0508055836</v>
      </c>
      <c r="J159" s="102">
        <v>297350.05467468564</v>
      </c>
      <c r="K159" s="102">
        <v>326696.00874794973</v>
      </c>
      <c r="L159" s="102">
        <v>305237.01476216514</v>
      </c>
      <c r="M159" s="102">
        <v>276133.8162930563</v>
      </c>
      <c r="N159" s="102">
        <v>260851.14816839801</v>
      </c>
      <c r="O159" s="102">
        <v>377989.20174958993</v>
      </c>
      <c r="P159" s="102">
        <v>438098.00367184961</v>
      </c>
      <c r="Q159" s="102">
        <v>317082.05197366659</v>
      </c>
      <c r="R159" s="102">
        <v>236600.02776620854</v>
      </c>
      <c r="S159" s="102">
        <v>216683.18756073859</v>
      </c>
      <c r="T159" s="102">
        <v>195566.35372921964</v>
      </c>
      <c r="U159" s="102">
        <v>219500.18170805572</v>
      </c>
    </row>
    <row r="160" spans="2:21">
      <c r="B160" s="57" t="s">
        <v>292</v>
      </c>
      <c r="C160" s="101" t="s">
        <v>215</v>
      </c>
      <c r="D160" s="101" t="s">
        <v>2</v>
      </c>
      <c r="E160" s="101" t="s">
        <v>113</v>
      </c>
      <c r="F160" s="101" t="s">
        <v>132</v>
      </c>
      <c r="G160" s="101" t="s">
        <v>132</v>
      </c>
      <c r="H160" s="101" t="s">
        <v>134</v>
      </c>
      <c r="I160" s="55">
        <f t="shared" si="3"/>
        <v>1479518.9669764682</v>
      </c>
      <c r="J160" s="102">
        <v>107839.97997663941</v>
      </c>
      <c r="K160" s="102">
        <v>110079.92658101118</v>
      </c>
      <c r="L160" s="102">
        <v>96480.060070081759</v>
      </c>
      <c r="M160" s="102">
        <v>87839.979976639414</v>
      </c>
      <c r="N160" s="102">
        <v>91440.013348907058</v>
      </c>
      <c r="O160" s="102">
        <v>112160.02002336059</v>
      </c>
      <c r="P160" s="102">
        <v>160000</v>
      </c>
      <c r="Q160" s="102">
        <v>159998.97441116284</v>
      </c>
      <c r="R160" s="102">
        <v>166320.07479177293</v>
      </c>
      <c r="S160" s="102">
        <v>134799.93200747919</v>
      </c>
      <c r="T160" s="102">
        <v>129600.09230707766</v>
      </c>
      <c r="U160" s="102">
        <v>122959.91348233599</v>
      </c>
    </row>
    <row r="161" spans="2:21">
      <c r="B161" s="57" t="s">
        <v>292</v>
      </c>
      <c r="C161" s="101" t="s">
        <v>215</v>
      </c>
      <c r="D161" s="101" t="s">
        <v>2</v>
      </c>
      <c r="E161" s="101" t="s">
        <v>113</v>
      </c>
      <c r="F161" s="101" t="s">
        <v>132</v>
      </c>
      <c r="G161" s="101" t="s">
        <v>132</v>
      </c>
      <c r="H161" s="101" t="s">
        <v>135</v>
      </c>
      <c r="I161" s="55">
        <f t="shared" si="3"/>
        <v>811580.59804120462</v>
      </c>
      <c r="J161" s="102">
        <v>43059.916226552537</v>
      </c>
      <c r="K161" s="102">
        <v>35199.963576761977</v>
      </c>
      <c r="L161" s="102">
        <v>36199.963576761977</v>
      </c>
      <c r="M161" s="102">
        <v>30199.963576761973</v>
      </c>
      <c r="N161" s="102">
        <v>60800.036423238031</v>
      </c>
      <c r="O161" s="102">
        <v>101979.96721908577</v>
      </c>
      <c r="P161" s="102">
        <v>150899.83609542888</v>
      </c>
      <c r="Q161" s="102">
        <v>94440.96360684956</v>
      </c>
      <c r="R161" s="102">
        <v>81199.962832187332</v>
      </c>
      <c r="S161" s="102">
        <v>69800.037167812683</v>
      </c>
      <c r="T161" s="102">
        <v>63799.987739763965</v>
      </c>
      <c r="U161" s="102">
        <v>44000</v>
      </c>
    </row>
    <row r="162" spans="2:21">
      <c r="B162" s="57" t="s">
        <v>292</v>
      </c>
      <c r="C162" s="101" t="s">
        <v>215</v>
      </c>
      <c r="D162" s="101" t="s">
        <v>3</v>
      </c>
      <c r="E162" s="101" t="s">
        <v>113</v>
      </c>
      <c r="F162" s="101" t="s">
        <v>132</v>
      </c>
      <c r="G162" s="101" t="s">
        <v>132</v>
      </c>
      <c r="H162" s="101" t="s">
        <v>134</v>
      </c>
      <c r="I162" s="55">
        <f t="shared" si="3"/>
        <v>366850889.9658466</v>
      </c>
      <c r="J162" s="102">
        <v>30180930.585683282</v>
      </c>
      <c r="K162" s="102">
        <v>30728474.386784591</v>
      </c>
      <c r="L162" s="102">
        <v>31804770.565659922</v>
      </c>
      <c r="M162" s="102">
        <v>31748248.289671302</v>
      </c>
      <c r="N162" s="102">
        <v>30800496.746203922</v>
      </c>
      <c r="O162" s="102">
        <v>31340772.567995992</v>
      </c>
      <c r="P162" s="102">
        <v>31637669.381914467</v>
      </c>
      <c r="Q162" s="102">
        <v>30896705.493510351</v>
      </c>
      <c r="R162" s="102">
        <v>30191217.979692362</v>
      </c>
      <c r="S162" s="102">
        <v>29281518.739001863</v>
      </c>
      <c r="T162" s="102">
        <v>29059850.814688381</v>
      </c>
      <c r="U162" s="102">
        <v>29180234.415040199</v>
      </c>
    </row>
    <row r="163" spans="2:21">
      <c r="B163" s="57" t="s">
        <v>292</v>
      </c>
      <c r="C163" s="101" t="s">
        <v>215</v>
      </c>
      <c r="D163" s="101" t="s">
        <v>3</v>
      </c>
      <c r="E163" s="101" t="s">
        <v>113</v>
      </c>
      <c r="F163" s="101" t="s">
        <v>132</v>
      </c>
      <c r="G163" s="101" t="s">
        <v>132</v>
      </c>
      <c r="H163" s="101" t="s">
        <v>135</v>
      </c>
      <c r="I163" s="55">
        <f t="shared" si="3"/>
        <v>459673216.13885874</v>
      </c>
      <c r="J163" s="102">
        <v>42401694.95538152</v>
      </c>
      <c r="K163" s="102">
        <v>42812765.25223095</v>
      </c>
      <c r="L163" s="102">
        <v>43345509.925332375</v>
      </c>
      <c r="M163" s="102">
        <v>44889020.76124569</v>
      </c>
      <c r="N163" s="102">
        <v>42509251.68457476</v>
      </c>
      <c r="O163" s="102">
        <v>43237704.061191022</v>
      </c>
      <c r="P163" s="102">
        <v>40528359.636696324</v>
      </c>
      <c r="Q163" s="102">
        <v>35206610.12213362</v>
      </c>
      <c r="R163" s="102">
        <v>32682223.167859327</v>
      </c>
      <c r="S163" s="102">
        <v>30306793.917341132</v>
      </c>
      <c r="T163" s="102">
        <v>29506019.501333196</v>
      </c>
      <c r="U163" s="102">
        <v>32247263.153538905</v>
      </c>
    </row>
    <row r="164" spans="2:21">
      <c r="B164" s="57" t="s">
        <v>292</v>
      </c>
      <c r="C164" s="101" t="s">
        <v>215</v>
      </c>
      <c r="D164" s="101" t="s">
        <v>3</v>
      </c>
      <c r="E164" s="101" t="s">
        <v>114</v>
      </c>
      <c r="F164" s="101" t="s">
        <v>132</v>
      </c>
      <c r="G164" s="101" t="s">
        <v>132</v>
      </c>
      <c r="H164" s="101" t="s">
        <v>134</v>
      </c>
      <c r="I164" s="55">
        <f t="shared" si="3"/>
        <v>3617831.4520378858</v>
      </c>
      <c r="J164" s="102">
        <v>281440.01334890706</v>
      </c>
      <c r="K164" s="102">
        <v>282000</v>
      </c>
      <c r="L164" s="102">
        <v>296159.85316202237</v>
      </c>
      <c r="M164" s="102">
        <v>315559.98665109294</v>
      </c>
      <c r="N164" s="102">
        <v>326199.89988319704</v>
      </c>
      <c r="O164" s="102">
        <v>309079.92658101115</v>
      </c>
      <c r="P164" s="102">
        <v>308480.06307659234</v>
      </c>
      <c r="Q164" s="102">
        <v>308316.05046388332</v>
      </c>
      <c r="R164" s="102">
        <v>299640.1495835458</v>
      </c>
      <c r="S164" s="102">
        <v>282879.99320074788</v>
      </c>
      <c r="T164" s="102">
        <v>330235.5737653285</v>
      </c>
      <c r="U164" s="102">
        <v>277839.94232155732</v>
      </c>
    </row>
    <row r="165" spans="2:21">
      <c r="B165" s="57" t="s">
        <v>292</v>
      </c>
      <c r="C165" s="101" t="s">
        <v>215</v>
      </c>
      <c r="D165" s="101" t="s">
        <v>3</v>
      </c>
      <c r="E165" s="101" t="s">
        <v>114</v>
      </c>
      <c r="F165" s="101" t="s">
        <v>132</v>
      </c>
      <c r="G165" s="101" t="s">
        <v>132</v>
      </c>
      <c r="H165" s="101" t="s">
        <v>135</v>
      </c>
      <c r="I165" s="55">
        <f t="shared" si="3"/>
        <v>6665225.9040677128</v>
      </c>
      <c r="J165" s="102">
        <v>628419.95993443811</v>
      </c>
      <c r="K165" s="102">
        <v>729300.1274813331</v>
      </c>
      <c r="L165" s="102">
        <v>676079.94900746667</v>
      </c>
      <c r="M165" s="102">
        <v>562560.18940083764</v>
      </c>
      <c r="N165" s="102">
        <v>589560.18940083776</v>
      </c>
      <c r="O165" s="102">
        <v>597519.94172281912</v>
      </c>
      <c r="P165" s="102">
        <v>599599.8907302859</v>
      </c>
      <c r="Q165" s="102">
        <v>518603.6831197245</v>
      </c>
      <c r="R165" s="102">
        <v>444459.95168184349</v>
      </c>
      <c r="S165" s="102">
        <v>422559.9330979372</v>
      </c>
      <c r="T165" s="102">
        <v>487082.06361843419</v>
      </c>
      <c r="U165" s="102">
        <v>409480.02487175498</v>
      </c>
    </row>
    <row r="166" spans="2:21">
      <c r="B166" s="57" t="s">
        <v>292</v>
      </c>
      <c r="C166" s="101" t="s">
        <v>215</v>
      </c>
      <c r="D166" s="101" t="s">
        <v>5</v>
      </c>
      <c r="E166" s="101" t="s">
        <v>113</v>
      </c>
      <c r="F166" s="101" t="s">
        <v>132</v>
      </c>
      <c r="G166" s="101" t="s">
        <v>132</v>
      </c>
      <c r="H166" s="101" t="s">
        <v>134</v>
      </c>
      <c r="I166" s="55">
        <f t="shared" si="3"/>
        <v>34551148.671501786</v>
      </c>
      <c r="J166" s="102">
        <v>2936839.479392624</v>
      </c>
      <c r="K166" s="102">
        <v>2966379.6095444681</v>
      </c>
      <c r="L166" s="102">
        <v>3054000.1668613381</v>
      </c>
      <c r="M166" s="102">
        <v>3262440.1802102453</v>
      </c>
      <c r="N166" s="102">
        <v>2912459.8698481573</v>
      </c>
      <c r="O166" s="102">
        <v>2878620.0567328553</v>
      </c>
      <c r="P166" s="102">
        <v>2757495.5424084053</v>
      </c>
      <c r="Q166" s="102">
        <v>2776444.5634757914</v>
      </c>
      <c r="R166" s="102">
        <v>2760980.1121876589</v>
      </c>
      <c r="S166" s="102">
        <v>2738139.7246302902</v>
      </c>
      <c r="T166" s="102">
        <v>2772709.1354961772</v>
      </c>
      <c r="U166" s="102">
        <v>2734640.2307137721</v>
      </c>
    </row>
    <row r="167" spans="2:21">
      <c r="B167" s="57" t="s">
        <v>292</v>
      </c>
      <c r="C167" s="101" t="s">
        <v>215</v>
      </c>
      <c r="D167" s="101" t="s">
        <v>5</v>
      </c>
      <c r="E167" s="101" t="s">
        <v>113</v>
      </c>
      <c r="F167" s="101" t="s">
        <v>132</v>
      </c>
      <c r="G167" s="101" t="s">
        <v>132</v>
      </c>
      <c r="H167" s="101" t="s">
        <v>135</v>
      </c>
      <c r="I167" s="55">
        <f t="shared" si="3"/>
        <v>52700866.28859859</v>
      </c>
      <c r="J167" s="102">
        <v>4514520.1238390096</v>
      </c>
      <c r="K167" s="102">
        <v>4705560.5536332168</v>
      </c>
      <c r="L167" s="102">
        <v>4810940.4480058271</v>
      </c>
      <c r="M167" s="102">
        <v>5712160.8085958855</v>
      </c>
      <c r="N167" s="102">
        <v>4679039.7013294464</v>
      </c>
      <c r="O167" s="102">
        <v>4530439.6284829723</v>
      </c>
      <c r="P167" s="102">
        <v>3817144.3666615882</v>
      </c>
      <c r="Q167" s="102">
        <v>3952731.3813609476</v>
      </c>
      <c r="R167" s="102">
        <v>4247080.0966363121</v>
      </c>
      <c r="S167" s="102">
        <v>4082599.7026574984</v>
      </c>
      <c r="T167" s="102">
        <v>3878988.9768518135</v>
      </c>
      <c r="U167" s="102">
        <v>3769660.5005440703</v>
      </c>
    </row>
    <row r="168" spans="2:21">
      <c r="B168" s="57" t="s">
        <v>292</v>
      </c>
      <c r="C168" s="101" t="s">
        <v>215</v>
      </c>
      <c r="D168" s="101" t="s">
        <v>5</v>
      </c>
      <c r="E168" s="101" t="s">
        <v>114</v>
      </c>
      <c r="F168" s="101" t="s">
        <v>132</v>
      </c>
      <c r="G168" s="101" t="s">
        <v>132</v>
      </c>
      <c r="H168" s="101" t="s">
        <v>134</v>
      </c>
      <c r="I168" s="55">
        <f t="shared" si="3"/>
        <v>176399.85621714281</v>
      </c>
      <c r="J168" s="102">
        <v>0</v>
      </c>
      <c r="K168" s="102">
        <v>0</v>
      </c>
      <c r="L168" s="102">
        <v>9600.033372267646</v>
      </c>
      <c r="M168" s="102">
        <v>16799.933255464712</v>
      </c>
      <c r="N168" s="102">
        <v>20399.966627732356</v>
      </c>
      <c r="O168" s="102">
        <v>20399.966627732356</v>
      </c>
      <c r="P168" s="102">
        <v>21600.033372267648</v>
      </c>
      <c r="Q168" s="102">
        <v>21600.004753690344</v>
      </c>
      <c r="R168" s="102">
        <v>18000</v>
      </c>
      <c r="S168" s="102">
        <v>16799.932007479179</v>
      </c>
      <c r="T168" s="102">
        <v>14399.986200508571</v>
      </c>
      <c r="U168" s="102">
        <v>16800</v>
      </c>
    </row>
    <row r="169" spans="2:21">
      <c r="B169" s="57" t="s">
        <v>292</v>
      </c>
      <c r="C169" s="101" t="s">
        <v>89</v>
      </c>
      <c r="D169" s="101" t="s">
        <v>116</v>
      </c>
      <c r="E169" s="101" t="s">
        <v>132</v>
      </c>
      <c r="F169" s="101" t="s">
        <v>132</v>
      </c>
      <c r="G169" s="101" t="s">
        <v>132</v>
      </c>
      <c r="H169" s="101" t="s">
        <v>4</v>
      </c>
      <c r="I169" s="55">
        <f t="shared" si="3"/>
        <v>164308137.36823827</v>
      </c>
      <c r="J169" s="102">
        <v>36936926.754385963</v>
      </c>
      <c r="K169" s="102">
        <v>36226819.590643264</v>
      </c>
      <c r="L169" s="102">
        <v>27651940.058479562</v>
      </c>
      <c r="M169" s="102">
        <v>15825708.625730999</v>
      </c>
      <c r="N169" s="102">
        <v>4608879.0935672494</v>
      </c>
      <c r="O169" s="102">
        <v>850167.54385965201</v>
      </c>
      <c r="P169" s="102">
        <v>552067.93524566945</v>
      </c>
      <c r="Q169" s="102">
        <v>532671.36329890345</v>
      </c>
      <c r="R169" s="102">
        <v>2522598.9775631865</v>
      </c>
      <c r="S169" s="102">
        <v>9347050.6958250329</v>
      </c>
      <c r="T169" s="102">
        <v>11847160.082113836</v>
      </c>
      <c r="U169" s="102">
        <v>17406146.647524938</v>
      </c>
    </row>
    <row r="170" spans="2:21">
      <c r="B170" s="57" t="s">
        <v>292</v>
      </c>
      <c r="C170" s="101" t="s">
        <v>188</v>
      </c>
      <c r="D170" s="101" t="s">
        <v>5</v>
      </c>
      <c r="E170" s="101" t="s">
        <v>113</v>
      </c>
      <c r="F170" s="101" t="s">
        <v>132</v>
      </c>
      <c r="G170" s="101" t="s">
        <v>132</v>
      </c>
      <c r="H170" s="101" t="s">
        <v>144</v>
      </c>
      <c r="I170" s="55">
        <f t="shared" si="3"/>
        <v>750000</v>
      </c>
      <c r="J170" s="102">
        <v>60000</v>
      </c>
      <c r="K170" s="102">
        <v>70000</v>
      </c>
      <c r="L170" s="102">
        <v>68000</v>
      </c>
      <c r="M170" s="102">
        <v>67000</v>
      </c>
      <c r="N170" s="102">
        <v>63000</v>
      </c>
      <c r="O170" s="102">
        <v>55000.000000000007</v>
      </c>
      <c r="P170" s="102">
        <v>153000</v>
      </c>
      <c r="Q170" s="102">
        <v>46000.000000000007</v>
      </c>
      <c r="R170" s="102">
        <v>52000</v>
      </c>
      <c r="S170" s="102">
        <v>36000</v>
      </c>
      <c r="T170" s="102">
        <v>43999.999999999993</v>
      </c>
      <c r="U170" s="102">
        <v>35999.999999999993</v>
      </c>
    </row>
    <row r="171" spans="2:21">
      <c r="B171" s="57" t="s">
        <v>292</v>
      </c>
      <c r="C171" s="101" t="s">
        <v>188</v>
      </c>
      <c r="D171" s="101" t="s">
        <v>5</v>
      </c>
      <c r="E171" s="101" t="s">
        <v>113</v>
      </c>
      <c r="F171" s="101" t="s">
        <v>132</v>
      </c>
      <c r="G171" s="101" t="s">
        <v>132</v>
      </c>
      <c r="H171" s="101" t="s">
        <v>145</v>
      </c>
      <c r="I171" s="55">
        <f t="shared" si="3"/>
        <v>927000</v>
      </c>
      <c r="J171" s="102">
        <v>62999.999999999993</v>
      </c>
      <c r="K171" s="102">
        <v>103000</v>
      </c>
      <c r="L171" s="102">
        <v>102000</v>
      </c>
      <c r="M171" s="102">
        <v>52000</v>
      </c>
      <c r="N171" s="102">
        <v>74000</v>
      </c>
      <c r="O171" s="102">
        <v>77000</v>
      </c>
      <c r="P171" s="102">
        <v>219000</v>
      </c>
      <c r="Q171" s="102">
        <v>55000.000000000007</v>
      </c>
      <c r="R171" s="102">
        <v>50000</v>
      </c>
      <c r="S171" s="102">
        <v>35000</v>
      </c>
      <c r="T171" s="102">
        <v>40999.999999999993</v>
      </c>
      <c r="U171" s="102">
        <v>56000</v>
      </c>
    </row>
    <row r="172" spans="2:21">
      <c r="B172" s="57" t="s">
        <v>292</v>
      </c>
      <c r="C172" s="101" t="s">
        <v>109</v>
      </c>
      <c r="D172" s="101" t="s">
        <v>3</v>
      </c>
      <c r="E172" s="101" t="s">
        <v>113</v>
      </c>
      <c r="F172" s="101" t="s">
        <v>132</v>
      </c>
      <c r="G172" s="101" t="s">
        <v>132</v>
      </c>
      <c r="H172" s="101" t="s">
        <v>144</v>
      </c>
      <c r="I172" s="55">
        <f t="shared" si="3"/>
        <v>49173565.341664359</v>
      </c>
      <c r="J172" s="102">
        <v>4545760.4790419163</v>
      </c>
      <c r="K172" s="102">
        <v>4186800.2177463258</v>
      </c>
      <c r="L172" s="102">
        <v>4196600.2540373802</v>
      </c>
      <c r="M172" s="102">
        <v>4618600.2540373802</v>
      </c>
      <c r="N172" s="102">
        <v>4839100.1633097436</v>
      </c>
      <c r="O172" s="102">
        <v>4647900.3810560694</v>
      </c>
      <c r="P172" s="102">
        <v>3969400.7383097732</v>
      </c>
      <c r="Q172" s="102">
        <v>3798200.8582280395</v>
      </c>
      <c r="R172" s="102">
        <v>3726901.0175763187</v>
      </c>
      <c r="S172" s="102">
        <v>3575601.2950971327</v>
      </c>
      <c r="T172" s="102">
        <v>3487899.3115346273</v>
      </c>
      <c r="U172" s="102">
        <v>3580800.3716896391</v>
      </c>
    </row>
    <row r="173" spans="2:21">
      <c r="B173" s="57" t="s">
        <v>292</v>
      </c>
      <c r="C173" s="101" t="s">
        <v>109</v>
      </c>
      <c r="D173" s="101" t="s">
        <v>3</v>
      </c>
      <c r="E173" s="101" t="s">
        <v>113</v>
      </c>
      <c r="F173" s="101" t="s">
        <v>132</v>
      </c>
      <c r="G173" s="101" t="s">
        <v>132</v>
      </c>
      <c r="H173" s="101" t="s">
        <v>145</v>
      </c>
      <c r="I173" s="55">
        <f t="shared" si="3"/>
        <v>74395518.782554358</v>
      </c>
      <c r="J173" s="102">
        <v>8112859.9825251205</v>
      </c>
      <c r="K173" s="102">
        <v>7529459.5893403254</v>
      </c>
      <c r="L173" s="102">
        <v>7530600.0436871992</v>
      </c>
      <c r="M173" s="102">
        <v>7519799.4757536026</v>
      </c>
      <c r="N173" s="102">
        <v>6557899.9563127998</v>
      </c>
      <c r="O173" s="102">
        <v>6384999.5631280039</v>
      </c>
      <c r="P173" s="102">
        <v>5450099.9664139999</v>
      </c>
      <c r="Q173" s="102">
        <v>5191600.5165093066</v>
      </c>
      <c r="R173" s="102">
        <v>5060800.3130590338</v>
      </c>
      <c r="S173" s="102">
        <v>4832199.9105545618</v>
      </c>
      <c r="T173" s="102">
        <v>4698900.0445607966</v>
      </c>
      <c r="U173" s="102">
        <v>5526299.4207096314</v>
      </c>
    </row>
    <row r="174" spans="2:21">
      <c r="B174" s="57" t="s">
        <v>292</v>
      </c>
      <c r="C174" s="101" t="s">
        <v>109</v>
      </c>
      <c r="D174" s="101" t="s">
        <v>3</v>
      </c>
      <c r="E174" s="101" t="s">
        <v>114</v>
      </c>
      <c r="F174" s="101" t="s">
        <v>132</v>
      </c>
      <c r="G174" s="101" t="s">
        <v>132</v>
      </c>
      <c r="H174" s="101" t="s">
        <v>144</v>
      </c>
      <c r="I174" s="55">
        <f t="shared" si="3"/>
        <v>20696100.937098291</v>
      </c>
      <c r="J174" s="102">
        <v>1884300.3118693815</v>
      </c>
      <c r="K174" s="102">
        <v>1908300.1284168041</v>
      </c>
      <c r="L174" s="102">
        <v>1620000</v>
      </c>
      <c r="M174" s="102">
        <v>1708799.8532379381</v>
      </c>
      <c r="N174" s="102">
        <v>1783800.0366905155</v>
      </c>
      <c r="O174" s="102">
        <v>1984200.1467620619</v>
      </c>
      <c r="P174" s="102">
        <v>1844400.0621919683</v>
      </c>
      <c r="Q174" s="102">
        <v>1762499.9821009319</v>
      </c>
      <c r="R174" s="102">
        <v>1626300.0935453696</v>
      </c>
      <c r="S174" s="102">
        <v>1566000</v>
      </c>
      <c r="T174" s="102">
        <v>1513500.1659600434</v>
      </c>
      <c r="U174" s="102">
        <v>1494000.1563232765</v>
      </c>
    </row>
    <row r="175" spans="2:21">
      <c r="B175" s="57" t="s">
        <v>292</v>
      </c>
      <c r="C175" s="101" t="s">
        <v>109</v>
      </c>
      <c r="D175" s="101" t="s">
        <v>3</v>
      </c>
      <c r="E175" s="101" t="s">
        <v>114</v>
      </c>
      <c r="F175" s="101" t="s">
        <v>132</v>
      </c>
      <c r="G175" s="101" t="s">
        <v>132</v>
      </c>
      <c r="H175" s="101" t="s">
        <v>145</v>
      </c>
      <c r="I175" s="55">
        <f t="shared" si="3"/>
        <v>30822000.819300748</v>
      </c>
      <c r="J175" s="102">
        <v>3251700.08853475</v>
      </c>
      <c r="K175" s="102">
        <v>3297300.1328021251</v>
      </c>
      <c r="L175" s="102">
        <v>2836200.08853475</v>
      </c>
      <c r="M175" s="102">
        <v>2733899.7343957499</v>
      </c>
      <c r="N175" s="102">
        <v>2392800.1328021251</v>
      </c>
      <c r="O175" s="102">
        <v>2665799.6901283758</v>
      </c>
      <c r="P175" s="102">
        <v>2498700.1681999713</v>
      </c>
      <c r="Q175" s="102">
        <v>2383200.0594378808</v>
      </c>
      <c r="R175" s="102">
        <v>2238599.9546690839</v>
      </c>
      <c r="S175" s="102">
        <v>2166600.1813236629</v>
      </c>
      <c r="T175" s="102">
        <v>2095500.3688529488</v>
      </c>
      <c r="U175" s="102">
        <v>2261700.2196193263</v>
      </c>
    </row>
    <row r="176" spans="2:21">
      <c r="B176" s="57" t="s">
        <v>292</v>
      </c>
      <c r="C176" s="101" t="s">
        <v>109</v>
      </c>
      <c r="D176" s="101" t="s">
        <v>5</v>
      </c>
      <c r="E176" s="101" t="s">
        <v>113</v>
      </c>
      <c r="F176" s="101" t="s">
        <v>132</v>
      </c>
      <c r="G176" s="101" t="s">
        <v>132</v>
      </c>
      <c r="H176" s="101" t="s">
        <v>144</v>
      </c>
      <c r="I176" s="55">
        <f t="shared" si="3"/>
        <v>77212653.977065504</v>
      </c>
      <c r="J176" s="102">
        <v>5981099.9818544723</v>
      </c>
      <c r="K176" s="102">
        <v>5502800.2177463248</v>
      </c>
      <c r="L176" s="102">
        <v>5806950.4627109431</v>
      </c>
      <c r="M176" s="102">
        <v>6679700.4173471248</v>
      </c>
      <c r="N176" s="102">
        <v>7459900.0181455277</v>
      </c>
      <c r="O176" s="102">
        <v>6717500.272182907</v>
      </c>
      <c r="P176" s="102">
        <v>6435449.8676014375</v>
      </c>
      <c r="Q176" s="102">
        <v>6593900.9282419104</v>
      </c>
      <c r="R176" s="102">
        <v>6660550.9713228494</v>
      </c>
      <c r="S176" s="102">
        <v>6835050.8788159098</v>
      </c>
      <c r="T176" s="102">
        <v>6671899.8759172084</v>
      </c>
      <c r="U176" s="102">
        <v>5867850.0851788763</v>
      </c>
    </row>
    <row r="177" spans="2:21">
      <c r="B177" s="57" t="s">
        <v>292</v>
      </c>
      <c r="C177" s="101" t="s">
        <v>109</v>
      </c>
      <c r="D177" s="101" t="s">
        <v>5</v>
      </c>
      <c r="E177" s="101" t="s">
        <v>113</v>
      </c>
      <c r="F177" s="101" t="s">
        <v>132</v>
      </c>
      <c r="G177" s="101" t="s">
        <v>132</v>
      </c>
      <c r="H177" s="101" t="s">
        <v>145</v>
      </c>
      <c r="I177" s="55">
        <f t="shared" si="3"/>
        <v>121576649.19191363</v>
      </c>
      <c r="J177" s="102">
        <v>11942100.043687198</v>
      </c>
      <c r="K177" s="102">
        <v>10897600.480559196</v>
      </c>
      <c r="L177" s="102">
        <v>11450200.0873744</v>
      </c>
      <c r="M177" s="102">
        <v>10292150.065530799</v>
      </c>
      <c r="N177" s="102">
        <v>10471200.305810399</v>
      </c>
      <c r="O177" s="102">
        <v>9436850.1529051978</v>
      </c>
      <c r="P177" s="102">
        <v>8911049.9205385335</v>
      </c>
      <c r="Q177" s="102">
        <v>9327799.6660547331</v>
      </c>
      <c r="R177" s="102">
        <v>9346349.7316636853</v>
      </c>
      <c r="S177" s="102">
        <v>9608300.0894454382</v>
      </c>
      <c r="T177" s="102">
        <v>9325749.4086626694</v>
      </c>
      <c r="U177" s="102">
        <v>10567299.239681387</v>
      </c>
    </row>
    <row r="178" spans="2:21">
      <c r="B178" s="57" t="s">
        <v>292</v>
      </c>
      <c r="C178" s="101" t="s">
        <v>109</v>
      </c>
      <c r="D178" s="101" t="s">
        <v>5</v>
      </c>
      <c r="E178" s="101" t="s">
        <v>114</v>
      </c>
      <c r="F178" s="101" t="s">
        <v>132</v>
      </c>
      <c r="G178" s="101" t="s">
        <v>132</v>
      </c>
      <c r="H178" s="101" t="s">
        <v>144</v>
      </c>
      <c r="I178" s="55">
        <f t="shared" si="3"/>
        <v>167400.11911145085</v>
      </c>
      <c r="J178" s="102">
        <v>8999.9999999999982</v>
      </c>
      <c r="K178" s="102">
        <v>8999.9999999999982</v>
      </c>
      <c r="L178" s="102">
        <v>8999.9999999999982</v>
      </c>
      <c r="M178" s="102">
        <v>10800.036690515502</v>
      </c>
      <c r="N178" s="102">
        <v>14399.926618968997</v>
      </c>
      <c r="O178" s="102">
        <v>17999.999999999996</v>
      </c>
      <c r="P178" s="102">
        <v>19800.036690515499</v>
      </c>
      <c r="Q178" s="102">
        <v>18000.142128554435</v>
      </c>
      <c r="R178" s="102">
        <v>18000</v>
      </c>
      <c r="S178" s="102">
        <v>14400</v>
      </c>
      <c r="T178" s="102">
        <v>14400.008247551727</v>
      </c>
      <c r="U178" s="102">
        <v>12599.968735344693</v>
      </c>
    </row>
    <row r="179" spans="2:21">
      <c r="B179" s="57" t="s">
        <v>292</v>
      </c>
      <c r="C179" s="101" t="s">
        <v>109</v>
      </c>
      <c r="D179" s="101" t="s">
        <v>5</v>
      </c>
      <c r="E179" s="101" t="s">
        <v>114</v>
      </c>
      <c r="F179" s="101" t="s">
        <v>132</v>
      </c>
      <c r="G179" s="101" t="s">
        <v>132</v>
      </c>
      <c r="H179" s="101" t="s">
        <v>145</v>
      </c>
      <c r="I179" s="55">
        <f t="shared" si="3"/>
        <v>266399.6814608078</v>
      </c>
      <c r="J179" s="102">
        <v>19799.911465250112</v>
      </c>
      <c r="K179" s="102">
        <v>18000</v>
      </c>
      <c r="L179" s="102">
        <v>19799.911465250112</v>
      </c>
      <c r="M179" s="102">
        <v>21600.044267374946</v>
      </c>
      <c r="N179" s="102">
        <v>19799.911465250112</v>
      </c>
      <c r="O179" s="102">
        <v>25200.088534749888</v>
      </c>
      <c r="P179" s="102">
        <v>28799.911465250112</v>
      </c>
      <c r="Q179" s="102">
        <v>25199.921779588607</v>
      </c>
      <c r="R179" s="102">
        <v>25199.909338168629</v>
      </c>
      <c r="S179" s="102">
        <v>21599.954669084316</v>
      </c>
      <c r="T179" s="102">
        <v>21600.153614062008</v>
      </c>
      <c r="U179" s="102">
        <v>19799.963396778916</v>
      </c>
    </row>
    <row r="180" spans="2:21">
      <c r="B180" s="57" t="s">
        <v>292</v>
      </c>
      <c r="C180" s="101" t="s">
        <v>223</v>
      </c>
      <c r="D180" s="101" t="s">
        <v>5</v>
      </c>
      <c r="E180" s="101" t="s">
        <v>114</v>
      </c>
      <c r="F180" s="101" t="s">
        <v>132</v>
      </c>
      <c r="G180" s="101" t="s">
        <v>132</v>
      </c>
      <c r="H180" s="101" t="s">
        <v>144</v>
      </c>
      <c r="I180" s="55">
        <f t="shared" si="3"/>
        <v>210164400.0636223</v>
      </c>
      <c r="J180" s="102">
        <v>15346799.925691992</v>
      </c>
      <c r="K180" s="102">
        <v>15350399.962845996</v>
      </c>
      <c r="L180" s="102">
        <v>15530399.962845996</v>
      </c>
      <c r="M180" s="102">
        <v>14734799.925691994</v>
      </c>
      <c r="N180" s="102">
        <v>18835200.074308004</v>
      </c>
      <c r="O180" s="102">
        <v>18417600.037154004</v>
      </c>
      <c r="P180" s="102">
        <v>19529999.999999996</v>
      </c>
      <c r="Q180" s="102">
        <v>19339200.074308004</v>
      </c>
      <c r="R180" s="102">
        <v>17888399.9244713</v>
      </c>
      <c r="S180" s="102">
        <v>17830800.037764352</v>
      </c>
      <c r="T180" s="102">
        <v>17859600.0755287</v>
      </c>
      <c r="U180" s="102">
        <v>19501200.063011974</v>
      </c>
    </row>
    <row r="181" spans="2:21">
      <c r="B181" s="57" t="s">
        <v>292</v>
      </c>
      <c r="C181" s="101" t="s">
        <v>223</v>
      </c>
      <c r="D181" s="101" t="s">
        <v>5</v>
      </c>
      <c r="E181" s="101" t="s">
        <v>114</v>
      </c>
      <c r="F181" s="101" t="s">
        <v>132</v>
      </c>
      <c r="G181" s="101" t="s">
        <v>132</v>
      </c>
      <c r="H181" s="101" t="s">
        <v>145</v>
      </c>
      <c r="I181" s="55">
        <f t="shared" si="3"/>
        <v>330066000</v>
      </c>
      <c r="J181" s="102">
        <v>30672000</v>
      </c>
      <c r="K181" s="102">
        <v>30376800.000000004</v>
      </c>
      <c r="L181" s="102">
        <v>31071600</v>
      </c>
      <c r="M181" s="102">
        <v>29523600</v>
      </c>
      <c r="N181" s="102">
        <v>26348400.000000004</v>
      </c>
      <c r="O181" s="102">
        <v>25696800.000000004</v>
      </c>
      <c r="P181" s="102">
        <v>27352800.000000004</v>
      </c>
      <c r="Q181" s="102">
        <v>26928000</v>
      </c>
      <c r="R181" s="102">
        <v>25088399.954159979</v>
      </c>
      <c r="S181" s="102">
        <v>25045200.091680039</v>
      </c>
      <c r="T181" s="102">
        <v>24728399.954159983</v>
      </c>
      <c r="U181" s="102">
        <v>27234000.000000004</v>
      </c>
    </row>
    <row r="182" spans="2:21">
      <c r="B182" s="57" t="s">
        <v>292</v>
      </c>
      <c r="C182" s="101" t="s">
        <v>106</v>
      </c>
      <c r="D182" s="101" t="s">
        <v>2</v>
      </c>
      <c r="E182" s="101" t="s">
        <v>132</v>
      </c>
      <c r="F182" s="101" t="s">
        <v>132</v>
      </c>
      <c r="G182" s="101" t="s">
        <v>132</v>
      </c>
      <c r="H182" s="101" t="s">
        <v>4</v>
      </c>
      <c r="I182" s="55">
        <f t="shared" si="3"/>
        <v>877307.93333333358</v>
      </c>
      <c r="J182" s="102">
        <v>73894.2</v>
      </c>
      <c r="K182" s="102">
        <v>73699.06666666668</v>
      </c>
      <c r="L182" s="102">
        <v>73716.7</v>
      </c>
      <c r="M182" s="102">
        <v>73555.233333333337</v>
      </c>
      <c r="N182" s="102">
        <v>73434.766666666663</v>
      </c>
      <c r="O182" s="102">
        <v>73339.533333333326</v>
      </c>
      <c r="P182" s="102">
        <v>73049.400000000038</v>
      </c>
      <c r="Q182" s="102">
        <v>72374.766666666736</v>
      </c>
      <c r="R182" s="102">
        <v>73170.233333333337</v>
      </c>
      <c r="S182" s="102">
        <v>72954.3</v>
      </c>
      <c r="T182" s="102">
        <v>71307.499999999985</v>
      </c>
      <c r="U182" s="102">
        <v>72812.233333333337</v>
      </c>
    </row>
    <row r="183" spans="2:21">
      <c r="B183" s="57" t="s">
        <v>292</v>
      </c>
      <c r="C183" s="101" t="s">
        <v>106</v>
      </c>
      <c r="D183" s="101" t="s">
        <v>3</v>
      </c>
      <c r="E183" s="101" t="s">
        <v>132</v>
      </c>
      <c r="F183" s="101" t="s">
        <v>132</v>
      </c>
      <c r="G183" s="101" t="s">
        <v>132</v>
      </c>
      <c r="H183" s="101" t="s">
        <v>4</v>
      </c>
      <c r="I183" s="55">
        <f t="shared" si="3"/>
        <v>1836975.6</v>
      </c>
      <c r="J183" s="102">
        <v>153879.56666666665</v>
      </c>
      <c r="K183" s="102">
        <v>153989.93333333332</v>
      </c>
      <c r="L183" s="102">
        <v>153804.93333333335</v>
      </c>
      <c r="M183" s="102">
        <v>153658.09999999998</v>
      </c>
      <c r="N183" s="102">
        <v>153992.23333333328</v>
      </c>
      <c r="O183" s="102">
        <v>153959.80000000002</v>
      </c>
      <c r="P183" s="102">
        <v>152720.13333333342</v>
      </c>
      <c r="Q183" s="102">
        <v>150383.4666666667</v>
      </c>
      <c r="R183" s="102">
        <v>153277.23333333334</v>
      </c>
      <c r="S183" s="102">
        <v>153439.39999999994</v>
      </c>
      <c r="T183" s="102">
        <v>150855.2999999999</v>
      </c>
      <c r="U183" s="102">
        <v>153015.5</v>
      </c>
    </row>
    <row r="184" spans="2:21">
      <c r="B184" s="57" t="s">
        <v>292</v>
      </c>
      <c r="C184" s="101" t="s">
        <v>106</v>
      </c>
      <c r="D184" s="101" t="s">
        <v>5</v>
      </c>
      <c r="E184" s="101" t="s">
        <v>132</v>
      </c>
      <c r="F184" s="101" t="s">
        <v>132</v>
      </c>
      <c r="G184" s="101" t="s">
        <v>132</v>
      </c>
      <c r="H184" s="101" t="s">
        <v>4</v>
      </c>
      <c r="I184" s="55">
        <f t="shared" si="3"/>
        <v>121898.83333333334</v>
      </c>
      <c r="J184" s="102">
        <v>10183</v>
      </c>
      <c r="K184" s="102">
        <v>10183</v>
      </c>
      <c r="L184" s="102">
        <v>10183</v>
      </c>
      <c r="M184" s="102">
        <v>10183</v>
      </c>
      <c r="N184" s="102">
        <v>10183</v>
      </c>
      <c r="O184" s="102">
        <v>10190.6</v>
      </c>
      <c r="P184" s="102">
        <v>10137.700000000001</v>
      </c>
      <c r="Q184" s="102">
        <v>10017.433333333334</v>
      </c>
      <c r="R184" s="102">
        <v>10183</v>
      </c>
      <c r="S184" s="102">
        <v>10238.433333333332</v>
      </c>
      <c r="T184" s="102">
        <v>10009.6</v>
      </c>
      <c r="U184" s="102">
        <v>10207.066666666666</v>
      </c>
    </row>
    <row r="185" spans="2:21">
      <c r="B185" s="57" t="s">
        <v>292</v>
      </c>
      <c r="C185" s="101" t="s">
        <v>107</v>
      </c>
      <c r="D185" s="101" t="s">
        <v>104</v>
      </c>
      <c r="E185" s="101" t="s">
        <v>132</v>
      </c>
      <c r="F185" s="101" t="s">
        <v>132</v>
      </c>
      <c r="G185" s="101" t="s">
        <v>132</v>
      </c>
      <c r="H185" s="101" t="s">
        <v>4</v>
      </c>
      <c r="I185" s="55">
        <f t="shared" si="3"/>
        <v>1959801.2666666666</v>
      </c>
      <c r="J185" s="102">
        <v>163006.46666666667</v>
      </c>
      <c r="K185" s="102">
        <v>163088.66666666666</v>
      </c>
      <c r="L185" s="102">
        <v>162830.33333333331</v>
      </c>
      <c r="M185" s="102">
        <v>162859.96666666665</v>
      </c>
      <c r="N185" s="102">
        <v>163095.83333333334</v>
      </c>
      <c r="O185" s="102">
        <v>164187.66666666669</v>
      </c>
      <c r="P185" s="102">
        <v>162816.1333333333</v>
      </c>
      <c r="Q185" s="102">
        <v>160283.76666666669</v>
      </c>
      <c r="R185" s="102">
        <v>164197.9</v>
      </c>
      <c r="S185" s="102">
        <v>164592.63333333333</v>
      </c>
      <c r="T185" s="102">
        <v>164450.66666666666</v>
      </c>
      <c r="U185" s="102">
        <v>164391.23333333334</v>
      </c>
    </row>
    <row r="186" spans="2:21">
      <c r="B186" s="57" t="s">
        <v>292</v>
      </c>
      <c r="C186" s="101" t="s">
        <v>163</v>
      </c>
      <c r="D186" s="101" t="s">
        <v>104</v>
      </c>
      <c r="E186" s="101" t="s">
        <v>132</v>
      </c>
      <c r="F186" s="101" t="s">
        <v>132</v>
      </c>
      <c r="G186" s="101" t="s">
        <v>132</v>
      </c>
      <c r="H186" s="101" t="s">
        <v>4</v>
      </c>
      <c r="I186" s="55">
        <f t="shared" si="3"/>
        <v>2111889.0151406806</v>
      </c>
      <c r="J186" s="102">
        <v>158363.61702127676</v>
      </c>
      <c r="K186" s="102">
        <v>162842.12765957462</v>
      </c>
      <c r="L186" s="102">
        <v>169489.7872340426</v>
      </c>
      <c r="M186" s="102">
        <v>176370.21276595755</v>
      </c>
      <c r="N186" s="102">
        <v>186075.53191489371</v>
      </c>
      <c r="O186" s="102">
        <v>198288.72340425549</v>
      </c>
      <c r="P186" s="102">
        <v>197496.10062028089</v>
      </c>
      <c r="Q186" s="102">
        <v>187005.58371957624</v>
      </c>
      <c r="R186" s="102">
        <v>178879.33634992465</v>
      </c>
      <c r="S186" s="102">
        <v>171695.3320424766</v>
      </c>
      <c r="T186" s="102">
        <v>164700.59671370871</v>
      </c>
      <c r="U186" s="102">
        <v>160682.06569471274</v>
      </c>
    </row>
    <row r="187" spans="2:21">
      <c r="B187" s="103" t="s">
        <v>292</v>
      </c>
      <c r="C187" s="104" t="s">
        <v>108</v>
      </c>
      <c r="D187" s="104" t="s">
        <v>3</v>
      </c>
      <c r="E187" s="104" t="s">
        <v>132</v>
      </c>
      <c r="F187" s="104" t="s">
        <v>132</v>
      </c>
      <c r="G187" s="104" t="s">
        <v>132</v>
      </c>
      <c r="H187" s="104" t="s">
        <v>4</v>
      </c>
      <c r="I187" s="105">
        <f t="shared" si="3"/>
        <v>312414.5359818064</v>
      </c>
      <c r="J187" s="106">
        <v>23048.088531187124</v>
      </c>
      <c r="K187" s="106">
        <v>18517.303822937629</v>
      </c>
      <c r="L187" s="106">
        <v>14981.891348088531</v>
      </c>
      <c r="M187" s="106">
        <v>24668.008048289736</v>
      </c>
      <c r="N187" s="106">
        <v>32598.189134808854</v>
      </c>
      <c r="O187" s="106">
        <v>27807.042253521126</v>
      </c>
      <c r="P187" s="106">
        <v>27808.113844752465</v>
      </c>
      <c r="Q187" s="106">
        <v>34191.613541325234</v>
      </c>
      <c r="R187" s="106">
        <v>38441.122635753505</v>
      </c>
      <c r="S187" s="106">
        <v>30227.374415293882</v>
      </c>
      <c r="T187" s="106">
        <v>23255.123302816024</v>
      </c>
      <c r="U187" s="106">
        <v>16870.665103032334</v>
      </c>
    </row>
    <row r="188" spans="2:21">
      <c r="B188" s="98"/>
      <c r="C188" s="97"/>
      <c r="D188" s="97"/>
      <c r="E188" s="97"/>
      <c r="F188" s="97"/>
      <c r="G188" s="97"/>
      <c r="H188" s="97"/>
      <c r="I188" s="9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57" t="s">
        <v>290</v>
      </c>
      <c r="C189" s="101" t="s">
        <v>356</v>
      </c>
      <c r="D189" s="55" t="s">
        <v>2</v>
      </c>
      <c r="E189" s="57" t="s">
        <v>132</v>
      </c>
      <c r="F189" s="57" t="s">
        <v>132</v>
      </c>
      <c r="G189" s="57" t="s">
        <v>132</v>
      </c>
      <c r="H189" s="57" t="s">
        <v>4</v>
      </c>
      <c r="I189" s="55">
        <f t="shared" ref="I189:I193" si="4">SUM(J189:V189)</f>
        <v>-19485564.170899998</v>
      </c>
      <c r="J189" s="108">
        <v>-19039258.281599998</v>
      </c>
      <c r="K189" s="108">
        <v>-2639370.7416000003</v>
      </c>
      <c r="L189" s="108">
        <v>2270928.5372000001</v>
      </c>
      <c r="M189" s="108">
        <v>3743165.0382000003</v>
      </c>
      <c r="N189" s="108">
        <v>17904121.6589</v>
      </c>
      <c r="O189" s="108">
        <v>10441493.345000001</v>
      </c>
      <c r="P189" s="108">
        <v>-22661821.320000004</v>
      </c>
      <c r="Q189" s="108">
        <v>-5226767.5455</v>
      </c>
      <c r="R189" s="108">
        <v>9430121.4316000007</v>
      </c>
      <c r="S189" s="108">
        <v>-17517733.873599999</v>
      </c>
      <c r="T189" s="108">
        <v>-666818.16029999999</v>
      </c>
      <c r="U189" s="108">
        <v>4476375.7407999998</v>
      </c>
    </row>
    <row r="190" spans="2:21">
      <c r="B190" s="57" t="s">
        <v>290</v>
      </c>
      <c r="C190" s="57" t="s">
        <v>165</v>
      </c>
      <c r="D190" s="57" t="s">
        <v>3</v>
      </c>
      <c r="E190" s="57" t="s">
        <v>132</v>
      </c>
      <c r="F190" s="57" t="s">
        <v>132</v>
      </c>
      <c r="G190" s="57" t="s">
        <v>132</v>
      </c>
      <c r="H190" s="57" t="s">
        <v>4</v>
      </c>
      <c r="I190" s="55">
        <f t="shared" si="4"/>
        <v>-858022.95925769093</v>
      </c>
      <c r="J190" s="108">
        <v>-2905921.9758012621</v>
      </c>
      <c r="K190" s="108">
        <v>-299444.62906759832</v>
      </c>
      <c r="L190" s="108">
        <v>313515.14540020784</v>
      </c>
      <c r="M190" s="108">
        <v>210986.65549915773</v>
      </c>
      <c r="N190" s="108">
        <v>735000.16187917721</v>
      </c>
      <c r="O190" s="108">
        <v>529754.07496228884</v>
      </c>
      <c r="P190" s="108">
        <v>-1284110.4754462757</v>
      </c>
      <c r="Q190" s="108">
        <v>-295508.74150549911</v>
      </c>
      <c r="R190" s="108">
        <v>332250.47660146432</v>
      </c>
      <c r="S190" s="108">
        <v>-235542.56365846482</v>
      </c>
      <c r="T190" s="108">
        <v>1376913.8102822206</v>
      </c>
      <c r="U190" s="108">
        <v>664085.10159689258</v>
      </c>
    </row>
    <row r="191" spans="2:21">
      <c r="B191" s="57" t="s">
        <v>290</v>
      </c>
      <c r="C191" s="57" t="s">
        <v>215</v>
      </c>
      <c r="D191" s="57" t="s">
        <v>3</v>
      </c>
      <c r="E191" s="57" t="s">
        <v>132</v>
      </c>
      <c r="F191" s="57" t="s">
        <v>132</v>
      </c>
      <c r="G191" s="57" t="s">
        <v>132</v>
      </c>
      <c r="H191" s="57" t="s">
        <v>4</v>
      </c>
      <c r="I191" s="55">
        <f t="shared" si="4"/>
        <v>-127447.37919797213</v>
      </c>
      <c r="J191" s="108">
        <v>-4167497.5791301895</v>
      </c>
      <c r="K191" s="108">
        <v>-451859.45575063111</v>
      </c>
      <c r="L191" s="108">
        <v>522798.74801745563</v>
      </c>
      <c r="M191" s="108">
        <v>420535.28553669073</v>
      </c>
      <c r="N191" s="108">
        <v>1535166.5523953503</v>
      </c>
      <c r="O191" s="108">
        <v>839300.06142040144</v>
      </c>
      <c r="P191" s="108">
        <v>-1898257.3467174903</v>
      </c>
      <c r="Q191" s="108">
        <v>-457479.2307066184</v>
      </c>
      <c r="R191" s="108">
        <v>522411.24795534747</v>
      </c>
      <c r="S191" s="108">
        <v>-397132.46755711682</v>
      </c>
      <c r="T191" s="108">
        <v>2262002.3911791504</v>
      </c>
      <c r="U191" s="108">
        <v>1142564.4141596786</v>
      </c>
    </row>
    <row r="192" spans="2:21">
      <c r="B192" s="57" t="s">
        <v>290</v>
      </c>
      <c r="C192" s="57" t="s">
        <v>109</v>
      </c>
      <c r="D192" s="57" t="s">
        <v>3</v>
      </c>
      <c r="E192" s="57" t="s">
        <v>132</v>
      </c>
      <c r="F192" s="57" t="s">
        <v>132</v>
      </c>
      <c r="G192" s="57" t="s">
        <v>132</v>
      </c>
      <c r="H192" s="57" t="s">
        <v>4</v>
      </c>
      <c r="I192" s="55">
        <f t="shared" si="4"/>
        <v>-223992.30364433755</v>
      </c>
      <c r="J192" s="108">
        <v>-1078256.8476685488</v>
      </c>
      <c r="K192" s="108">
        <v>-95439.097081770495</v>
      </c>
      <c r="L192" s="108">
        <v>117846.16578233648</v>
      </c>
      <c r="M192" s="108">
        <v>91607.809064151545</v>
      </c>
      <c r="N192" s="108">
        <v>302456.3133254727</v>
      </c>
      <c r="O192" s="108">
        <v>187349.74011730956</v>
      </c>
      <c r="P192" s="108">
        <v>-355960.63213623391</v>
      </c>
      <c r="Q192" s="108">
        <v>-86551.635187882435</v>
      </c>
      <c r="R192" s="108">
        <v>100386.25844318837</v>
      </c>
      <c r="S192" s="108">
        <v>-80836.761384418292</v>
      </c>
      <c r="T192" s="108">
        <v>446721.21953862917</v>
      </c>
      <c r="U192" s="108">
        <v>226685.16354342879</v>
      </c>
    </row>
    <row r="193" spans="2:21">
      <c r="B193" s="103" t="s">
        <v>290</v>
      </c>
      <c r="C193" s="103" t="s">
        <v>89</v>
      </c>
      <c r="D193" s="103" t="s">
        <v>116</v>
      </c>
      <c r="E193" s="103" t="s">
        <v>132</v>
      </c>
      <c r="F193" s="103" t="s">
        <v>132</v>
      </c>
      <c r="G193" s="103" t="s">
        <v>132</v>
      </c>
      <c r="H193" s="103" t="s">
        <v>4</v>
      </c>
      <c r="I193" s="105">
        <f t="shared" si="4"/>
        <v>-889650.20250000036</v>
      </c>
      <c r="J193" s="109">
        <v>-3894980.6418000003</v>
      </c>
      <c r="K193" s="109">
        <v>-418164.83589999995</v>
      </c>
      <c r="L193" s="109">
        <v>388314.98879999999</v>
      </c>
      <c r="M193" s="109">
        <v>13500.8513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2006566.1688000001</v>
      </c>
      <c r="U193" s="109">
        <v>1015113.2663</v>
      </c>
    </row>
    <row r="194" spans="2:21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>
      <c r="B195" s="57" t="s">
        <v>269</v>
      </c>
      <c r="C195" s="101" t="s">
        <v>356</v>
      </c>
      <c r="D195" s="101" t="s">
        <v>2</v>
      </c>
      <c r="E195" s="101" t="s">
        <v>132</v>
      </c>
      <c r="F195" s="101" t="s">
        <v>132</v>
      </c>
      <c r="G195" s="101" t="s">
        <v>132</v>
      </c>
      <c r="H195" s="56" t="s">
        <v>134</v>
      </c>
      <c r="I195" s="55">
        <f t="shared" ref="I195:I202" si="5">SUM(J195:V195)</f>
        <v>717227158.07384765</v>
      </c>
      <c r="J195" s="5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55">
        <f t="shared" ref="K195:U195" si="6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55">
        <f t="shared" si="6"/>
        <v>59581355.617611021</v>
      </c>
      <c r="M195" s="55">
        <f t="shared" si="6"/>
        <v>58755823.914918318</v>
      </c>
      <c r="N195" s="55">
        <f t="shared" si="6"/>
        <v>68455124.358087093</v>
      </c>
      <c r="O195" s="55">
        <f t="shared" si="6"/>
        <v>66152304.06704881</v>
      </c>
      <c r="P195" s="55">
        <f t="shared" si="6"/>
        <v>57090915.072624795</v>
      </c>
      <c r="Q195" s="55">
        <f t="shared" si="6"/>
        <v>60666872.024507716</v>
      </c>
      <c r="R195" s="55">
        <f t="shared" si="6"/>
        <v>65289776.949130207</v>
      </c>
      <c r="S195" s="55">
        <f t="shared" si="6"/>
        <v>50504980.134270266</v>
      </c>
      <c r="T195" s="55">
        <f t="shared" si="6"/>
        <v>57893863.687184468</v>
      </c>
      <c r="U195" s="55">
        <f t="shared" si="6"/>
        <v>59227965.33010406</v>
      </c>
    </row>
    <row r="196" spans="2:21">
      <c r="B196" s="57" t="s">
        <v>269</v>
      </c>
      <c r="C196" s="101" t="s">
        <v>356</v>
      </c>
      <c r="D196" s="101" t="s">
        <v>2</v>
      </c>
      <c r="E196" s="101" t="s">
        <v>132</v>
      </c>
      <c r="F196" s="101" t="s">
        <v>132</v>
      </c>
      <c r="G196" s="101" t="s">
        <v>132</v>
      </c>
      <c r="H196" s="56" t="s">
        <v>135</v>
      </c>
      <c r="I196" s="55">
        <f t="shared" si="5"/>
        <v>900390889.01040673</v>
      </c>
      <c r="J196" s="55">
        <f t="shared" ref="J196:U233" si="7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55">
        <f t="shared" si="7"/>
        <v>79218227.69121328</v>
      </c>
      <c r="L196" s="55">
        <f t="shared" si="7"/>
        <v>47292871.889757439</v>
      </c>
      <c r="M196" s="55">
        <f t="shared" si="7"/>
        <v>35297570.837008141</v>
      </c>
      <c r="N196" s="55">
        <f t="shared" si="7"/>
        <v>69330835.384039849</v>
      </c>
      <c r="O196" s="55">
        <f t="shared" si="7"/>
        <v>113223185.55740769</v>
      </c>
      <c r="P196" s="55">
        <f t="shared" si="7"/>
        <v>145998527.11336142</v>
      </c>
      <c r="Q196" s="55">
        <f t="shared" si="7"/>
        <v>117046652.45477994</v>
      </c>
      <c r="R196" s="55">
        <f t="shared" si="7"/>
        <v>89117932.184582993</v>
      </c>
      <c r="S196" s="55">
        <f t="shared" si="7"/>
        <v>47843887.883771934</v>
      </c>
      <c r="T196" s="55">
        <f t="shared" si="7"/>
        <v>45531777.552980103</v>
      </c>
      <c r="U196" s="55">
        <f t="shared" si="7"/>
        <v>35662980.718289115</v>
      </c>
    </row>
    <row r="197" spans="2:21">
      <c r="B197" s="57" t="s">
        <v>269</v>
      </c>
      <c r="C197" s="101" t="s">
        <v>165</v>
      </c>
      <c r="D197" s="101" t="s">
        <v>2</v>
      </c>
      <c r="E197" s="101" t="s">
        <v>132</v>
      </c>
      <c r="F197" s="101" t="s">
        <v>132</v>
      </c>
      <c r="G197" s="101" t="s">
        <v>132</v>
      </c>
      <c r="H197" s="101" t="s">
        <v>134</v>
      </c>
      <c r="I197" s="55">
        <f t="shared" si="5"/>
        <v>13566732.250124412</v>
      </c>
      <c r="J197" s="55">
        <f t="shared" si="7"/>
        <v>1225169.9524731559</v>
      </c>
      <c r="K197" s="55">
        <f t="shared" si="7"/>
        <v>1211890.424221087</v>
      </c>
      <c r="L197" s="55">
        <f t="shared" si="7"/>
        <v>1094737.3701813056</v>
      </c>
      <c r="M197" s="55">
        <f t="shared" si="7"/>
        <v>980881.71096637845</v>
      </c>
      <c r="N197" s="55">
        <f t="shared" si="7"/>
        <v>997309.62858651567</v>
      </c>
      <c r="O197" s="55">
        <f t="shared" si="7"/>
        <v>1172583.1719767647</v>
      </c>
      <c r="P197" s="55">
        <f t="shared" si="7"/>
        <v>1414354.4189865505</v>
      </c>
      <c r="Q197" s="55">
        <f t="shared" si="7"/>
        <v>1293451.5874821479</v>
      </c>
      <c r="R197" s="55">
        <f t="shared" si="7"/>
        <v>1147041.5148013157</v>
      </c>
      <c r="S197" s="55">
        <f t="shared" si="7"/>
        <v>1017514.8013156732</v>
      </c>
      <c r="T197" s="55">
        <f t="shared" si="7"/>
        <v>999767.18380711973</v>
      </c>
      <c r="U197" s="55">
        <f t="shared" si="7"/>
        <v>1012030.4853263962</v>
      </c>
    </row>
    <row r="198" spans="2:21">
      <c r="B198" s="57" t="s">
        <v>269</v>
      </c>
      <c r="C198" s="101" t="s">
        <v>165</v>
      </c>
      <c r="D198" s="101" t="s">
        <v>2</v>
      </c>
      <c r="E198" s="101" t="s">
        <v>132</v>
      </c>
      <c r="F198" s="101" t="s">
        <v>132</v>
      </c>
      <c r="G198" s="101" t="s">
        <v>132</v>
      </c>
      <c r="H198" s="101" t="s">
        <v>135</v>
      </c>
      <c r="I198" s="55">
        <f t="shared" si="5"/>
        <v>7107440.1776486794</v>
      </c>
      <c r="J198" s="55">
        <f t="shared" si="7"/>
        <v>721533.11216026545</v>
      </c>
      <c r="K198" s="55">
        <f t="shared" si="7"/>
        <v>720161.66900599725</v>
      </c>
      <c r="L198" s="55">
        <f t="shared" si="7"/>
        <v>535527.88056654343</v>
      </c>
      <c r="M198" s="55">
        <f t="shared" si="7"/>
        <v>396203.13895623334</v>
      </c>
      <c r="N198" s="55">
        <f t="shared" si="7"/>
        <v>414101.69707796362</v>
      </c>
      <c r="O198" s="55">
        <f t="shared" si="7"/>
        <v>666403.98111522268</v>
      </c>
      <c r="P198" s="55">
        <f t="shared" si="7"/>
        <v>1029284.9326056727</v>
      </c>
      <c r="Q198" s="55">
        <f t="shared" si="7"/>
        <v>816093.40368263319</v>
      </c>
      <c r="R198" s="55">
        <f t="shared" si="7"/>
        <v>577952.74469186959</v>
      </c>
      <c r="S198" s="55">
        <f t="shared" si="7"/>
        <v>413350.9839461419</v>
      </c>
      <c r="T198" s="55">
        <f t="shared" si="7"/>
        <v>405403.43420476827</v>
      </c>
      <c r="U198" s="55">
        <f t="shared" si="7"/>
        <v>411423.19963536918</v>
      </c>
    </row>
    <row r="199" spans="2:21">
      <c r="B199" s="57" t="s">
        <v>269</v>
      </c>
      <c r="C199" s="101" t="s">
        <v>165</v>
      </c>
      <c r="D199" s="101" t="s">
        <v>2</v>
      </c>
      <c r="E199" s="101" t="s">
        <v>132</v>
      </c>
      <c r="F199" s="101" t="s">
        <v>132</v>
      </c>
      <c r="G199" s="101" t="s">
        <v>132</v>
      </c>
      <c r="H199" s="101" t="s">
        <v>218</v>
      </c>
      <c r="I199" s="55">
        <f t="shared" si="5"/>
        <v>930206.40963127534</v>
      </c>
      <c r="J199" s="55">
        <f t="shared" si="7"/>
        <v>104308.77528704208</v>
      </c>
      <c r="K199" s="55">
        <f t="shared" si="7"/>
        <v>105025.15035538544</v>
      </c>
      <c r="L199" s="55">
        <f t="shared" si="7"/>
        <v>75749.863313285954</v>
      </c>
      <c r="M199" s="55">
        <f t="shared" si="7"/>
        <v>53117.140513942039</v>
      </c>
      <c r="N199" s="55">
        <f t="shared" si="7"/>
        <v>48619.874248223066</v>
      </c>
      <c r="O199" s="55">
        <f t="shared" si="7"/>
        <v>79720.065609622747</v>
      </c>
      <c r="P199" s="55">
        <f t="shared" si="7"/>
        <v>163879.98906506287</v>
      </c>
      <c r="Q199" s="55">
        <f t="shared" si="7"/>
        <v>123726.67695413042</v>
      </c>
      <c r="R199" s="55">
        <f t="shared" si="7"/>
        <v>63235.040955157572</v>
      </c>
      <c r="S199" s="55">
        <f t="shared" si="7"/>
        <v>38770.789948632519</v>
      </c>
      <c r="T199" s="55">
        <f t="shared" si="7"/>
        <v>38559.039746629562</v>
      </c>
      <c r="U199" s="55">
        <f t="shared" si="7"/>
        <v>35494.003634161112</v>
      </c>
    </row>
    <row r="200" spans="2:21">
      <c r="B200" s="57" t="s">
        <v>269</v>
      </c>
      <c r="C200" s="101" t="s">
        <v>165</v>
      </c>
      <c r="D200" s="101" t="s">
        <v>3</v>
      </c>
      <c r="E200" s="101" t="s">
        <v>132</v>
      </c>
      <c r="F200" s="101" t="s">
        <v>132</v>
      </c>
      <c r="G200" s="101" t="s">
        <v>132</v>
      </c>
      <c r="H200" s="101" t="s">
        <v>134</v>
      </c>
      <c r="I200" s="55">
        <f t="shared" si="5"/>
        <v>124967405.83695066</v>
      </c>
      <c r="J200" s="55">
        <f t="shared" si="7"/>
        <v>9951231.1934418622</v>
      </c>
      <c r="K200" s="55">
        <f t="shared" si="7"/>
        <v>10546532.85137712</v>
      </c>
      <c r="L200" s="55">
        <f t="shared" si="7"/>
        <v>10212674.297046848</v>
      </c>
      <c r="M200" s="55">
        <f t="shared" si="7"/>
        <v>9829494.9459978361</v>
      </c>
      <c r="N200" s="55">
        <f t="shared" si="7"/>
        <v>10349359.914914433</v>
      </c>
      <c r="O200" s="55">
        <f t="shared" si="7"/>
        <v>10957698.402225677</v>
      </c>
      <c r="P200" s="55">
        <f t="shared" si="7"/>
        <v>11001368.797965545</v>
      </c>
      <c r="Q200" s="55">
        <f t="shared" si="7"/>
        <v>10888893.392461982</v>
      </c>
      <c r="R200" s="55">
        <f t="shared" si="7"/>
        <v>10701648.175141117</v>
      </c>
      <c r="S200" s="55">
        <f t="shared" si="7"/>
        <v>10168362.995355733</v>
      </c>
      <c r="T200" s="55">
        <f t="shared" si="7"/>
        <v>10405434.35687157</v>
      </c>
      <c r="U200" s="55">
        <f t="shared" si="7"/>
        <v>9954706.5141509417</v>
      </c>
    </row>
    <row r="201" spans="2:21">
      <c r="B201" s="57" t="s">
        <v>269</v>
      </c>
      <c r="C201" s="101" t="s">
        <v>165</v>
      </c>
      <c r="D201" s="101" t="s">
        <v>3</v>
      </c>
      <c r="E201" s="101" t="s">
        <v>132</v>
      </c>
      <c r="F201" s="101" t="s">
        <v>132</v>
      </c>
      <c r="G201" s="101" t="s">
        <v>132</v>
      </c>
      <c r="H201" s="101" t="s">
        <v>135</v>
      </c>
      <c r="I201" s="55">
        <f t="shared" si="5"/>
        <v>273139740.90305042</v>
      </c>
      <c r="J201" s="55">
        <f t="shared" si="7"/>
        <v>24768931.441416152</v>
      </c>
      <c r="K201" s="55">
        <f t="shared" si="7"/>
        <v>26626082.622502003</v>
      </c>
      <c r="L201" s="55">
        <f t="shared" si="7"/>
        <v>23043872.352990165</v>
      </c>
      <c r="M201" s="55">
        <f t="shared" si="7"/>
        <v>20099703.127281651</v>
      </c>
      <c r="N201" s="55">
        <f t="shared" si="7"/>
        <v>20866667.260668457</v>
      </c>
      <c r="O201" s="55">
        <f t="shared" si="7"/>
        <v>24401502.650777474</v>
      </c>
      <c r="P201" s="55">
        <f t="shared" si="7"/>
        <v>26699423.893846143</v>
      </c>
      <c r="Q201" s="55">
        <f t="shared" si="7"/>
        <v>24540287.138113283</v>
      </c>
      <c r="R201" s="55">
        <f t="shared" si="7"/>
        <v>22284442.187855355</v>
      </c>
      <c r="S201" s="55">
        <f t="shared" si="7"/>
        <v>19874162.748844311</v>
      </c>
      <c r="T201" s="55">
        <f t="shared" si="7"/>
        <v>20093266.252682593</v>
      </c>
      <c r="U201" s="55">
        <f t="shared" si="7"/>
        <v>19841399.226072818</v>
      </c>
    </row>
    <row r="202" spans="2:21">
      <c r="B202" s="57" t="s">
        <v>269</v>
      </c>
      <c r="C202" s="101" t="s">
        <v>165</v>
      </c>
      <c r="D202" s="101" t="s">
        <v>3</v>
      </c>
      <c r="E202" s="101" t="s">
        <v>132</v>
      </c>
      <c r="F202" s="101" t="s">
        <v>132</v>
      </c>
      <c r="G202" s="101" t="s">
        <v>132</v>
      </c>
      <c r="H202" s="101" t="s">
        <v>218</v>
      </c>
      <c r="I202" s="55">
        <f t="shared" si="5"/>
        <v>109295839.57231574</v>
      </c>
      <c r="J202" s="55">
        <f t="shared" si="7"/>
        <v>12546663.590384986</v>
      </c>
      <c r="K202" s="55">
        <f t="shared" si="7"/>
        <v>14013992.317186594</v>
      </c>
      <c r="L202" s="55">
        <f t="shared" si="7"/>
        <v>10334429.968186872</v>
      </c>
      <c r="M202" s="55">
        <f t="shared" si="7"/>
        <v>8459534.9535600282</v>
      </c>
      <c r="N202" s="55">
        <f t="shared" si="7"/>
        <v>7782592.689687781</v>
      </c>
      <c r="O202" s="55">
        <f t="shared" si="7"/>
        <v>9717465.4612522423</v>
      </c>
      <c r="P202" s="55">
        <f t="shared" si="7"/>
        <v>10625525.124650419</v>
      </c>
      <c r="Q202" s="55">
        <f t="shared" si="7"/>
        <v>8484360.8232057579</v>
      </c>
      <c r="R202" s="55">
        <f t="shared" si="7"/>
        <v>7216823.8635690371</v>
      </c>
      <c r="S202" s="55">
        <f t="shared" si="7"/>
        <v>6259234.2094146591</v>
      </c>
      <c r="T202" s="55">
        <f t="shared" si="7"/>
        <v>6468694.8026066311</v>
      </c>
      <c r="U202" s="55">
        <f t="shared" si="7"/>
        <v>7386521.7686107475</v>
      </c>
    </row>
    <row r="203" spans="2:21">
      <c r="B203" s="57" t="s">
        <v>269</v>
      </c>
      <c r="C203" s="101" t="s">
        <v>165</v>
      </c>
      <c r="D203" s="101" t="s">
        <v>5</v>
      </c>
      <c r="E203" s="101" t="s">
        <v>132</v>
      </c>
      <c r="F203" s="101" t="s">
        <v>132</v>
      </c>
      <c r="G203" s="101" t="s">
        <v>132</v>
      </c>
      <c r="H203" s="101" t="s">
        <v>134</v>
      </c>
      <c r="I203" s="55">
        <f t="shared" ref="I203:I207" si="8">SUM(J203:V203)</f>
        <v>2936892.8839031216</v>
      </c>
      <c r="J203" s="55">
        <f t="shared" si="7"/>
        <v>252888.57595493749</v>
      </c>
      <c r="K203" s="55">
        <f t="shared" si="7"/>
        <v>251012.23376166172</v>
      </c>
      <c r="L203" s="55">
        <f t="shared" si="7"/>
        <v>244532.12462594616</v>
      </c>
      <c r="M203" s="55">
        <f t="shared" si="7"/>
        <v>235201.28498503787</v>
      </c>
      <c r="N203" s="55">
        <f t="shared" si="7"/>
        <v>240304.78788945609</v>
      </c>
      <c r="O203" s="55">
        <f t="shared" si="7"/>
        <v>252332.95194508013</v>
      </c>
      <c r="P203" s="55">
        <f t="shared" si="7"/>
        <v>256061.40364699674</v>
      </c>
      <c r="Q203" s="55">
        <f t="shared" si="7"/>
        <v>251647.03726368514</v>
      </c>
      <c r="R203" s="55">
        <f t="shared" si="7"/>
        <v>243442.17263756771</v>
      </c>
      <c r="S203" s="55">
        <f t="shared" si="7"/>
        <v>237335.05200462262</v>
      </c>
      <c r="T203" s="55">
        <f t="shared" si="7"/>
        <v>236901.7009408325</v>
      </c>
      <c r="U203" s="55">
        <f t="shared" si="7"/>
        <v>235233.55824729701</v>
      </c>
    </row>
    <row r="204" spans="2:21">
      <c r="B204" s="57" t="s">
        <v>269</v>
      </c>
      <c r="C204" s="101" t="s">
        <v>165</v>
      </c>
      <c r="D204" s="101" t="s">
        <v>5</v>
      </c>
      <c r="E204" s="101" t="s">
        <v>132</v>
      </c>
      <c r="F204" s="101" t="s">
        <v>132</v>
      </c>
      <c r="G204" s="101" t="s">
        <v>132</v>
      </c>
      <c r="H204" s="101" t="s">
        <v>135</v>
      </c>
      <c r="I204" s="55">
        <f t="shared" si="8"/>
        <v>8697585.3458522987</v>
      </c>
      <c r="J204" s="55">
        <f t="shared" si="7"/>
        <v>752125.68584917695</v>
      </c>
      <c r="K204" s="55">
        <f t="shared" si="7"/>
        <v>760075.92190889374</v>
      </c>
      <c r="L204" s="55">
        <f t="shared" si="7"/>
        <v>692491.76980987634</v>
      </c>
      <c r="M204" s="55">
        <f t="shared" si="7"/>
        <v>643649.22802092636</v>
      </c>
      <c r="N204" s="55">
        <f t="shared" si="7"/>
        <v>684944.74926630082</v>
      </c>
      <c r="O204" s="55">
        <f t="shared" si="7"/>
        <v>794939.00727319124</v>
      </c>
      <c r="P204" s="55">
        <f t="shared" si="7"/>
        <v>885341.76161930081</v>
      </c>
      <c r="Q204" s="55">
        <f t="shared" si="7"/>
        <v>813995.35416953149</v>
      </c>
      <c r="R204" s="55">
        <f t="shared" si="7"/>
        <v>745667.27084412193</v>
      </c>
      <c r="S204" s="55">
        <f t="shared" si="7"/>
        <v>675856.42154324171</v>
      </c>
      <c r="T204" s="55">
        <f t="shared" si="7"/>
        <v>642916.47545657924</v>
      </c>
      <c r="U204" s="55">
        <f t="shared" si="7"/>
        <v>605581.70009115746</v>
      </c>
    </row>
    <row r="205" spans="2:21">
      <c r="B205" s="57" t="s">
        <v>269</v>
      </c>
      <c r="C205" s="101" t="s">
        <v>165</v>
      </c>
      <c r="D205" s="101" t="s">
        <v>5</v>
      </c>
      <c r="E205" s="101" t="s">
        <v>132</v>
      </c>
      <c r="F205" s="101" t="s">
        <v>132</v>
      </c>
      <c r="G205" s="101" t="s">
        <v>132</v>
      </c>
      <c r="H205" s="101" t="s">
        <v>218</v>
      </c>
      <c r="I205" s="55">
        <f t="shared" si="8"/>
        <v>3467787.0508055836</v>
      </c>
      <c r="J205" s="55">
        <f t="shared" si="7"/>
        <v>297350.05467468564</v>
      </c>
      <c r="K205" s="55">
        <f t="shared" si="7"/>
        <v>326696.00874794973</v>
      </c>
      <c r="L205" s="55">
        <f t="shared" si="7"/>
        <v>305237.01476216514</v>
      </c>
      <c r="M205" s="55">
        <f t="shared" si="7"/>
        <v>276133.8162930563</v>
      </c>
      <c r="N205" s="55">
        <f t="shared" si="7"/>
        <v>260851.14816839801</v>
      </c>
      <c r="O205" s="55">
        <f t="shared" si="7"/>
        <v>377989.20174958993</v>
      </c>
      <c r="P205" s="55">
        <f t="shared" si="7"/>
        <v>438098.00367184961</v>
      </c>
      <c r="Q205" s="55">
        <f t="shared" si="7"/>
        <v>317082.05197366659</v>
      </c>
      <c r="R205" s="55">
        <f t="shared" si="7"/>
        <v>236600.02776620854</v>
      </c>
      <c r="S205" s="55">
        <f t="shared" si="7"/>
        <v>216683.18756073859</v>
      </c>
      <c r="T205" s="55">
        <f t="shared" si="7"/>
        <v>195566.35372921964</v>
      </c>
      <c r="U205" s="55">
        <f t="shared" si="7"/>
        <v>219500.18170805572</v>
      </c>
    </row>
    <row r="206" spans="2:21">
      <c r="B206" s="57" t="s">
        <v>269</v>
      </c>
      <c r="C206" s="101" t="s">
        <v>215</v>
      </c>
      <c r="D206" s="101" t="s">
        <v>2</v>
      </c>
      <c r="E206" s="101" t="s">
        <v>113</v>
      </c>
      <c r="F206" s="101" t="s">
        <v>132</v>
      </c>
      <c r="G206" s="101" t="s">
        <v>132</v>
      </c>
      <c r="H206" s="101" t="s">
        <v>134</v>
      </c>
      <c r="I206" s="55">
        <f t="shared" si="8"/>
        <v>1479518.9669764682</v>
      </c>
      <c r="J206" s="55">
        <f t="shared" si="7"/>
        <v>107839.97997663941</v>
      </c>
      <c r="K206" s="55">
        <f t="shared" si="7"/>
        <v>110079.92658101118</v>
      </c>
      <c r="L206" s="55">
        <f t="shared" si="7"/>
        <v>96480.060070081759</v>
      </c>
      <c r="M206" s="55">
        <f t="shared" si="7"/>
        <v>87839.979976639414</v>
      </c>
      <c r="N206" s="55">
        <f t="shared" si="7"/>
        <v>91440.013348907058</v>
      </c>
      <c r="O206" s="55">
        <f t="shared" si="7"/>
        <v>112160.02002336059</v>
      </c>
      <c r="P206" s="55">
        <f t="shared" si="7"/>
        <v>160000</v>
      </c>
      <c r="Q206" s="55">
        <f t="shared" si="7"/>
        <v>159998.97441116284</v>
      </c>
      <c r="R206" s="55">
        <f t="shared" si="7"/>
        <v>166320.07479177293</v>
      </c>
      <c r="S206" s="55">
        <f t="shared" si="7"/>
        <v>134799.93200747919</v>
      </c>
      <c r="T206" s="55">
        <f t="shared" si="7"/>
        <v>129600.09230707766</v>
      </c>
      <c r="U206" s="55">
        <f t="shared" si="7"/>
        <v>122959.91348233599</v>
      </c>
    </row>
    <row r="207" spans="2:21">
      <c r="B207" s="57" t="s">
        <v>269</v>
      </c>
      <c r="C207" s="101" t="s">
        <v>215</v>
      </c>
      <c r="D207" s="101" t="s">
        <v>2</v>
      </c>
      <c r="E207" s="101" t="s">
        <v>113</v>
      </c>
      <c r="F207" s="101" t="s">
        <v>132</v>
      </c>
      <c r="G207" s="101" t="s">
        <v>132</v>
      </c>
      <c r="H207" s="101" t="s">
        <v>135</v>
      </c>
      <c r="I207" s="55">
        <f t="shared" si="8"/>
        <v>811580.59804120462</v>
      </c>
      <c r="J207" s="55">
        <f t="shared" si="7"/>
        <v>43059.916226552537</v>
      </c>
      <c r="K207" s="55">
        <f t="shared" si="7"/>
        <v>35199.963576761977</v>
      </c>
      <c r="L207" s="55">
        <f t="shared" si="7"/>
        <v>36199.963576761977</v>
      </c>
      <c r="M207" s="55">
        <f t="shared" si="7"/>
        <v>30199.963576761973</v>
      </c>
      <c r="N207" s="55">
        <f t="shared" si="7"/>
        <v>60800.036423238031</v>
      </c>
      <c r="O207" s="55">
        <f t="shared" si="7"/>
        <v>101979.96721908577</v>
      </c>
      <c r="P207" s="55">
        <f t="shared" si="7"/>
        <v>150899.83609542888</v>
      </c>
      <c r="Q207" s="55">
        <f t="shared" si="7"/>
        <v>94440.96360684956</v>
      </c>
      <c r="R207" s="55">
        <f t="shared" si="7"/>
        <v>81199.962832187332</v>
      </c>
      <c r="S207" s="55">
        <f t="shared" si="7"/>
        <v>69800.037167812683</v>
      </c>
      <c r="T207" s="55">
        <f t="shared" si="7"/>
        <v>63799.987739763965</v>
      </c>
      <c r="U207" s="55">
        <f t="shared" si="7"/>
        <v>44000</v>
      </c>
    </row>
    <row r="208" spans="2:21">
      <c r="B208" s="57" t="s">
        <v>269</v>
      </c>
      <c r="C208" s="101" t="s">
        <v>215</v>
      </c>
      <c r="D208" s="101" t="s">
        <v>3</v>
      </c>
      <c r="E208" s="101" t="s">
        <v>113</v>
      </c>
      <c r="F208" s="101" t="s">
        <v>132</v>
      </c>
      <c r="G208" s="101" t="s">
        <v>132</v>
      </c>
      <c r="H208" s="101" t="s">
        <v>134</v>
      </c>
      <c r="I208" s="55">
        <f t="shared" ref="I208:I217" si="9">SUM(J208:V208)</f>
        <v>366995069.57076186</v>
      </c>
      <c r="J208" s="55">
        <f t="shared" si="7"/>
        <v>28469477.308910172</v>
      </c>
      <c r="K208" s="55">
        <f t="shared" si="7"/>
        <v>30542230.541089352</v>
      </c>
      <c r="L208" s="55">
        <f t="shared" si="7"/>
        <v>32023201.250412263</v>
      </c>
      <c r="M208" s="55">
        <f t="shared" si="7"/>
        <v>31920488.39312603</v>
      </c>
      <c r="N208" s="55">
        <f t="shared" si="7"/>
        <v>31437526.971320581</v>
      </c>
      <c r="O208" s="55">
        <f t="shared" si="7"/>
        <v>31689242.935409028</v>
      </c>
      <c r="P208" s="55">
        <f t="shared" si="7"/>
        <v>30815812.787537012</v>
      </c>
      <c r="Q208" s="55">
        <f t="shared" si="7"/>
        <v>30685521.400300626</v>
      </c>
      <c r="R208" s="55">
        <f t="shared" si="7"/>
        <v>30439140.668190736</v>
      </c>
      <c r="S208" s="55">
        <f t="shared" si="7"/>
        <v>29088652.292769294</v>
      </c>
      <c r="T208" s="55">
        <f t="shared" si="7"/>
        <v>30166787.883841891</v>
      </c>
      <c r="U208" s="55">
        <f t="shared" si="7"/>
        <v>29716987.137854874</v>
      </c>
    </row>
    <row r="209" spans="2:21">
      <c r="B209" s="57" t="s">
        <v>269</v>
      </c>
      <c r="C209" s="101" t="s">
        <v>215</v>
      </c>
      <c r="D209" s="101" t="s">
        <v>3</v>
      </c>
      <c r="E209" s="101" t="s">
        <v>113</v>
      </c>
      <c r="F209" s="101" t="s">
        <v>132</v>
      </c>
      <c r="G209" s="101" t="s">
        <v>132</v>
      </c>
      <c r="H209" s="101" t="s">
        <v>135</v>
      </c>
      <c r="I209" s="55">
        <f t="shared" si="9"/>
        <v>459402853.69111091</v>
      </c>
      <c r="J209" s="55">
        <f t="shared" si="7"/>
        <v>39997245.577450633</v>
      </c>
      <c r="K209" s="55">
        <f t="shared" si="7"/>
        <v>42553279.084936805</v>
      </c>
      <c r="L209" s="55">
        <f t="shared" si="7"/>
        <v>43643200.782569766</v>
      </c>
      <c r="M209" s="55">
        <f t="shared" si="7"/>
        <v>45132551.979388952</v>
      </c>
      <c r="N209" s="55">
        <f t="shared" si="7"/>
        <v>43388447.834990837</v>
      </c>
      <c r="O209" s="55">
        <f t="shared" si="7"/>
        <v>43718453.493503526</v>
      </c>
      <c r="P209" s="55">
        <f t="shared" si="7"/>
        <v>39475548.216719836</v>
      </c>
      <c r="Q209" s="55">
        <f t="shared" si="7"/>
        <v>34965967.11781095</v>
      </c>
      <c r="R209" s="55">
        <f t="shared" si="7"/>
        <v>32950601.364437208</v>
      </c>
      <c r="S209" s="55">
        <f t="shared" si="7"/>
        <v>30107174.36578574</v>
      </c>
      <c r="T209" s="55">
        <f t="shared" si="7"/>
        <v>30629951.86277131</v>
      </c>
      <c r="U209" s="55">
        <f t="shared" si="7"/>
        <v>32840432.010745272</v>
      </c>
    </row>
    <row r="210" spans="2:21">
      <c r="B210" s="57" t="s">
        <v>269</v>
      </c>
      <c r="C210" s="101" t="s">
        <v>215</v>
      </c>
      <c r="D210" s="101" t="s">
        <v>3</v>
      </c>
      <c r="E210" s="101" t="s">
        <v>114</v>
      </c>
      <c r="F210" s="101" t="s">
        <v>132</v>
      </c>
      <c r="G210" s="101" t="s">
        <v>132</v>
      </c>
      <c r="H210" s="101" t="s">
        <v>134</v>
      </c>
      <c r="I210" s="55">
        <f t="shared" si="9"/>
        <v>3622258.3859375762</v>
      </c>
      <c r="J210" s="55">
        <f t="shared" si="7"/>
        <v>265480.55074408127</v>
      </c>
      <c r="K210" s="55">
        <f t="shared" si="7"/>
        <v>280290.81119274034</v>
      </c>
      <c r="L210" s="55">
        <f t="shared" si="7"/>
        <v>298193.83732137299</v>
      </c>
      <c r="M210" s="55">
        <f t="shared" si="7"/>
        <v>317271.95778887189</v>
      </c>
      <c r="N210" s="55">
        <f t="shared" si="7"/>
        <v>332946.51820457965</v>
      </c>
      <c r="O210" s="55">
        <f t="shared" si="7"/>
        <v>312516.51051786228</v>
      </c>
      <c r="P210" s="55">
        <f t="shared" si="7"/>
        <v>300466.62912186503</v>
      </c>
      <c r="Q210" s="55">
        <f t="shared" si="7"/>
        <v>306208.65925504087</v>
      </c>
      <c r="R210" s="55">
        <f t="shared" si="7"/>
        <v>302100.71912786749</v>
      </c>
      <c r="S210" s="55">
        <f t="shared" si="7"/>
        <v>281016.76815818029</v>
      </c>
      <c r="T210" s="55">
        <f t="shared" si="7"/>
        <v>342814.78487295238</v>
      </c>
      <c r="U210" s="55">
        <f t="shared" si="7"/>
        <v>282950.63963216229</v>
      </c>
    </row>
    <row r="211" spans="2:21">
      <c r="B211" s="57" t="s">
        <v>269</v>
      </c>
      <c r="C211" s="101" t="s">
        <v>215</v>
      </c>
      <c r="D211" s="101" t="s">
        <v>3</v>
      </c>
      <c r="E211" s="101" t="s">
        <v>114</v>
      </c>
      <c r="F211" s="101" t="s">
        <v>132</v>
      </c>
      <c r="G211" s="101" t="s">
        <v>132</v>
      </c>
      <c r="H211" s="101" t="s">
        <v>135</v>
      </c>
      <c r="I211" s="55">
        <f t="shared" si="9"/>
        <v>6659534.4338027984</v>
      </c>
      <c r="J211" s="55">
        <f t="shared" si="7"/>
        <v>592784.4981130719</v>
      </c>
      <c r="K211" s="55">
        <f t="shared" si="7"/>
        <v>724879.87352734676</v>
      </c>
      <c r="L211" s="55">
        <f t="shared" si="7"/>
        <v>680723.17087583872</v>
      </c>
      <c r="M211" s="55">
        <f t="shared" si="7"/>
        <v>565612.18220175814</v>
      </c>
      <c r="N211" s="55">
        <f t="shared" si="7"/>
        <v>601753.74794206885</v>
      </c>
      <c r="O211" s="55">
        <f t="shared" si="7"/>
        <v>604163.61948082666</v>
      </c>
      <c r="P211" s="55">
        <f t="shared" si="7"/>
        <v>584023.99232146109</v>
      </c>
      <c r="Q211" s="55">
        <f t="shared" si="7"/>
        <v>515058.94115434354</v>
      </c>
      <c r="R211" s="55">
        <f t="shared" si="7"/>
        <v>448109.74501661188</v>
      </c>
      <c r="S211" s="55">
        <f t="shared" si="7"/>
        <v>419776.68837134732</v>
      </c>
      <c r="T211" s="55">
        <f t="shared" si="7"/>
        <v>505635.81309833546</v>
      </c>
      <c r="U211" s="55">
        <f t="shared" si="7"/>
        <v>417012.16169978713</v>
      </c>
    </row>
    <row r="212" spans="2:21">
      <c r="B212" s="57" t="s">
        <v>269</v>
      </c>
      <c r="C212" s="101" t="s">
        <v>215</v>
      </c>
      <c r="D212" s="101" t="s">
        <v>5</v>
      </c>
      <c r="E212" s="101" t="s">
        <v>113</v>
      </c>
      <c r="F212" s="101" t="s">
        <v>132</v>
      </c>
      <c r="G212" s="101" t="s">
        <v>132</v>
      </c>
      <c r="H212" s="101" t="s">
        <v>134</v>
      </c>
      <c r="I212" s="55">
        <f t="shared" si="9"/>
        <v>34551148.671501786</v>
      </c>
      <c r="J212" s="55">
        <f t="shared" si="7"/>
        <v>2936839.479392624</v>
      </c>
      <c r="K212" s="55">
        <f t="shared" si="7"/>
        <v>2966379.6095444681</v>
      </c>
      <c r="L212" s="55">
        <f t="shared" si="7"/>
        <v>3054000.1668613381</v>
      </c>
      <c r="M212" s="55">
        <f t="shared" si="7"/>
        <v>3262440.1802102453</v>
      </c>
      <c r="N212" s="55">
        <f t="shared" si="7"/>
        <v>2912459.8698481573</v>
      </c>
      <c r="O212" s="55">
        <f t="shared" si="7"/>
        <v>2878620.0567328553</v>
      </c>
      <c r="P212" s="55">
        <f t="shared" si="7"/>
        <v>2757495.5424084053</v>
      </c>
      <c r="Q212" s="55">
        <f t="shared" si="7"/>
        <v>2776444.5634757914</v>
      </c>
      <c r="R212" s="55">
        <f t="shared" si="7"/>
        <v>2760980.1121876589</v>
      </c>
      <c r="S212" s="55">
        <f t="shared" si="7"/>
        <v>2738139.7246302902</v>
      </c>
      <c r="T212" s="55">
        <f t="shared" si="7"/>
        <v>2772709.1354961772</v>
      </c>
      <c r="U212" s="55">
        <f t="shared" si="7"/>
        <v>2734640.2307137721</v>
      </c>
    </row>
    <row r="213" spans="2:21">
      <c r="B213" s="57" t="s">
        <v>269</v>
      </c>
      <c r="C213" s="101" t="s">
        <v>215</v>
      </c>
      <c r="D213" s="101" t="s">
        <v>5</v>
      </c>
      <c r="E213" s="101" t="s">
        <v>113</v>
      </c>
      <c r="F213" s="101" t="s">
        <v>132</v>
      </c>
      <c r="G213" s="101" t="s">
        <v>132</v>
      </c>
      <c r="H213" s="101" t="s">
        <v>135</v>
      </c>
      <c r="I213" s="55">
        <f t="shared" si="9"/>
        <v>52700866.28859859</v>
      </c>
      <c r="J213" s="55">
        <f t="shared" si="7"/>
        <v>4514520.1238390096</v>
      </c>
      <c r="K213" s="55">
        <f t="shared" si="7"/>
        <v>4705560.5536332168</v>
      </c>
      <c r="L213" s="55">
        <f t="shared" si="7"/>
        <v>4810940.4480058271</v>
      </c>
      <c r="M213" s="55">
        <f t="shared" si="7"/>
        <v>5712160.8085958855</v>
      </c>
      <c r="N213" s="55">
        <f t="shared" si="7"/>
        <v>4679039.7013294464</v>
      </c>
      <c r="O213" s="55">
        <f t="shared" si="7"/>
        <v>4530439.6284829723</v>
      </c>
      <c r="P213" s="55">
        <f t="shared" si="7"/>
        <v>3817144.3666615882</v>
      </c>
      <c r="Q213" s="55">
        <f t="shared" si="7"/>
        <v>3952731.3813609476</v>
      </c>
      <c r="R213" s="55">
        <f t="shared" si="7"/>
        <v>4247080.0966363121</v>
      </c>
      <c r="S213" s="55">
        <f t="shared" si="7"/>
        <v>4082599.7026574984</v>
      </c>
      <c r="T213" s="55">
        <f t="shared" si="7"/>
        <v>3878988.9768518135</v>
      </c>
      <c r="U213" s="55">
        <f t="shared" si="7"/>
        <v>3769660.5005440703</v>
      </c>
    </row>
    <row r="214" spans="2:21">
      <c r="B214" s="57" t="s">
        <v>269</v>
      </c>
      <c r="C214" s="101" t="s">
        <v>215</v>
      </c>
      <c r="D214" s="101" t="s">
        <v>5</v>
      </c>
      <c r="E214" s="101" t="s">
        <v>114</v>
      </c>
      <c r="F214" s="101" t="s">
        <v>132</v>
      </c>
      <c r="G214" s="101" t="s">
        <v>132</v>
      </c>
      <c r="H214" s="101" t="s">
        <v>134</v>
      </c>
      <c r="I214" s="55">
        <f t="shared" si="9"/>
        <v>176399.85621714281</v>
      </c>
      <c r="J214" s="55">
        <f t="shared" si="7"/>
        <v>0</v>
      </c>
      <c r="K214" s="55">
        <f t="shared" si="7"/>
        <v>0</v>
      </c>
      <c r="L214" s="55">
        <f t="shared" si="7"/>
        <v>9600.033372267646</v>
      </c>
      <c r="M214" s="55">
        <f t="shared" si="7"/>
        <v>16799.933255464712</v>
      </c>
      <c r="N214" s="55">
        <f t="shared" si="7"/>
        <v>20399.966627732356</v>
      </c>
      <c r="O214" s="55">
        <f t="shared" si="7"/>
        <v>20399.966627732356</v>
      </c>
      <c r="P214" s="55">
        <f t="shared" si="7"/>
        <v>21600.033372267648</v>
      </c>
      <c r="Q214" s="55">
        <f t="shared" si="7"/>
        <v>21600.004753690344</v>
      </c>
      <c r="R214" s="55">
        <f t="shared" si="7"/>
        <v>18000</v>
      </c>
      <c r="S214" s="55">
        <f t="shared" si="7"/>
        <v>16799.932007479179</v>
      </c>
      <c r="T214" s="55">
        <f t="shared" si="7"/>
        <v>14399.986200508571</v>
      </c>
      <c r="U214" s="55">
        <f t="shared" si="7"/>
        <v>16800</v>
      </c>
    </row>
    <row r="215" spans="2:21">
      <c r="B215" s="57" t="s">
        <v>269</v>
      </c>
      <c r="C215" s="101" t="s">
        <v>89</v>
      </c>
      <c r="D215" s="101" t="s">
        <v>116</v>
      </c>
      <c r="E215" s="101" t="s">
        <v>132</v>
      </c>
      <c r="F215" s="101" t="s">
        <v>132</v>
      </c>
      <c r="G215" s="101" t="s">
        <v>132</v>
      </c>
      <c r="H215" s="101" t="s">
        <v>4</v>
      </c>
      <c r="I215" s="55">
        <f t="shared" si="9"/>
        <v>163418487.16573825</v>
      </c>
      <c r="J215" s="55">
        <f t="shared" si="7"/>
        <v>33041946.112585962</v>
      </c>
      <c r="K215" s="55">
        <f t="shared" si="7"/>
        <v>35808654.754743263</v>
      </c>
      <c r="L215" s="55">
        <f t="shared" si="7"/>
        <v>28040255.047279563</v>
      </c>
      <c r="M215" s="55">
        <f t="shared" si="7"/>
        <v>15839209.477030998</v>
      </c>
      <c r="N215" s="55">
        <f t="shared" si="7"/>
        <v>4608879.0935672494</v>
      </c>
      <c r="O215" s="55">
        <f t="shared" si="7"/>
        <v>850167.54385965201</v>
      </c>
      <c r="P215" s="55">
        <f t="shared" si="7"/>
        <v>552067.93524566945</v>
      </c>
      <c r="Q215" s="55">
        <f t="shared" si="7"/>
        <v>532671.36329890345</v>
      </c>
      <c r="R215" s="55">
        <f t="shared" si="7"/>
        <v>2522598.9775631865</v>
      </c>
      <c r="S215" s="55">
        <f t="shared" ref="K215:U230" si="10">SUMIFS(S$149:S$187,$C$149:$C$187,$C215,$D$149:$D$187,$D215,$E$149:$E$187,$E215,$H$149:$H$187,$H215)+SUMIFS(S$189:S$193,$C$189:$C$193,$C215,$D$189:$D$193,$D215)*SUMIFS(S$149:S$187,$C$149:$C$187,$C215,$D$149:$D$187,$D215,$E$149:$E$187,$E215,$H$149:$H$187,$H215)/SUMIFS(S$149:S$187,$C$149:$C$187,$C215,$D$149:$D$187,$D215)</f>
        <v>9347050.6958250329</v>
      </c>
      <c r="T215" s="55">
        <f t="shared" si="10"/>
        <v>13853726.250913836</v>
      </c>
      <c r="U215" s="55">
        <f t="shared" si="10"/>
        <v>18421259.913824938</v>
      </c>
    </row>
    <row r="216" spans="2:21">
      <c r="B216" s="57" t="s">
        <v>269</v>
      </c>
      <c r="C216" s="101" t="s">
        <v>188</v>
      </c>
      <c r="D216" s="101" t="s">
        <v>5</v>
      </c>
      <c r="E216" s="101" t="s">
        <v>113</v>
      </c>
      <c r="F216" s="101" t="s">
        <v>132</v>
      </c>
      <c r="G216" s="101" t="s">
        <v>132</v>
      </c>
      <c r="H216" s="101" t="s">
        <v>144</v>
      </c>
      <c r="I216" s="55">
        <f t="shared" si="9"/>
        <v>750000</v>
      </c>
      <c r="J216" s="55">
        <f t="shared" si="7"/>
        <v>60000</v>
      </c>
      <c r="K216" s="55">
        <f t="shared" si="10"/>
        <v>70000</v>
      </c>
      <c r="L216" s="55">
        <f t="shared" si="10"/>
        <v>68000</v>
      </c>
      <c r="M216" s="55">
        <f t="shared" si="10"/>
        <v>67000</v>
      </c>
      <c r="N216" s="55">
        <f t="shared" si="10"/>
        <v>63000</v>
      </c>
      <c r="O216" s="55">
        <f t="shared" si="10"/>
        <v>55000.000000000007</v>
      </c>
      <c r="P216" s="55">
        <f t="shared" si="10"/>
        <v>153000</v>
      </c>
      <c r="Q216" s="55">
        <f t="shared" si="10"/>
        <v>46000.000000000007</v>
      </c>
      <c r="R216" s="55">
        <f t="shared" si="10"/>
        <v>52000</v>
      </c>
      <c r="S216" s="55">
        <f t="shared" si="10"/>
        <v>36000</v>
      </c>
      <c r="T216" s="55">
        <f t="shared" si="10"/>
        <v>43999.999999999993</v>
      </c>
      <c r="U216" s="55">
        <f t="shared" si="10"/>
        <v>35999.999999999993</v>
      </c>
    </row>
    <row r="217" spans="2:21">
      <c r="B217" s="57" t="s">
        <v>269</v>
      </c>
      <c r="C217" s="101" t="s">
        <v>188</v>
      </c>
      <c r="D217" s="101" t="s">
        <v>5</v>
      </c>
      <c r="E217" s="101" t="s">
        <v>113</v>
      </c>
      <c r="F217" s="101" t="s">
        <v>132</v>
      </c>
      <c r="G217" s="101" t="s">
        <v>132</v>
      </c>
      <c r="H217" s="101" t="s">
        <v>145</v>
      </c>
      <c r="I217" s="55">
        <f t="shared" si="9"/>
        <v>927000</v>
      </c>
      <c r="J217" s="55">
        <f t="shared" si="7"/>
        <v>62999.999999999993</v>
      </c>
      <c r="K217" s="55">
        <f t="shared" si="10"/>
        <v>103000</v>
      </c>
      <c r="L217" s="55">
        <f t="shared" si="10"/>
        <v>102000</v>
      </c>
      <c r="M217" s="55">
        <f t="shared" si="10"/>
        <v>52000</v>
      </c>
      <c r="N217" s="55">
        <f t="shared" si="10"/>
        <v>74000</v>
      </c>
      <c r="O217" s="55">
        <f t="shared" si="10"/>
        <v>77000</v>
      </c>
      <c r="P217" s="55">
        <f t="shared" si="10"/>
        <v>219000</v>
      </c>
      <c r="Q217" s="55">
        <f t="shared" si="10"/>
        <v>55000.000000000007</v>
      </c>
      <c r="R217" s="55">
        <f t="shared" si="10"/>
        <v>50000</v>
      </c>
      <c r="S217" s="55">
        <f t="shared" si="10"/>
        <v>35000</v>
      </c>
      <c r="T217" s="55">
        <f t="shared" si="10"/>
        <v>40999.999999999993</v>
      </c>
      <c r="U217" s="55">
        <f t="shared" si="10"/>
        <v>56000</v>
      </c>
    </row>
    <row r="218" spans="2:21">
      <c r="B218" s="57" t="s">
        <v>269</v>
      </c>
      <c r="C218" s="101" t="s">
        <v>109</v>
      </c>
      <c r="D218" s="101" t="s">
        <v>3</v>
      </c>
      <c r="E218" s="101" t="s">
        <v>113</v>
      </c>
      <c r="F218" s="101" t="s">
        <v>132</v>
      </c>
      <c r="G218" s="101" t="s">
        <v>132</v>
      </c>
      <c r="H218" s="101" t="s">
        <v>144</v>
      </c>
      <c r="I218" s="55">
        <f t="shared" ref="I218:I230" si="11">SUM(J218:V218)</f>
        <v>49153349.825124249</v>
      </c>
      <c r="J218" s="55">
        <f t="shared" si="7"/>
        <v>4270312.2184463236</v>
      </c>
      <c r="K218" s="55">
        <f t="shared" si="10"/>
        <v>4163186.7124442765</v>
      </c>
      <c r="L218" s="55">
        <f t="shared" si="10"/>
        <v>4227159.5454999702</v>
      </c>
      <c r="M218" s="55">
        <f t="shared" si="10"/>
        <v>4644117.2503544381</v>
      </c>
      <c r="N218" s="55">
        <f t="shared" si="10"/>
        <v>4933080.7694660686</v>
      </c>
      <c r="O218" s="55">
        <f t="shared" si="10"/>
        <v>4703424.7381990533</v>
      </c>
      <c r="P218" s="55">
        <f t="shared" si="10"/>
        <v>3866734.795827521</v>
      </c>
      <c r="Q218" s="55">
        <f t="shared" si="10"/>
        <v>3773173.9875640604</v>
      </c>
      <c r="R218" s="55">
        <f t="shared" si="10"/>
        <v>3756470.4031548444</v>
      </c>
      <c r="S218" s="55">
        <f t="shared" si="10"/>
        <v>3551793.1836941871</v>
      </c>
      <c r="T218" s="55">
        <f t="shared" si="10"/>
        <v>3619990.2802257468</v>
      </c>
      <c r="U218" s="55">
        <f t="shared" si="10"/>
        <v>3643905.9402477699</v>
      </c>
    </row>
    <row r="219" spans="2:21">
      <c r="B219" s="57" t="s">
        <v>269</v>
      </c>
      <c r="C219" s="101" t="s">
        <v>109</v>
      </c>
      <c r="D219" s="101" t="s">
        <v>3</v>
      </c>
      <c r="E219" s="101" t="s">
        <v>113</v>
      </c>
      <c r="F219" s="101" t="s">
        <v>132</v>
      </c>
      <c r="G219" s="101" t="s">
        <v>132</v>
      </c>
      <c r="H219" s="101" t="s">
        <v>145</v>
      </c>
      <c r="I219" s="55">
        <f t="shared" si="11"/>
        <v>74269628.808923334</v>
      </c>
      <c r="J219" s="55">
        <f t="shared" si="7"/>
        <v>7621264.9719773745</v>
      </c>
      <c r="K219" s="55">
        <f t="shared" si="10"/>
        <v>7486993.5234456984</v>
      </c>
      <c r="L219" s="55">
        <f t="shared" si="10"/>
        <v>7585437.2422985816</v>
      </c>
      <c r="M219" s="55">
        <f t="shared" si="10"/>
        <v>7561345.1140365619</v>
      </c>
      <c r="N219" s="55">
        <f t="shared" si="10"/>
        <v>6685261.5302020404</v>
      </c>
      <c r="O219" s="55">
        <f t="shared" si="10"/>
        <v>6461275.5086163962</v>
      </c>
      <c r="P219" s="55">
        <f t="shared" si="10"/>
        <v>5309136.7111109728</v>
      </c>
      <c r="Q219" s="55">
        <f t="shared" si="10"/>
        <v>5157392.3428198453</v>
      </c>
      <c r="R219" s="55">
        <f t="shared" si="10"/>
        <v>5100952.9103743453</v>
      </c>
      <c r="S219" s="55">
        <f t="shared" si="10"/>
        <v>4800024.7477506055</v>
      </c>
      <c r="T219" s="55">
        <f t="shared" si="10"/>
        <v>4876853.0768103683</v>
      </c>
      <c r="U219" s="55">
        <f t="shared" si="10"/>
        <v>5623691.129480538</v>
      </c>
    </row>
    <row r="220" spans="2:21">
      <c r="B220" s="57" t="s">
        <v>269</v>
      </c>
      <c r="C220" s="101" t="s">
        <v>109</v>
      </c>
      <c r="D220" s="101" t="s">
        <v>3</v>
      </c>
      <c r="E220" s="101" t="s">
        <v>114</v>
      </c>
      <c r="F220" s="101" t="s">
        <v>132</v>
      </c>
      <c r="G220" s="101" t="s">
        <v>132</v>
      </c>
      <c r="H220" s="101" t="s">
        <v>144</v>
      </c>
      <c r="I220" s="55">
        <f t="shared" si="11"/>
        <v>20677549.9030241</v>
      </c>
      <c r="J220" s="55">
        <f t="shared" si="7"/>
        <v>1770122.0031491765</v>
      </c>
      <c r="K220" s="55">
        <f t="shared" si="10"/>
        <v>1897537.3375367254</v>
      </c>
      <c r="L220" s="55">
        <f t="shared" si="10"/>
        <v>1631796.7042778896</v>
      </c>
      <c r="M220" s="55">
        <f t="shared" si="10"/>
        <v>1718240.6875087859</v>
      </c>
      <c r="N220" s="55">
        <f t="shared" si="10"/>
        <v>1818443.3800916134</v>
      </c>
      <c r="O220" s="55">
        <f t="shared" si="10"/>
        <v>2007903.6318972025</v>
      </c>
      <c r="P220" s="55">
        <f t="shared" si="10"/>
        <v>1796695.8662231094</v>
      </c>
      <c r="Q220" s="55">
        <f t="shared" si="10"/>
        <v>1750886.6260032021</v>
      </c>
      <c r="R220" s="55">
        <f t="shared" si="10"/>
        <v>1639203.2252104301</v>
      </c>
      <c r="S220" s="55">
        <f t="shared" si="10"/>
        <v>1555572.8020604155</v>
      </c>
      <c r="T220" s="55">
        <f t="shared" si="10"/>
        <v>1570818.2491898802</v>
      </c>
      <c r="U220" s="55">
        <f t="shared" si="10"/>
        <v>1520329.3898756707</v>
      </c>
    </row>
    <row r="221" spans="2:21">
      <c r="B221" s="57" t="s">
        <v>269</v>
      </c>
      <c r="C221" s="101" t="s">
        <v>109</v>
      </c>
      <c r="D221" s="101" t="s">
        <v>3</v>
      </c>
      <c r="E221" s="101" t="s">
        <v>114</v>
      </c>
      <c r="F221" s="101" t="s">
        <v>132</v>
      </c>
      <c r="G221" s="101" t="s">
        <v>132</v>
      </c>
      <c r="H221" s="101" t="s">
        <v>145</v>
      </c>
      <c r="I221" s="55">
        <f t="shared" si="11"/>
        <v>30762665.039901745</v>
      </c>
      <c r="J221" s="55">
        <f t="shared" si="7"/>
        <v>3054664.8207297451</v>
      </c>
      <c r="K221" s="55">
        <f t="shared" si="10"/>
        <v>3278703.3977971091</v>
      </c>
      <c r="L221" s="55">
        <f t="shared" si="10"/>
        <v>2856853.0599652245</v>
      </c>
      <c r="M221" s="55">
        <f t="shared" si="10"/>
        <v>2749004.0745890369</v>
      </c>
      <c r="N221" s="55">
        <f t="shared" si="10"/>
        <v>2439270.922680934</v>
      </c>
      <c r="O221" s="55">
        <f t="shared" si="10"/>
        <v>2697645.6424791683</v>
      </c>
      <c r="P221" s="55">
        <f t="shared" si="10"/>
        <v>2434072.9298178758</v>
      </c>
      <c r="Q221" s="55">
        <f t="shared" si="10"/>
        <v>2367496.8247011681</v>
      </c>
      <c r="R221" s="55">
        <f t="shared" si="10"/>
        <v>2256361.0985533739</v>
      </c>
      <c r="S221" s="55">
        <f t="shared" si="10"/>
        <v>2152173.8920857306</v>
      </c>
      <c r="T221" s="55">
        <f t="shared" si="10"/>
        <v>2174859.5042210501</v>
      </c>
      <c r="U221" s="55">
        <f t="shared" si="10"/>
        <v>2301558.8722813232</v>
      </c>
    </row>
    <row r="222" spans="2:21">
      <c r="B222" s="57" t="s">
        <v>269</v>
      </c>
      <c r="C222" s="101" t="s">
        <v>109</v>
      </c>
      <c r="D222" s="101" t="s">
        <v>5</v>
      </c>
      <c r="E222" s="101" t="s">
        <v>113</v>
      </c>
      <c r="F222" s="101" t="s">
        <v>132</v>
      </c>
      <c r="G222" s="101" t="s">
        <v>132</v>
      </c>
      <c r="H222" s="101" t="s">
        <v>144</v>
      </c>
      <c r="I222" s="55">
        <f t="shared" si="11"/>
        <v>77212653.977065504</v>
      </c>
      <c r="J222" s="55">
        <f t="shared" si="7"/>
        <v>5981099.9818544723</v>
      </c>
      <c r="K222" s="55">
        <f t="shared" si="10"/>
        <v>5502800.2177463248</v>
      </c>
      <c r="L222" s="55">
        <f t="shared" si="10"/>
        <v>5806950.4627109431</v>
      </c>
      <c r="M222" s="55">
        <f t="shared" si="10"/>
        <v>6679700.4173471248</v>
      </c>
      <c r="N222" s="55">
        <f t="shared" si="10"/>
        <v>7459900.0181455277</v>
      </c>
      <c r="O222" s="55">
        <f t="shared" si="10"/>
        <v>6717500.272182907</v>
      </c>
      <c r="P222" s="55">
        <f t="shared" si="10"/>
        <v>6435449.8676014375</v>
      </c>
      <c r="Q222" s="55">
        <f t="shared" si="10"/>
        <v>6593900.9282419104</v>
      </c>
      <c r="R222" s="55">
        <f t="shared" si="10"/>
        <v>6660550.9713228494</v>
      </c>
      <c r="S222" s="55">
        <f t="shared" si="10"/>
        <v>6835050.8788159098</v>
      </c>
      <c r="T222" s="55">
        <f t="shared" si="10"/>
        <v>6671899.8759172084</v>
      </c>
      <c r="U222" s="55">
        <f t="shared" si="10"/>
        <v>5867850.0851788763</v>
      </c>
    </row>
    <row r="223" spans="2:21">
      <c r="B223" s="57" t="s">
        <v>269</v>
      </c>
      <c r="C223" s="101" t="s">
        <v>109</v>
      </c>
      <c r="D223" s="101" t="s">
        <v>5</v>
      </c>
      <c r="E223" s="101" t="s">
        <v>113</v>
      </c>
      <c r="F223" s="101" t="s">
        <v>132</v>
      </c>
      <c r="G223" s="101" t="s">
        <v>132</v>
      </c>
      <c r="H223" s="101" t="s">
        <v>145</v>
      </c>
      <c r="I223" s="55">
        <f t="shared" si="11"/>
        <v>121576649.19191363</v>
      </c>
      <c r="J223" s="55">
        <f t="shared" si="7"/>
        <v>11942100.043687198</v>
      </c>
      <c r="K223" s="55">
        <f t="shared" si="10"/>
        <v>10897600.480559196</v>
      </c>
      <c r="L223" s="55">
        <f t="shared" si="10"/>
        <v>11450200.0873744</v>
      </c>
      <c r="M223" s="55">
        <f t="shared" si="10"/>
        <v>10292150.065530799</v>
      </c>
      <c r="N223" s="55">
        <f t="shared" si="10"/>
        <v>10471200.305810399</v>
      </c>
      <c r="O223" s="55">
        <f t="shared" si="10"/>
        <v>9436850.1529051978</v>
      </c>
      <c r="P223" s="55">
        <f t="shared" si="10"/>
        <v>8911049.9205385335</v>
      </c>
      <c r="Q223" s="55">
        <f t="shared" si="10"/>
        <v>9327799.6660547331</v>
      </c>
      <c r="R223" s="55">
        <f t="shared" si="10"/>
        <v>9346349.7316636853</v>
      </c>
      <c r="S223" s="55">
        <f t="shared" si="10"/>
        <v>9608300.0894454382</v>
      </c>
      <c r="T223" s="55">
        <f t="shared" si="10"/>
        <v>9325749.4086626694</v>
      </c>
      <c r="U223" s="55">
        <f t="shared" si="10"/>
        <v>10567299.239681387</v>
      </c>
    </row>
    <row r="224" spans="2:21">
      <c r="B224" s="57" t="s">
        <v>269</v>
      </c>
      <c r="C224" s="101" t="s">
        <v>109</v>
      </c>
      <c r="D224" s="101" t="s">
        <v>5</v>
      </c>
      <c r="E224" s="101" t="s">
        <v>114</v>
      </c>
      <c r="F224" s="101" t="s">
        <v>132</v>
      </c>
      <c r="G224" s="101" t="s">
        <v>132</v>
      </c>
      <c r="H224" s="101" t="s">
        <v>144</v>
      </c>
      <c r="I224" s="55">
        <f t="shared" si="11"/>
        <v>167400.11911145085</v>
      </c>
      <c r="J224" s="55">
        <f t="shared" si="7"/>
        <v>8999.9999999999982</v>
      </c>
      <c r="K224" s="55">
        <f t="shared" si="10"/>
        <v>8999.9999999999982</v>
      </c>
      <c r="L224" s="55">
        <f t="shared" si="10"/>
        <v>8999.9999999999982</v>
      </c>
      <c r="M224" s="55">
        <f t="shared" si="10"/>
        <v>10800.036690515502</v>
      </c>
      <c r="N224" s="55">
        <f t="shared" si="10"/>
        <v>14399.926618968997</v>
      </c>
      <c r="O224" s="55">
        <f t="shared" si="10"/>
        <v>17999.999999999996</v>
      </c>
      <c r="P224" s="55">
        <f t="shared" si="10"/>
        <v>19800.036690515499</v>
      </c>
      <c r="Q224" s="55">
        <f t="shared" si="10"/>
        <v>18000.142128554435</v>
      </c>
      <c r="R224" s="55">
        <f t="shared" si="10"/>
        <v>18000</v>
      </c>
      <c r="S224" s="55">
        <f t="shared" si="10"/>
        <v>14400</v>
      </c>
      <c r="T224" s="55">
        <f t="shared" si="10"/>
        <v>14400.008247551727</v>
      </c>
      <c r="U224" s="55">
        <f t="shared" si="10"/>
        <v>12599.968735344693</v>
      </c>
    </row>
    <row r="225" spans="2:21">
      <c r="B225" s="57" t="s">
        <v>269</v>
      </c>
      <c r="C225" s="101" t="s">
        <v>109</v>
      </c>
      <c r="D225" s="101" t="s">
        <v>5</v>
      </c>
      <c r="E225" s="101" t="s">
        <v>114</v>
      </c>
      <c r="F225" s="101" t="s">
        <v>132</v>
      </c>
      <c r="G225" s="101" t="s">
        <v>132</v>
      </c>
      <c r="H225" s="101" t="s">
        <v>145</v>
      </c>
      <c r="I225" s="55">
        <f t="shared" si="11"/>
        <v>266399.6814608078</v>
      </c>
      <c r="J225" s="55">
        <f t="shared" si="7"/>
        <v>19799.911465250112</v>
      </c>
      <c r="K225" s="55">
        <f t="shared" si="10"/>
        <v>18000</v>
      </c>
      <c r="L225" s="55">
        <f t="shared" si="10"/>
        <v>19799.911465250112</v>
      </c>
      <c r="M225" s="55">
        <f t="shared" si="10"/>
        <v>21600.044267374946</v>
      </c>
      <c r="N225" s="55">
        <f t="shared" si="10"/>
        <v>19799.911465250112</v>
      </c>
      <c r="O225" s="55">
        <f t="shared" si="10"/>
        <v>25200.088534749888</v>
      </c>
      <c r="P225" s="55">
        <f t="shared" si="10"/>
        <v>28799.911465250112</v>
      </c>
      <c r="Q225" s="55">
        <f t="shared" si="10"/>
        <v>25199.921779588607</v>
      </c>
      <c r="R225" s="55">
        <f t="shared" si="10"/>
        <v>25199.909338168629</v>
      </c>
      <c r="S225" s="55">
        <f t="shared" si="10"/>
        <v>21599.954669084316</v>
      </c>
      <c r="T225" s="55">
        <f t="shared" si="10"/>
        <v>21600.153614062008</v>
      </c>
      <c r="U225" s="55">
        <f t="shared" si="10"/>
        <v>19799.963396778916</v>
      </c>
    </row>
    <row r="226" spans="2:21">
      <c r="B226" s="57" t="s">
        <v>269</v>
      </c>
      <c r="C226" s="101" t="s">
        <v>223</v>
      </c>
      <c r="D226" s="101" t="s">
        <v>5</v>
      </c>
      <c r="E226" s="101" t="s">
        <v>114</v>
      </c>
      <c r="F226" s="101" t="s">
        <v>132</v>
      </c>
      <c r="G226" s="101" t="s">
        <v>132</v>
      </c>
      <c r="H226" s="101" t="s">
        <v>144</v>
      </c>
      <c r="I226" s="55">
        <f t="shared" si="11"/>
        <v>210164400.0636223</v>
      </c>
      <c r="J226" s="55">
        <f t="shared" si="7"/>
        <v>15346799.925691992</v>
      </c>
      <c r="K226" s="55">
        <f t="shared" si="10"/>
        <v>15350399.962845996</v>
      </c>
      <c r="L226" s="55">
        <f t="shared" si="10"/>
        <v>15530399.962845996</v>
      </c>
      <c r="M226" s="55">
        <f t="shared" si="10"/>
        <v>14734799.925691994</v>
      </c>
      <c r="N226" s="55">
        <f t="shared" si="10"/>
        <v>18835200.074308004</v>
      </c>
      <c r="O226" s="55">
        <f t="shared" si="10"/>
        <v>18417600.037154004</v>
      </c>
      <c r="P226" s="55">
        <f t="shared" si="10"/>
        <v>19529999.999999996</v>
      </c>
      <c r="Q226" s="55">
        <f t="shared" si="10"/>
        <v>19339200.074308004</v>
      </c>
      <c r="R226" s="55">
        <f t="shared" si="10"/>
        <v>17888399.9244713</v>
      </c>
      <c r="S226" s="55">
        <f t="shared" si="10"/>
        <v>17830800.037764352</v>
      </c>
      <c r="T226" s="55">
        <f t="shared" si="10"/>
        <v>17859600.0755287</v>
      </c>
      <c r="U226" s="55">
        <f t="shared" si="10"/>
        <v>19501200.063011974</v>
      </c>
    </row>
    <row r="227" spans="2:21">
      <c r="B227" s="57" t="s">
        <v>269</v>
      </c>
      <c r="C227" s="101" t="s">
        <v>223</v>
      </c>
      <c r="D227" s="101" t="s">
        <v>5</v>
      </c>
      <c r="E227" s="101" t="s">
        <v>114</v>
      </c>
      <c r="F227" s="101" t="s">
        <v>132</v>
      </c>
      <c r="G227" s="101" t="s">
        <v>132</v>
      </c>
      <c r="H227" s="101" t="s">
        <v>145</v>
      </c>
      <c r="I227" s="55">
        <f t="shared" si="11"/>
        <v>330066000</v>
      </c>
      <c r="J227" s="55">
        <f t="shared" si="7"/>
        <v>30672000</v>
      </c>
      <c r="K227" s="55">
        <f t="shared" si="10"/>
        <v>30376800.000000004</v>
      </c>
      <c r="L227" s="55">
        <f t="shared" si="10"/>
        <v>31071600</v>
      </c>
      <c r="M227" s="55">
        <f t="shared" si="10"/>
        <v>29523600</v>
      </c>
      <c r="N227" s="55">
        <f t="shared" si="10"/>
        <v>26348400.000000004</v>
      </c>
      <c r="O227" s="55">
        <f t="shared" si="10"/>
        <v>25696800.000000004</v>
      </c>
      <c r="P227" s="55">
        <f t="shared" si="10"/>
        <v>27352800.000000004</v>
      </c>
      <c r="Q227" s="55">
        <f t="shared" si="10"/>
        <v>26928000</v>
      </c>
      <c r="R227" s="55">
        <f t="shared" si="10"/>
        <v>25088399.954159979</v>
      </c>
      <c r="S227" s="55">
        <f t="shared" si="10"/>
        <v>25045200.091680039</v>
      </c>
      <c r="T227" s="55">
        <f t="shared" si="10"/>
        <v>24728399.954159983</v>
      </c>
      <c r="U227" s="55">
        <f t="shared" si="10"/>
        <v>27234000.000000004</v>
      </c>
    </row>
    <row r="228" spans="2:21">
      <c r="B228" s="57" t="s">
        <v>269</v>
      </c>
      <c r="C228" s="101" t="s">
        <v>106</v>
      </c>
      <c r="D228" s="101" t="s">
        <v>2</v>
      </c>
      <c r="E228" s="101" t="s">
        <v>132</v>
      </c>
      <c r="F228" s="101" t="s">
        <v>132</v>
      </c>
      <c r="G228" s="101" t="s">
        <v>132</v>
      </c>
      <c r="H228" s="101" t="s">
        <v>4</v>
      </c>
      <c r="I228" s="55">
        <f t="shared" si="11"/>
        <v>877307.93333333358</v>
      </c>
      <c r="J228" s="55">
        <f t="shared" si="7"/>
        <v>73894.2</v>
      </c>
      <c r="K228" s="55">
        <f t="shared" si="10"/>
        <v>73699.06666666668</v>
      </c>
      <c r="L228" s="55">
        <f t="shared" si="10"/>
        <v>73716.7</v>
      </c>
      <c r="M228" s="55">
        <f t="shared" si="10"/>
        <v>73555.233333333337</v>
      </c>
      <c r="N228" s="55">
        <f t="shared" si="10"/>
        <v>73434.766666666663</v>
      </c>
      <c r="O228" s="55">
        <f t="shared" si="10"/>
        <v>73339.533333333326</v>
      </c>
      <c r="P228" s="55">
        <f t="shared" si="10"/>
        <v>73049.400000000038</v>
      </c>
      <c r="Q228" s="55">
        <f t="shared" si="10"/>
        <v>72374.766666666736</v>
      </c>
      <c r="R228" s="55">
        <f t="shared" si="10"/>
        <v>73170.233333333337</v>
      </c>
      <c r="S228" s="55">
        <f t="shared" si="10"/>
        <v>72954.3</v>
      </c>
      <c r="T228" s="55">
        <f t="shared" si="10"/>
        <v>71307.499999999985</v>
      </c>
      <c r="U228" s="55">
        <f t="shared" si="10"/>
        <v>72812.233333333337</v>
      </c>
    </row>
    <row r="229" spans="2:21">
      <c r="B229" s="57" t="s">
        <v>269</v>
      </c>
      <c r="C229" s="101" t="s">
        <v>106</v>
      </c>
      <c r="D229" s="101" t="s">
        <v>3</v>
      </c>
      <c r="E229" s="101" t="s">
        <v>132</v>
      </c>
      <c r="F229" s="101" t="s">
        <v>132</v>
      </c>
      <c r="G229" s="101" t="s">
        <v>132</v>
      </c>
      <c r="H229" s="101" t="s">
        <v>4</v>
      </c>
      <c r="I229" s="55">
        <f t="shared" si="11"/>
        <v>1836975.6</v>
      </c>
      <c r="J229" s="55">
        <f t="shared" si="7"/>
        <v>153879.56666666665</v>
      </c>
      <c r="K229" s="55">
        <f t="shared" si="10"/>
        <v>153989.93333333332</v>
      </c>
      <c r="L229" s="55">
        <f t="shared" si="10"/>
        <v>153804.93333333335</v>
      </c>
      <c r="M229" s="55">
        <f t="shared" si="10"/>
        <v>153658.09999999998</v>
      </c>
      <c r="N229" s="55">
        <f t="shared" si="10"/>
        <v>153992.23333333328</v>
      </c>
      <c r="O229" s="55">
        <f t="shared" si="10"/>
        <v>153959.80000000002</v>
      </c>
      <c r="P229" s="55">
        <f t="shared" si="10"/>
        <v>152720.13333333342</v>
      </c>
      <c r="Q229" s="55">
        <f t="shared" si="10"/>
        <v>150383.4666666667</v>
      </c>
      <c r="R229" s="55">
        <f t="shared" si="10"/>
        <v>153277.23333333334</v>
      </c>
      <c r="S229" s="55">
        <f t="shared" si="10"/>
        <v>153439.39999999994</v>
      </c>
      <c r="T229" s="55">
        <f t="shared" si="10"/>
        <v>150855.2999999999</v>
      </c>
      <c r="U229" s="55">
        <f t="shared" si="10"/>
        <v>153015.5</v>
      </c>
    </row>
    <row r="230" spans="2:21">
      <c r="B230" s="57" t="s">
        <v>269</v>
      </c>
      <c r="C230" s="101" t="s">
        <v>106</v>
      </c>
      <c r="D230" s="101" t="s">
        <v>5</v>
      </c>
      <c r="E230" s="101" t="s">
        <v>132</v>
      </c>
      <c r="F230" s="101" t="s">
        <v>132</v>
      </c>
      <c r="G230" s="101" t="s">
        <v>132</v>
      </c>
      <c r="H230" s="101" t="s">
        <v>4</v>
      </c>
      <c r="I230" s="55">
        <f t="shared" si="11"/>
        <v>121898.83333333334</v>
      </c>
      <c r="J230" s="55">
        <f t="shared" si="7"/>
        <v>10183</v>
      </c>
      <c r="K230" s="55">
        <f t="shared" si="10"/>
        <v>10183</v>
      </c>
      <c r="L230" s="55">
        <f t="shared" si="10"/>
        <v>10183</v>
      </c>
      <c r="M230" s="55">
        <f t="shared" si="10"/>
        <v>10183</v>
      </c>
      <c r="N230" s="55">
        <f t="shared" si="10"/>
        <v>10183</v>
      </c>
      <c r="O230" s="55">
        <f t="shared" si="10"/>
        <v>10190.6</v>
      </c>
      <c r="P230" s="55">
        <f t="shared" si="10"/>
        <v>10137.700000000001</v>
      </c>
      <c r="Q230" s="55">
        <f t="shared" si="10"/>
        <v>10017.433333333334</v>
      </c>
      <c r="R230" s="55">
        <f t="shared" si="10"/>
        <v>10183</v>
      </c>
      <c r="S230" s="55">
        <f t="shared" si="10"/>
        <v>10238.433333333332</v>
      </c>
      <c r="T230" s="55">
        <f t="shared" si="10"/>
        <v>10009.6</v>
      </c>
      <c r="U230" s="55">
        <f t="shared" si="10"/>
        <v>10207.066666666666</v>
      </c>
    </row>
    <row r="231" spans="2:21">
      <c r="B231" s="57" t="s">
        <v>269</v>
      </c>
      <c r="C231" s="101" t="s">
        <v>107</v>
      </c>
      <c r="D231" s="101" t="s">
        <v>104</v>
      </c>
      <c r="E231" s="101" t="s">
        <v>132</v>
      </c>
      <c r="F231" s="101" t="s">
        <v>132</v>
      </c>
      <c r="G231" s="101" t="s">
        <v>132</v>
      </c>
      <c r="H231" s="101" t="s">
        <v>4</v>
      </c>
      <c r="I231" s="55">
        <f t="shared" ref="I231:I232" si="12">SUM(J231:V231)</f>
        <v>1959801.2666666666</v>
      </c>
      <c r="J231" s="55">
        <f t="shared" si="7"/>
        <v>163006.46666666667</v>
      </c>
      <c r="K231" s="55">
        <f t="shared" ref="K231:U233" si="13">SUMIFS(K$149:K$187,$C$149:$C$187,$C231,$D$149:$D$187,$D231,$E$149:$E$187,$E231,$H$149:$H$187,$H231)+SUMIFS(K$189:K$193,$C$189:$C$193,$C231,$D$189:$D$193,$D231)*SUMIFS(K$149:K$187,$C$149:$C$187,$C231,$D$149:$D$187,$D231,$E$149:$E$187,$E231,$H$149:$H$187,$H231)/SUMIFS(K$149:K$187,$C$149:$C$187,$C231,$D$149:$D$187,$D231)</f>
        <v>163088.66666666666</v>
      </c>
      <c r="L231" s="55">
        <f t="shared" si="13"/>
        <v>162830.33333333331</v>
      </c>
      <c r="M231" s="55">
        <f t="shared" si="13"/>
        <v>162859.96666666665</v>
      </c>
      <c r="N231" s="55">
        <f t="shared" si="13"/>
        <v>163095.83333333334</v>
      </c>
      <c r="O231" s="55">
        <f t="shared" si="13"/>
        <v>164187.66666666669</v>
      </c>
      <c r="P231" s="55">
        <f t="shared" si="13"/>
        <v>162816.1333333333</v>
      </c>
      <c r="Q231" s="55">
        <f t="shared" si="13"/>
        <v>160283.76666666669</v>
      </c>
      <c r="R231" s="55">
        <f t="shared" si="13"/>
        <v>164197.9</v>
      </c>
      <c r="S231" s="55">
        <f t="shared" si="13"/>
        <v>164592.63333333333</v>
      </c>
      <c r="T231" s="55">
        <f t="shared" si="13"/>
        <v>164450.66666666666</v>
      </c>
      <c r="U231" s="55">
        <f t="shared" si="13"/>
        <v>164391.23333333334</v>
      </c>
    </row>
    <row r="232" spans="2:21">
      <c r="B232" s="57" t="s">
        <v>269</v>
      </c>
      <c r="C232" s="101" t="s">
        <v>163</v>
      </c>
      <c r="D232" s="101" t="s">
        <v>104</v>
      </c>
      <c r="E232" s="101" t="s">
        <v>132</v>
      </c>
      <c r="F232" s="101" t="s">
        <v>132</v>
      </c>
      <c r="G232" s="101" t="s">
        <v>132</v>
      </c>
      <c r="H232" s="101" t="s">
        <v>4</v>
      </c>
      <c r="I232" s="55">
        <f t="shared" si="12"/>
        <v>2111889.0151406806</v>
      </c>
      <c r="J232" s="55">
        <f t="shared" si="7"/>
        <v>158363.61702127676</v>
      </c>
      <c r="K232" s="55">
        <f t="shared" si="13"/>
        <v>162842.12765957462</v>
      </c>
      <c r="L232" s="55">
        <f t="shared" si="13"/>
        <v>169489.7872340426</v>
      </c>
      <c r="M232" s="55">
        <f t="shared" si="13"/>
        <v>176370.21276595755</v>
      </c>
      <c r="N232" s="55">
        <f t="shared" si="13"/>
        <v>186075.53191489371</v>
      </c>
      <c r="O232" s="55">
        <f t="shared" si="13"/>
        <v>198288.72340425549</v>
      </c>
      <c r="P232" s="55">
        <f t="shared" si="13"/>
        <v>197496.10062028089</v>
      </c>
      <c r="Q232" s="55">
        <f t="shared" si="13"/>
        <v>187005.58371957624</v>
      </c>
      <c r="R232" s="55">
        <f t="shared" si="13"/>
        <v>178879.33634992465</v>
      </c>
      <c r="S232" s="55">
        <f t="shared" si="13"/>
        <v>171695.3320424766</v>
      </c>
      <c r="T232" s="55">
        <f t="shared" si="13"/>
        <v>164700.59671370871</v>
      </c>
      <c r="U232" s="55">
        <f t="shared" si="13"/>
        <v>160682.06569471274</v>
      </c>
    </row>
    <row r="233" spans="2:21">
      <c r="B233" s="103" t="s">
        <v>269</v>
      </c>
      <c r="C233" s="104" t="s">
        <v>108</v>
      </c>
      <c r="D233" s="104" t="s">
        <v>3</v>
      </c>
      <c r="E233" s="104" t="s">
        <v>132</v>
      </c>
      <c r="F233" s="104" t="s">
        <v>132</v>
      </c>
      <c r="G233" s="104" t="s">
        <v>132</v>
      </c>
      <c r="H233" s="104" t="s">
        <v>4</v>
      </c>
      <c r="I233" s="105">
        <f>SUM(J233:V233)</f>
        <v>312414.5359818064</v>
      </c>
      <c r="J233" s="55">
        <f t="shared" si="7"/>
        <v>23048.088531187124</v>
      </c>
      <c r="K233" s="55">
        <f t="shared" si="13"/>
        <v>18517.303822937629</v>
      </c>
      <c r="L233" s="55">
        <f t="shared" si="13"/>
        <v>14981.891348088531</v>
      </c>
      <c r="M233" s="55">
        <f t="shared" si="13"/>
        <v>24668.008048289736</v>
      </c>
      <c r="N233" s="55">
        <f t="shared" si="13"/>
        <v>32598.189134808854</v>
      </c>
      <c r="O233" s="55">
        <f t="shared" si="13"/>
        <v>27807.042253521126</v>
      </c>
      <c r="P233" s="55">
        <f t="shared" si="13"/>
        <v>27808.113844752465</v>
      </c>
      <c r="Q233" s="55">
        <f t="shared" si="13"/>
        <v>34191.613541325234</v>
      </c>
      <c r="R233" s="55">
        <f t="shared" si="13"/>
        <v>38441.122635753505</v>
      </c>
      <c r="S233" s="55">
        <f t="shared" si="13"/>
        <v>30227.374415293882</v>
      </c>
      <c r="T233" s="55">
        <f t="shared" si="13"/>
        <v>23255.123302816024</v>
      </c>
      <c r="U233" s="55">
        <f t="shared" si="13"/>
        <v>16870.665103032334</v>
      </c>
    </row>
    <row r="234" spans="2:21">
      <c r="B234" s="57"/>
      <c r="C234" s="55"/>
      <c r="D234" s="55"/>
      <c r="E234" s="55"/>
      <c r="F234" s="55"/>
      <c r="G234" s="55"/>
      <c r="H234" s="55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>
      <c r="B235" s="57" t="s">
        <v>269</v>
      </c>
      <c r="C235" s="101" t="s">
        <v>356</v>
      </c>
      <c r="D235" s="55" t="s">
        <v>2</v>
      </c>
      <c r="E235" s="55" t="s">
        <v>132</v>
      </c>
      <c r="F235" s="55" t="s">
        <v>132</v>
      </c>
      <c r="G235" s="55" t="s">
        <v>132</v>
      </c>
      <c r="H235" s="57" t="s">
        <v>268</v>
      </c>
      <c r="I235" s="55">
        <f>SUMIFS(RVN!E:E,RVN!A:A,D235,RVN!B:B,"U")*SUMIFS(I$195:I$233,C$195:C$233,C235,D$195:D$233,D235,E$195:E$233,E235)/SUMIFS(I$195:I$233,D$195:D$233,D235)</f>
        <v>13848912.754029613</v>
      </c>
      <c r="J235" s="55">
        <f>SUMIFS(J$195:J$233,$C$195:$C$233,$C235,$D$195:$D$233,$D235,$E$195:$E$233,$E235)/SUMIFS($I$195:$I$233,$C$195:$C$233,$C235,$D$195:$D$233,$D235,$E$195:$E$233,$E235)*$I235</f>
        <v>1097453.2496810246</v>
      </c>
      <c r="K235" s="55">
        <f t="shared" ref="K235:U235" si="14">SUMIFS(K$195:K$233,$C$195:$C$233,$C235,$D$195:$D$233,$D235,$E$195:$E$233,$E235)/SUMIFS($I$195:$I$233,$C$195:$C$233,$C235,$D$195:$D$233,$D235,$E$195:$E$233,$E235)*$I235</f>
        <v>1194002.9420268666</v>
      </c>
      <c r="L235" s="55">
        <f t="shared" si="14"/>
        <v>914982.28217205743</v>
      </c>
      <c r="M235" s="55">
        <f t="shared" si="14"/>
        <v>805219.29171571182</v>
      </c>
      <c r="N235" s="55">
        <f t="shared" si="14"/>
        <v>1179626.8832673107</v>
      </c>
      <c r="O235" s="55">
        <f t="shared" si="14"/>
        <v>1535687.3091877999</v>
      </c>
      <c r="P235" s="55">
        <f t="shared" si="14"/>
        <v>1738709.5619809011</v>
      </c>
      <c r="Q235" s="55">
        <f t="shared" si="14"/>
        <v>1521458.7276402779</v>
      </c>
      <c r="R235" s="55">
        <f t="shared" si="14"/>
        <v>1321930.6598345567</v>
      </c>
      <c r="S235" s="55">
        <f t="shared" si="14"/>
        <v>841994.12530942063</v>
      </c>
      <c r="T235" s="55">
        <f t="shared" si="14"/>
        <v>885457.90191100817</v>
      </c>
      <c r="U235" s="55">
        <f t="shared" si="14"/>
        <v>812389.81930267799</v>
      </c>
    </row>
    <row r="236" spans="2:21">
      <c r="B236" s="57" t="s">
        <v>269</v>
      </c>
      <c r="C236" s="55" t="s">
        <v>165</v>
      </c>
      <c r="D236" s="55" t="s">
        <v>2</v>
      </c>
      <c r="E236" s="55" t="s">
        <v>132</v>
      </c>
      <c r="F236" s="55" t="s">
        <v>132</v>
      </c>
      <c r="G236" s="55" t="s">
        <v>132</v>
      </c>
      <c r="H236" s="57" t="s">
        <v>268</v>
      </c>
      <c r="I236" s="55">
        <f>SUMIFS(RVN!E:E,RVN!A:A,D236,RVN!B:B,"U")*SUMIFS(I$195:I$233,C$195:C$233,C236,D$195:D$233,D236,E$195:E$233,E236)/SUMIFS(I$195:I$233,D$195:D$233,D236)</f>
        <v>184961.56009356948</v>
      </c>
      <c r="J236" s="55">
        <f t="shared" ref="J236:U256" si="15">SUMIFS(J$195:J$233,$C$195:$C$233,$C236,$D$195:$D$233,$D236,$E$195:$E$233,$E236)/SUMIFS($I$195:$I$233,$C$195:$C$233,$C236,$D$195:$D$233,$D236,$E$195:$E$233,$E236)*$I236</f>
        <v>17559.326863185524</v>
      </c>
      <c r="K236" s="55">
        <f t="shared" si="15"/>
        <v>17440.028609005345</v>
      </c>
      <c r="L236" s="55">
        <f t="shared" si="15"/>
        <v>14605.706528976394</v>
      </c>
      <c r="M236" s="55">
        <f t="shared" si="15"/>
        <v>12244.387741529499</v>
      </c>
      <c r="N236" s="55">
        <f t="shared" si="15"/>
        <v>12499.76454095472</v>
      </c>
      <c r="O236" s="55">
        <f t="shared" si="15"/>
        <v>16426.627361274364</v>
      </c>
      <c r="P236" s="55">
        <f t="shared" si="15"/>
        <v>22323.754311654699</v>
      </c>
      <c r="Q236" s="55">
        <f t="shared" si="15"/>
        <v>19119.707859079092</v>
      </c>
      <c r="R236" s="55">
        <f t="shared" si="15"/>
        <v>15309.566810748254</v>
      </c>
      <c r="S236" s="55">
        <f t="shared" si="15"/>
        <v>12581.999036735697</v>
      </c>
      <c r="T236" s="55">
        <f t="shared" si="15"/>
        <v>12360.202154483843</v>
      </c>
      <c r="U236" s="55">
        <f t="shared" si="15"/>
        <v>12490.488275942047</v>
      </c>
    </row>
    <row r="237" spans="2:21">
      <c r="B237" s="57" t="s">
        <v>269</v>
      </c>
      <c r="C237" s="55" t="s">
        <v>165</v>
      </c>
      <c r="D237" s="55" t="s">
        <v>3</v>
      </c>
      <c r="E237" s="55" t="s">
        <v>132</v>
      </c>
      <c r="F237" s="55" t="s">
        <v>132</v>
      </c>
      <c r="G237" s="55" t="s">
        <v>132</v>
      </c>
      <c r="H237" s="57" t="s">
        <v>268</v>
      </c>
      <c r="I237" s="55">
        <f>SUMIFS(RVN!E:E,RVN!A:A,D237,RVN!B:B,"U")*SUMIFS(I$195:I$233,C$195:C$233,C237,D$195:D$233,D237,E$195:E$233,E237)/SUMIFS(I$195:I$233,D$195:D$233,D237)</f>
        <v>3360124.9887542012</v>
      </c>
      <c r="J237" s="55">
        <f t="shared" si="15"/>
        <v>313010.46352293831</v>
      </c>
      <c r="K237" s="55">
        <f t="shared" si="15"/>
        <v>338968.04821415647</v>
      </c>
      <c r="L237" s="55">
        <f t="shared" si="15"/>
        <v>288668.24549774767</v>
      </c>
      <c r="M237" s="55">
        <f t="shared" si="15"/>
        <v>254217.93842320945</v>
      </c>
      <c r="N237" s="55">
        <f t="shared" si="15"/>
        <v>258256.73216586877</v>
      </c>
      <c r="O237" s="55">
        <f t="shared" si="15"/>
        <v>298506.78385850211</v>
      </c>
      <c r="P237" s="55">
        <f t="shared" si="15"/>
        <v>320026.63068605197</v>
      </c>
      <c r="Q237" s="55">
        <f t="shared" si="15"/>
        <v>290804.33428254892</v>
      </c>
      <c r="R237" s="55">
        <f t="shared" si="15"/>
        <v>266231.81249917962</v>
      </c>
      <c r="S237" s="55">
        <f t="shared" si="15"/>
        <v>240397.5815010618</v>
      </c>
      <c r="T237" s="55">
        <f t="shared" si="15"/>
        <v>244805.55385833306</v>
      </c>
      <c r="U237" s="55">
        <f t="shared" si="15"/>
        <v>246230.86424460288</v>
      </c>
    </row>
    <row r="238" spans="2:21">
      <c r="B238" s="57" t="s">
        <v>269</v>
      </c>
      <c r="C238" s="55" t="s">
        <v>165</v>
      </c>
      <c r="D238" s="55" t="s">
        <v>5</v>
      </c>
      <c r="E238" s="55" t="s">
        <v>132</v>
      </c>
      <c r="F238" s="55" t="s">
        <v>132</v>
      </c>
      <c r="G238" s="55" t="s">
        <v>132</v>
      </c>
      <c r="H238" s="57" t="s">
        <v>268</v>
      </c>
      <c r="I238" s="55">
        <f>SUMIFS(RVN!E:E,RVN!A:A,D238,RVN!B:B,"U")*SUMIFS(I$195:I$233,C$195:C$233,C238,D$195:D$233,D238,E$195:E$233,E238)/SUMIFS(I$195:I$233,D$195:D$233,D238)</f>
        <v>110092.31605423642</v>
      </c>
      <c r="J238" s="55">
        <f t="shared" si="15"/>
        <v>9493.9600969727835</v>
      </c>
      <c r="K238" s="55">
        <f t="shared" si="15"/>
        <v>9752.1632884496412</v>
      </c>
      <c r="L238" s="55">
        <f t="shared" si="15"/>
        <v>9055.8189845389588</v>
      </c>
      <c r="M238" s="55">
        <f t="shared" si="15"/>
        <v>8419.5911975236231</v>
      </c>
      <c r="N238" s="55">
        <f t="shared" si="15"/>
        <v>8646.4228441895448</v>
      </c>
      <c r="O238" s="55">
        <f t="shared" si="15"/>
        <v>10389.852070408933</v>
      </c>
      <c r="P238" s="55">
        <f t="shared" si="15"/>
        <v>11514.229068840383</v>
      </c>
      <c r="Q238" s="55">
        <f t="shared" si="15"/>
        <v>10079.768406360157</v>
      </c>
      <c r="R238" s="55">
        <f t="shared" si="15"/>
        <v>8935.162506580069</v>
      </c>
      <c r="S238" s="55">
        <f t="shared" si="15"/>
        <v>8236.5470332819405</v>
      </c>
      <c r="T238" s="55">
        <f t="shared" si="15"/>
        <v>7839.3255164790562</v>
      </c>
      <c r="U238" s="55">
        <f t="shared" si="15"/>
        <v>7729.4750406113189</v>
      </c>
    </row>
    <row r="239" spans="2:21">
      <c r="B239" s="57" t="s">
        <v>269</v>
      </c>
      <c r="C239" s="55" t="s">
        <v>215</v>
      </c>
      <c r="D239" s="55" t="s">
        <v>2</v>
      </c>
      <c r="E239" s="55" t="s">
        <v>113</v>
      </c>
      <c r="F239" s="55" t="s">
        <v>132</v>
      </c>
      <c r="G239" s="55" t="s">
        <v>132</v>
      </c>
      <c r="H239" s="57" t="s">
        <v>268</v>
      </c>
      <c r="I239" s="55">
        <f>SUMIFS(RVN!E:E,RVN!A:A,D239,RVN!B:B,"U")*SUMIFS(I$195:I$233,C$195:C$233,C239,D$195:D$233,D239,E$195:E$233,E239)/SUMIFS(I$195:I$233,D$195:D$233,D239)</f>
        <v>19614.789810188311</v>
      </c>
      <c r="J239" s="55">
        <f t="shared" si="15"/>
        <v>1291.8992223640057</v>
      </c>
      <c r="K239" s="55">
        <f t="shared" si="15"/>
        <v>1243.7846668047291</v>
      </c>
      <c r="L239" s="55">
        <f t="shared" si="15"/>
        <v>1135.9134345711336</v>
      </c>
      <c r="M239" s="55">
        <f t="shared" si="15"/>
        <v>1010.5753225912734</v>
      </c>
      <c r="N239" s="55">
        <f t="shared" si="15"/>
        <v>1303.3726785898973</v>
      </c>
      <c r="O239" s="55">
        <f t="shared" si="15"/>
        <v>1833.3165890521182</v>
      </c>
      <c r="P239" s="55">
        <f t="shared" si="15"/>
        <v>2661.7066452050044</v>
      </c>
      <c r="Q239" s="55">
        <f t="shared" si="15"/>
        <v>2178.3365418700855</v>
      </c>
      <c r="R239" s="55">
        <f t="shared" si="15"/>
        <v>2119.0932013321003</v>
      </c>
      <c r="S239" s="55">
        <f t="shared" si="15"/>
        <v>1751.6416361038423</v>
      </c>
      <c r="T239" s="55">
        <f t="shared" si="15"/>
        <v>1655.7560296874881</v>
      </c>
      <c r="U239" s="55">
        <f t="shared" si="15"/>
        <v>1429.3938420166321</v>
      </c>
    </row>
    <row r="240" spans="2:21">
      <c r="B240" s="57" t="s">
        <v>269</v>
      </c>
      <c r="C240" s="55" t="s">
        <v>215</v>
      </c>
      <c r="D240" s="55" t="s">
        <v>3</v>
      </c>
      <c r="E240" s="55" t="s">
        <v>113</v>
      </c>
      <c r="F240" s="55" t="s">
        <v>132</v>
      </c>
      <c r="G240" s="55" t="s">
        <v>132</v>
      </c>
      <c r="H240" s="57" t="s">
        <v>268</v>
      </c>
      <c r="I240" s="55">
        <f>SUMIFS(RVN!E:E,RVN!A:A,D240,RVN!B:B,"U")*SUMIFS(I$195:I$233,C$195:C$233,C240,D$195:D$233,D240,E$195:E$233,E240)/SUMIFS(I$195:I$233,D$195:D$233,D240)</f>
        <v>5472573.8466537502</v>
      </c>
      <c r="J240" s="55">
        <f t="shared" si="15"/>
        <v>453400.45816554484</v>
      </c>
      <c r="K240" s="55">
        <f t="shared" si="15"/>
        <v>484053.21822240081</v>
      </c>
      <c r="L240" s="55">
        <f t="shared" si="15"/>
        <v>501078.18664600735</v>
      </c>
      <c r="M240" s="55">
        <f t="shared" si="15"/>
        <v>510260.78560722322</v>
      </c>
      <c r="N240" s="55">
        <f t="shared" si="15"/>
        <v>495512.70792052918</v>
      </c>
      <c r="O240" s="55">
        <f t="shared" si="15"/>
        <v>499364.98591914074</v>
      </c>
      <c r="P240" s="55">
        <f t="shared" si="15"/>
        <v>465483.58006424445</v>
      </c>
      <c r="Q240" s="55">
        <f t="shared" si="15"/>
        <v>434757.40795666934</v>
      </c>
      <c r="R240" s="55">
        <f t="shared" si="15"/>
        <v>419779.66622256231</v>
      </c>
      <c r="S240" s="55">
        <f t="shared" si="15"/>
        <v>392006.71212238906</v>
      </c>
      <c r="T240" s="55">
        <f t="shared" si="15"/>
        <v>402608.28171720589</v>
      </c>
      <c r="U240" s="55">
        <f t="shared" si="15"/>
        <v>414267.8560898322</v>
      </c>
    </row>
    <row r="241" spans="2:21">
      <c r="B241" s="57" t="s">
        <v>269</v>
      </c>
      <c r="C241" s="55" t="s">
        <v>215</v>
      </c>
      <c r="D241" s="55" t="s">
        <v>3</v>
      </c>
      <c r="E241" s="55" t="s">
        <v>114</v>
      </c>
      <c r="F241" s="55" t="s">
        <v>132</v>
      </c>
      <c r="G241" s="55" t="s">
        <v>132</v>
      </c>
      <c r="H241" s="57" t="s">
        <v>268</v>
      </c>
      <c r="I241" s="55">
        <f>SUMIFS(RVN!E:E,RVN!A:A,D241,RVN!B:B,"U")*SUMIFS(I$195:I$233,C$195:C$233,C241,D$195:D$233,D241,E$195:E$233,E241)/SUMIFS(I$195:I$233,D$195:D$233,D241)</f>
        <v>68088.107312671767</v>
      </c>
      <c r="J241" s="55">
        <f t="shared" si="15"/>
        <v>5683.6043843545312</v>
      </c>
      <c r="K241" s="55">
        <f t="shared" si="15"/>
        <v>6656.4431562336458</v>
      </c>
      <c r="L241" s="55">
        <f t="shared" si="15"/>
        <v>6482.5860112997671</v>
      </c>
      <c r="M241" s="55">
        <f t="shared" si="15"/>
        <v>5846.6369749177538</v>
      </c>
      <c r="N241" s="55">
        <f t="shared" si="15"/>
        <v>6189.7738208055907</v>
      </c>
      <c r="O241" s="55">
        <f t="shared" si="15"/>
        <v>6070.4408420788113</v>
      </c>
      <c r="P241" s="55">
        <f t="shared" si="15"/>
        <v>5857.2754193471128</v>
      </c>
      <c r="Q241" s="55">
        <f t="shared" si="15"/>
        <v>5438.5998132285458</v>
      </c>
      <c r="R241" s="55">
        <f t="shared" si="15"/>
        <v>4968.0451148254551</v>
      </c>
      <c r="S241" s="55">
        <f t="shared" si="15"/>
        <v>4640.7957161507484</v>
      </c>
      <c r="T241" s="55">
        <f t="shared" si="15"/>
        <v>5618.611109655516</v>
      </c>
      <c r="U241" s="55">
        <f t="shared" si="15"/>
        <v>4635.2949497742911</v>
      </c>
    </row>
    <row r="242" spans="2:21">
      <c r="B242" s="57" t="s">
        <v>269</v>
      </c>
      <c r="C242" s="55" t="s">
        <v>215</v>
      </c>
      <c r="D242" s="55" t="s">
        <v>5</v>
      </c>
      <c r="E242" s="55" t="s">
        <v>113</v>
      </c>
      <c r="F242" s="55" t="s">
        <v>132</v>
      </c>
      <c r="G242" s="55" t="s">
        <v>132</v>
      </c>
      <c r="H242" s="57" t="s">
        <v>268</v>
      </c>
      <c r="I242" s="55">
        <f>SUMIFS(RVN!E:E,RVN!A:A,D242,RVN!B:B,"U")*SUMIFS(I$195:I$233,C$195:C$233,C242,D$195:D$233,D242,E$195:E$233,E242)/SUMIFS(I$195:I$233,D$195:D$233,D242)</f>
        <v>636048.71381252212</v>
      </c>
      <c r="J242" s="55">
        <f t="shared" si="15"/>
        <v>54318.833713552245</v>
      </c>
      <c r="K242" s="55">
        <f t="shared" si="15"/>
        <v>55926.819288554616</v>
      </c>
      <c r="L242" s="55">
        <f t="shared" si="15"/>
        <v>57333.751714338316</v>
      </c>
      <c r="M242" s="55">
        <f t="shared" si="15"/>
        <v>65422.940874443746</v>
      </c>
      <c r="N242" s="55">
        <f t="shared" si="15"/>
        <v>55340.424405830512</v>
      </c>
      <c r="O242" s="55">
        <f t="shared" si="15"/>
        <v>54010.476268046463</v>
      </c>
      <c r="P242" s="55">
        <f t="shared" si="15"/>
        <v>47927.73278481586</v>
      </c>
      <c r="Q242" s="55">
        <f t="shared" si="15"/>
        <v>49054.267763200864</v>
      </c>
      <c r="R242" s="55">
        <f t="shared" si="15"/>
        <v>51087.274995099709</v>
      </c>
      <c r="S242" s="55">
        <f t="shared" si="15"/>
        <v>49721.746162087322</v>
      </c>
      <c r="T242" s="55">
        <f t="shared" si="15"/>
        <v>48489.470769962529</v>
      </c>
      <c r="U242" s="55">
        <f t="shared" si="15"/>
        <v>47414.97507258987</v>
      </c>
    </row>
    <row r="243" spans="2:21">
      <c r="B243" s="57" t="s">
        <v>269</v>
      </c>
      <c r="C243" s="55" t="s">
        <v>215</v>
      </c>
      <c r="D243" s="55" t="s">
        <v>5</v>
      </c>
      <c r="E243" s="55" t="s">
        <v>114</v>
      </c>
      <c r="F243" s="55" t="s">
        <v>132</v>
      </c>
      <c r="G243" s="55" t="s">
        <v>132</v>
      </c>
      <c r="H243" s="57" t="s">
        <v>268</v>
      </c>
      <c r="I243" s="55">
        <f>SUMIFS(RVN!E:E,RVN!A:A,D243,RVN!B:B,"U")*SUMIFS(I$195:I$233,C$195:C$233,C243,D$195:D$233,D243,E$195:E$233,E243)/SUMIFS(I$195:I$233,D$195:D$233,D243)</f>
        <v>1285.9175998965197</v>
      </c>
      <c r="J243" s="55">
        <f t="shared" si="15"/>
        <v>0</v>
      </c>
      <c r="K243" s="55">
        <f t="shared" si="15"/>
        <v>0</v>
      </c>
      <c r="L243" s="55">
        <f t="shared" si="15"/>
        <v>69.982210517205701</v>
      </c>
      <c r="M243" s="55">
        <f t="shared" si="15"/>
        <v>122.46795611724237</v>
      </c>
      <c r="N243" s="55">
        <f t="shared" si="15"/>
        <v>148.71143710917241</v>
      </c>
      <c r="O243" s="55">
        <f t="shared" si="15"/>
        <v>148.71143710917241</v>
      </c>
      <c r="P243" s="55">
        <f t="shared" si="15"/>
        <v>157.45966956775695</v>
      </c>
      <c r="Q243" s="55">
        <f t="shared" si="15"/>
        <v>157.45946094438827</v>
      </c>
      <c r="R243" s="55">
        <f t="shared" si="15"/>
        <v>131.21618857582686</v>
      </c>
      <c r="S243" s="55">
        <f t="shared" si="15"/>
        <v>122.46794701969209</v>
      </c>
      <c r="T243" s="55">
        <f t="shared" si="15"/>
        <v>104.97285026529094</v>
      </c>
      <c r="U243" s="55">
        <f t="shared" si="15"/>
        <v>122.46844267077174</v>
      </c>
    </row>
    <row r="244" spans="2:21">
      <c r="B244" s="57" t="s">
        <v>269</v>
      </c>
      <c r="C244" s="55" t="s">
        <v>89</v>
      </c>
      <c r="D244" s="55" t="s">
        <v>116</v>
      </c>
      <c r="E244" s="55" t="s">
        <v>132</v>
      </c>
      <c r="F244" s="55" t="s">
        <v>132</v>
      </c>
      <c r="G244" s="55" t="s">
        <v>132</v>
      </c>
      <c r="H244" s="57" t="s">
        <v>268</v>
      </c>
      <c r="I244" s="55">
        <f>SUMIFS(RVN!E:E,RVN!A:A,D244,RVN!B:B,"U")*SUMIFS(I$195:I$233,C$195:C$233,C244,D$195:D$233,D244,E$195:E$233,E244)/SUMIFS(I$195:I$233,D$195:D$233,D244)</f>
        <v>-10577000</v>
      </c>
      <c r="J244" s="55">
        <f t="shared" si="15"/>
        <v>-2138587.0723327408</v>
      </c>
      <c r="K244" s="55">
        <f t="shared" si="15"/>
        <v>-2317657.8605625867</v>
      </c>
      <c r="L244" s="55">
        <f t="shared" si="15"/>
        <v>-1814860.6242712559</v>
      </c>
      <c r="M244" s="55">
        <f t="shared" si="15"/>
        <v>-1025167.4797885468</v>
      </c>
      <c r="N244" s="55">
        <f t="shared" si="15"/>
        <v>-298302.32195957541</v>
      </c>
      <c r="O244" s="55">
        <f t="shared" si="15"/>
        <v>-55025.733424417704</v>
      </c>
      <c r="P244" s="55">
        <f t="shared" si="15"/>
        <v>-35731.713420962791</v>
      </c>
      <c r="Q244" s="55">
        <f t="shared" si="15"/>
        <v>-34476.301349543515</v>
      </c>
      <c r="R244" s="55">
        <f t="shared" si="15"/>
        <v>-163271.18093209091</v>
      </c>
      <c r="S244" s="55">
        <f t="shared" si="15"/>
        <v>-604972.89458734391</v>
      </c>
      <c r="T244" s="55">
        <f t="shared" si="15"/>
        <v>-896660.25611474877</v>
      </c>
      <c r="U244" s="55">
        <f t="shared" si="15"/>
        <v>-1192286.5612561868</v>
      </c>
    </row>
    <row r="245" spans="2:21">
      <c r="B245" s="57" t="s">
        <v>269</v>
      </c>
      <c r="C245" s="55" t="s">
        <v>188</v>
      </c>
      <c r="D245" s="55" t="s">
        <v>5</v>
      </c>
      <c r="E245" s="55" t="s">
        <v>113</v>
      </c>
      <c r="F245" s="55" t="s">
        <v>132</v>
      </c>
      <c r="G245" s="55" t="s">
        <v>132</v>
      </c>
      <c r="H245" s="57" t="s">
        <v>268</v>
      </c>
      <c r="I245" s="55">
        <f>SUMIFS(RVN!E:E,RVN!A:A,D245,RVN!B:B,"U")*SUMIFS(I$195:I$233,C$195:C$233,C245,D$195:D$233,D245,E$195:E$233,E245)/SUMIFS(I$195:I$233,D$195:D$233,D245)</f>
        <v>12224.974902314538</v>
      </c>
      <c r="J245" s="55">
        <f t="shared" si="15"/>
        <v>896.64395526815031</v>
      </c>
      <c r="K245" s="55">
        <f t="shared" si="15"/>
        <v>1261.1333679787806</v>
      </c>
      <c r="L245" s="55">
        <f t="shared" si="15"/>
        <v>1239.2640032161428</v>
      </c>
      <c r="M245" s="55">
        <f t="shared" si="15"/>
        <v>867.48480225129993</v>
      </c>
      <c r="N245" s="55">
        <f t="shared" si="15"/>
        <v>998.70099082712682</v>
      </c>
      <c r="O245" s="55">
        <f t="shared" si="15"/>
        <v>962.25204955606387</v>
      </c>
      <c r="P245" s="55">
        <f t="shared" si="15"/>
        <v>2711.8012305670891</v>
      </c>
      <c r="Q245" s="55">
        <f t="shared" si="15"/>
        <v>736.26861367547315</v>
      </c>
      <c r="R245" s="55">
        <f t="shared" si="15"/>
        <v>743.55840192968572</v>
      </c>
      <c r="S245" s="55">
        <f t="shared" si="15"/>
        <v>517.574966049095</v>
      </c>
      <c r="T245" s="55">
        <f t="shared" si="15"/>
        <v>619.63200160807128</v>
      </c>
      <c r="U245" s="55">
        <f t="shared" si="15"/>
        <v>670.66051938755959</v>
      </c>
    </row>
    <row r="246" spans="2:21">
      <c r="B246" s="57" t="s">
        <v>269</v>
      </c>
      <c r="C246" s="55" t="s">
        <v>109</v>
      </c>
      <c r="D246" s="55" t="s">
        <v>3</v>
      </c>
      <c r="E246" s="55" t="s">
        <v>113</v>
      </c>
      <c r="F246" s="55" t="s">
        <v>132</v>
      </c>
      <c r="G246" s="55" t="s">
        <v>132</v>
      </c>
      <c r="H246" s="57" t="s">
        <v>268</v>
      </c>
      <c r="I246" s="55">
        <f>SUMIFS(RVN!E:E,RVN!A:A,D246,RVN!B:B,"U")*SUMIFS(I$195:I$233,C$195:C$233,C246,D$195:D$233,D246,E$195:E$233,E246)/SUMIFS(I$195:I$233,D$195:D$233,D246)</f>
        <v>817331.87600806251</v>
      </c>
      <c r="J246" s="55">
        <f t="shared" si="15"/>
        <v>78748.42433159762</v>
      </c>
      <c r="K246" s="55">
        <f t="shared" si="15"/>
        <v>77149.844975506363</v>
      </c>
      <c r="L246" s="55">
        <f t="shared" si="15"/>
        <v>78225.400164137813</v>
      </c>
      <c r="M246" s="55">
        <f t="shared" si="15"/>
        <v>80827.035307682425</v>
      </c>
      <c r="N246" s="55">
        <f t="shared" si="15"/>
        <v>76939.007735727879</v>
      </c>
      <c r="O246" s="55">
        <f t="shared" si="15"/>
        <v>73934.898499362956</v>
      </c>
      <c r="P246" s="55">
        <f t="shared" si="15"/>
        <v>60764.47316193748</v>
      </c>
      <c r="Q246" s="55">
        <f t="shared" si="15"/>
        <v>59140.01277079487</v>
      </c>
      <c r="R246" s="55">
        <f t="shared" si="15"/>
        <v>58655.644950115297</v>
      </c>
      <c r="S246" s="55">
        <f t="shared" si="15"/>
        <v>55307.424059383899</v>
      </c>
      <c r="T246" s="55">
        <f t="shared" si="15"/>
        <v>56267.811699345824</v>
      </c>
      <c r="U246" s="55">
        <f t="shared" si="15"/>
        <v>61371.898352470125</v>
      </c>
    </row>
    <row r="247" spans="2:21">
      <c r="B247" s="57" t="s">
        <v>269</v>
      </c>
      <c r="C247" s="55" t="s">
        <v>109</v>
      </c>
      <c r="D247" s="55" t="s">
        <v>3</v>
      </c>
      <c r="E247" s="55" t="s">
        <v>114</v>
      </c>
      <c r="F247" s="55" t="s">
        <v>132</v>
      </c>
      <c r="G247" s="55" t="s">
        <v>132</v>
      </c>
      <c r="H247" s="57" t="s">
        <v>268</v>
      </c>
      <c r="I247" s="55">
        <f>SUMIFS(RVN!E:E,RVN!A:A,D247,RVN!B:B,"U")*SUMIFS(I$195:I$233,C$195:C$233,C247,D$195:D$233,D247,E$195:E$233,E247)/SUMIFS(I$195:I$233,D$195:D$233,D247)</f>
        <v>340647.4859614296</v>
      </c>
      <c r="J247" s="55">
        <f t="shared" si="15"/>
        <v>31950.712174856686</v>
      </c>
      <c r="K247" s="55">
        <f t="shared" si="15"/>
        <v>34278.110913397366</v>
      </c>
      <c r="L247" s="55">
        <f t="shared" si="15"/>
        <v>29724.744720590596</v>
      </c>
      <c r="M247" s="55">
        <f t="shared" si="15"/>
        <v>29582.996476033637</v>
      </c>
      <c r="N247" s="55">
        <f t="shared" si="15"/>
        <v>28195.443483094317</v>
      </c>
      <c r="O247" s="55">
        <f t="shared" si="15"/>
        <v>31161.097055337606</v>
      </c>
      <c r="P247" s="55">
        <f t="shared" si="15"/>
        <v>28017.004898880634</v>
      </c>
      <c r="Q247" s="55">
        <f t="shared" si="15"/>
        <v>27272.76645838613</v>
      </c>
      <c r="R247" s="55">
        <f t="shared" si="15"/>
        <v>25797.213226335283</v>
      </c>
      <c r="S247" s="55">
        <f t="shared" si="15"/>
        <v>24553.446974202063</v>
      </c>
      <c r="T247" s="55">
        <f t="shared" si="15"/>
        <v>24804.634104596815</v>
      </c>
      <c r="U247" s="55">
        <f t="shared" si="15"/>
        <v>25309.315475718464</v>
      </c>
    </row>
    <row r="248" spans="2:21">
      <c r="B248" s="57" t="s">
        <v>269</v>
      </c>
      <c r="C248" s="55" t="s">
        <v>109</v>
      </c>
      <c r="D248" s="55" t="s">
        <v>5</v>
      </c>
      <c r="E248" s="55" t="s">
        <v>113</v>
      </c>
      <c r="F248" s="55" t="s">
        <v>132</v>
      </c>
      <c r="G248" s="55" t="s">
        <v>132</v>
      </c>
      <c r="H248" s="57" t="s">
        <v>268</v>
      </c>
      <c r="I248" s="55">
        <f>SUMIFS(RVN!E:E,RVN!A:A,D248,RVN!B:B,"U")*SUMIFS(I$195:I$233,C$195:C$233,C248,D$195:D$233,D248,E$195:E$233,E248)/SUMIFS(I$195:I$233,D$195:D$233,D248)</f>
        <v>1449131.9273043326</v>
      </c>
      <c r="J248" s="55">
        <f t="shared" si="15"/>
        <v>130656.33302409672</v>
      </c>
      <c r="K248" s="55">
        <f t="shared" si="15"/>
        <v>119555.4483748878</v>
      </c>
      <c r="L248" s="55">
        <f t="shared" si="15"/>
        <v>125800.97338119072</v>
      </c>
      <c r="M248" s="55">
        <f t="shared" si="15"/>
        <v>123721.19630233601</v>
      </c>
      <c r="N248" s="55">
        <f t="shared" si="15"/>
        <v>130713.92452668175</v>
      </c>
      <c r="O248" s="55">
        <f t="shared" si="15"/>
        <v>117761.79398324166</v>
      </c>
      <c r="P248" s="55">
        <f t="shared" si="15"/>
        <v>111872.73389885898</v>
      </c>
      <c r="Q248" s="55">
        <f t="shared" si="15"/>
        <v>116065.82597939351</v>
      </c>
      <c r="R248" s="55">
        <f t="shared" si="15"/>
        <v>116686.91673097873</v>
      </c>
      <c r="S248" s="55">
        <f t="shared" si="15"/>
        <v>119868.54674832703</v>
      </c>
      <c r="T248" s="55">
        <f t="shared" si="15"/>
        <v>116619.47584974307</v>
      </c>
      <c r="U248" s="55">
        <f t="shared" si="15"/>
        <v>119808.75850459657</v>
      </c>
    </row>
    <row r="249" spans="2:21">
      <c r="B249" s="57" t="s">
        <v>269</v>
      </c>
      <c r="C249" s="55" t="s">
        <v>109</v>
      </c>
      <c r="D249" s="55" t="s">
        <v>5</v>
      </c>
      <c r="E249" s="55" t="s">
        <v>114</v>
      </c>
      <c r="F249" s="55" t="s">
        <v>132</v>
      </c>
      <c r="G249" s="55" t="s">
        <v>132</v>
      </c>
      <c r="H249" s="57" t="s">
        <v>268</v>
      </c>
      <c r="I249" s="55">
        <f>SUMIFS(RVN!E:E,RVN!A:A,D249,RVN!B:B,"U")*SUMIFS(I$195:I$233,C$195:C$233,C249,D$195:D$233,D249,E$195:E$233,E249)/SUMIFS(I$195:I$233,D$195:D$233,D249)</f>
        <v>3162.3086908914211</v>
      </c>
      <c r="J249" s="55">
        <f t="shared" si="15"/>
        <v>209.94525632174316</v>
      </c>
      <c r="K249" s="55">
        <f t="shared" si="15"/>
        <v>196.82428286374031</v>
      </c>
      <c r="L249" s="55">
        <f t="shared" si="15"/>
        <v>209.94525632174316</v>
      </c>
      <c r="M249" s="55">
        <f t="shared" si="15"/>
        <v>236.18972960236724</v>
      </c>
      <c r="N249" s="55">
        <f t="shared" si="15"/>
        <v>249.30957796231334</v>
      </c>
      <c r="O249" s="55">
        <f t="shared" si="15"/>
        <v>314.91949798156429</v>
      </c>
      <c r="P249" s="55">
        <f t="shared" si="15"/>
        <v>354.28333122124161</v>
      </c>
      <c r="Q249" s="55">
        <f t="shared" si="15"/>
        <v>314.91931845881498</v>
      </c>
      <c r="R249" s="55">
        <f t="shared" si="15"/>
        <v>314.91819167643104</v>
      </c>
      <c r="S249" s="55">
        <f t="shared" si="15"/>
        <v>262.432046698877</v>
      </c>
      <c r="T249" s="55">
        <f t="shared" si="15"/>
        <v>262.43355708854432</v>
      </c>
      <c r="U249" s="55">
        <f t="shared" si="15"/>
        <v>236.18864469404019</v>
      </c>
    </row>
    <row r="250" spans="2:21">
      <c r="B250" s="57" t="s">
        <v>269</v>
      </c>
      <c r="C250" s="55" t="s">
        <v>223</v>
      </c>
      <c r="D250" s="55" t="s">
        <v>5</v>
      </c>
      <c r="E250" s="55" t="s">
        <v>114</v>
      </c>
      <c r="F250" s="55" t="s">
        <v>132</v>
      </c>
      <c r="G250" s="55" t="s">
        <v>132</v>
      </c>
      <c r="H250" s="57" t="s">
        <v>268</v>
      </c>
      <c r="I250" s="55">
        <f>SUMIFS(RVN!E:E,RVN!A:A,D250,RVN!B:B,"U")*SUMIFS(I$195:I$233,C$195:C$233,C250,D$195:D$233,D250,E$195:E$233,E250)/SUMIFS(I$195:I$233,D$195:D$233,D250)</f>
        <v>3938165.2249523695</v>
      </c>
      <c r="J250" s="55">
        <f t="shared" si="15"/>
        <v>335467.30717126938</v>
      </c>
      <c r="K250" s="55">
        <f t="shared" si="15"/>
        <v>333341.60518718575</v>
      </c>
      <c r="L250" s="55">
        <f t="shared" si="15"/>
        <v>339718.71195197094</v>
      </c>
      <c r="M250" s="55">
        <f t="shared" si="15"/>
        <v>322634.36392855347</v>
      </c>
      <c r="N250" s="55">
        <f t="shared" si="15"/>
        <v>329378.87710473029</v>
      </c>
      <c r="O250" s="55">
        <f t="shared" si="15"/>
        <v>321584.63523248129</v>
      </c>
      <c r="P250" s="55">
        <f t="shared" si="15"/>
        <v>341765.68476459867</v>
      </c>
      <c r="Q250" s="55">
        <f t="shared" si="15"/>
        <v>337278.09165699506</v>
      </c>
      <c r="R250" s="55">
        <f t="shared" si="15"/>
        <v>313291.77095889195</v>
      </c>
      <c r="S250" s="55">
        <f t="shared" si="15"/>
        <v>312556.9621312418</v>
      </c>
      <c r="T250" s="55">
        <f t="shared" si="15"/>
        <v>310457.50238683063</v>
      </c>
      <c r="U250" s="55">
        <f t="shared" si="15"/>
        <v>340689.71247762087</v>
      </c>
    </row>
    <row r="251" spans="2:21">
      <c r="B251" s="57" t="s">
        <v>269</v>
      </c>
      <c r="C251" s="55" t="s">
        <v>106</v>
      </c>
      <c r="D251" s="55" t="s">
        <v>2</v>
      </c>
      <c r="E251" s="55" t="s">
        <v>132</v>
      </c>
      <c r="F251" s="55" t="s">
        <v>132</v>
      </c>
      <c r="G251" s="55" t="s">
        <v>132</v>
      </c>
      <c r="H251" s="57" t="s">
        <v>268</v>
      </c>
      <c r="I251" s="55">
        <f>SUMIFS(RVN!E:E,RVN!A:A,D251,RVN!B:B,"U")*SUMIFS(I$195:I$233,C$195:C$233,C251,D$195:D$233,D251,E$195:E$233,E251)/SUMIFS(I$195:I$233,D$195:D$233,D251)</f>
        <v>7510.896066627859</v>
      </c>
      <c r="J251" s="55">
        <f t="shared" si="15"/>
        <v>632.63038556809147</v>
      </c>
      <c r="K251" s="55">
        <f t="shared" si="15"/>
        <v>630.95979063772018</v>
      </c>
      <c r="L251" s="55">
        <f t="shared" si="15"/>
        <v>631.11075488749225</v>
      </c>
      <c r="M251" s="55">
        <f t="shared" si="15"/>
        <v>629.72839037729091</v>
      </c>
      <c r="N251" s="55">
        <f t="shared" si="15"/>
        <v>628.69703915105879</v>
      </c>
      <c r="O251" s="55">
        <f t="shared" si="15"/>
        <v>627.88171805162733</v>
      </c>
      <c r="P251" s="55">
        <f t="shared" si="15"/>
        <v>625.39779965840034</v>
      </c>
      <c r="Q251" s="55">
        <f t="shared" si="15"/>
        <v>619.62206156550894</v>
      </c>
      <c r="R251" s="55">
        <f t="shared" si="15"/>
        <v>626.43229002782209</v>
      </c>
      <c r="S251" s="55">
        <f t="shared" si="15"/>
        <v>624.5836200655832</v>
      </c>
      <c r="T251" s="55">
        <f t="shared" si="15"/>
        <v>610.48487186946579</v>
      </c>
      <c r="U251" s="55">
        <f t="shared" si="15"/>
        <v>623.36734476779657</v>
      </c>
    </row>
    <row r="252" spans="2:21">
      <c r="B252" s="57" t="s">
        <v>269</v>
      </c>
      <c r="C252" s="55" t="s">
        <v>106</v>
      </c>
      <c r="D252" s="55" t="s">
        <v>3</v>
      </c>
      <c r="E252" s="55" t="s">
        <v>132</v>
      </c>
      <c r="F252" s="55" t="s">
        <v>132</v>
      </c>
      <c r="G252" s="55" t="s">
        <v>132</v>
      </c>
      <c r="H252" s="57" t="s">
        <v>268</v>
      </c>
      <c r="I252" s="55">
        <f>SUMIFS(RVN!E:E,RVN!A:A,D252,RVN!B:B,"U")*SUMIFS(I$195:I$233,C$195:C$233,C252,D$195:D$233,D252,E$195:E$233,E252)/SUMIFS(I$195:I$233,D$195:D$233,D252)</f>
        <v>12164.823195369338</v>
      </c>
      <c r="J252" s="55">
        <f t="shared" si="15"/>
        <v>1019.0215492682912</v>
      </c>
      <c r="K252" s="55">
        <f t="shared" si="15"/>
        <v>1019.7524196111865</v>
      </c>
      <c r="L252" s="55">
        <f t="shared" si="15"/>
        <v>1018.5273122710873</v>
      </c>
      <c r="M252" s="55">
        <f t="shared" si="15"/>
        <v>1017.5549523011524</v>
      </c>
      <c r="N252" s="55">
        <f t="shared" si="15"/>
        <v>1019.7676506754144</v>
      </c>
      <c r="O252" s="55">
        <f t="shared" si="15"/>
        <v>1019.5528705957904</v>
      </c>
      <c r="P252" s="55">
        <f t="shared" si="15"/>
        <v>1011.343547716819</v>
      </c>
      <c r="Q252" s="55">
        <f t="shared" si="15"/>
        <v>995.86966942114998</v>
      </c>
      <c r="R252" s="55">
        <f t="shared" si="15"/>
        <v>1015.032776360977</v>
      </c>
      <c r="S252" s="55">
        <f t="shared" si="15"/>
        <v>1016.1066767590995</v>
      </c>
      <c r="T252" s="55">
        <f t="shared" si="15"/>
        <v>998.99424498855558</v>
      </c>
      <c r="U252" s="55">
        <f t="shared" si="15"/>
        <v>1013.299525399813</v>
      </c>
    </row>
    <row r="253" spans="2:21">
      <c r="B253" s="57" t="s">
        <v>269</v>
      </c>
      <c r="C253" s="55" t="s">
        <v>106</v>
      </c>
      <c r="D253" s="55" t="s">
        <v>5</v>
      </c>
      <c r="E253" s="55" t="s">
        <v>132</v>
      </c>
      <c r="F253" s="55" t="s">
        <v>132</v>
      </c>
      <c r="G253" s="55" t="s">
        <v>132</v>
      </c>
      <c r="H253" s="57" t="s">
        <v>268</v>
      </c>
      <c r="I253" s="55">
        <f>SUMIFS(RVN!E:E,RVN!A:A,D253,RVN!B:B,"U")*SUMIFS(I$195:I$233,C$195:C$233,C253,D$195:D$233,D253,E$195:E$233,E253)/SUMIFS(I$195:I$233,D$195:D$233,D253)</f>
        <v>888.61668343555323</v>
      </c>
      <c r="J253" s="55">
        <f t="shared" si="15"/>
        <v>74.231913792646935</v>
      </c>
      <c r="K253" s="55">
        <f t="shared" si="15"/>
        <v>74.231913792646935</v>
      </c>
      <c r="L253" s="55">
        <f t="shared" si="15"/>
        <v>74.231913792646935</v>
      </c>
      <c r="M253" s="55">
        <f t="shared" si="15"/>
        <v>74.231913792646935</v>
      </c>
      <c r="N253" s="55">
        <f t="shared" si="15"/>
        <v>74.231913792646935</v>
      </c>
      <c r="O253" s="55">
        <f t="shared" si="15"/>
        <v>74.287316183378962</v>
      </c>
      <c r="P253" s="55">
        <f t="shared" si="15"/>
        <v>73.901686384731121</v>
      </c>
      <c r="Q253" s="55">
        <f t="shared" si="15"/>
        <v>73.024967850691141</v>
      </c>
      <c r="R253" s="55">
        <f t="shared" si="15"/>
        <v>74.231913792646935</v>
      </c>
      <c r="S253" s="55">
        <f t="shared" si="15"/>
        <v>74.636011054872128</v>
      </c>
      <c r="T253" s="55">
        <f t="shared" si="15"/>
        <v>72.967864509366478</v>
      </c>
      <c r="U253" s="55">
        <f t="shared" si="15"/>
        <v>74.407354696631657</v>
      </c>
    </row>
    <row r="254" spans="2:21">
      <c r="B254" s="57" t="s">
        <v>269</v>
      </c>
      <c r="C254" s="55" t="s">
        <v>107</v>
      </c>
      <c r="D254" s="55" t="s">
        <v>104</v>
      </c>
      <c r="E254" s="55" t="s">
        <v>132</v>
      </c>
      <c r="F254" s="55" t="s">
        <v>132</v>
      </c>
      <c r="G254" s="55" t="s">
        <v>132</v>
      </c>
      <c r="H254" s="57" t="s">
        <v>268</v>
      </c>
      <c r="I254" s="55">
        <f>SUMIFS(RVN!E:E,RVN!A:A,D254,RVN!B:B,"U")*SUMIFS(I$195:I$233,C$195:C$233,C254,D$195:D$233,D254,E$195:E$233,E254)/SUMIFS(I$195:I$233,D$195:D$233,D254)</f>
        <v>-139583.88973560554</v>
      </c>
      <c r="J254" s="55">
        <f t="shared" si="15"/>
        <v>-11609.889766063012</v>
      </c>
      <c r="K254" s="55">
        <f t="shared" si="15"/>
        <v>-11615.744337101116</v>
      </c>
      <c r="L254" s="55">
        <f t="shared" si="15"/>
        <v>-11597.344935014617</v>
      </c>
      <c r="M254" s="55">
        <f t="shared" si="15"/>
        <v>-11599.455524492665</v>
      </c>
      <c r="N254" s="55">
        <f t="shared" si="15"/>
        <v>-11616.254772126742</v>
      </c>
      <c r="O254" s="55">
        <f t="shared" si="15"/>
        <v>-11694.018954751684</v>
      </c>
      <c r="P254" s="55">
        <f t="shared" si="15"/>
        <v>-11596.333561428955</v>
      </c>
      <c r="Q254" s="55">
        <f t="shared" si="15"/>
        <v>-11415.969564536899</v>
      </c>
      <c r="R254" s="55">
        <f t="shared" si="15"/>
        <v>-11694.747808485949</v>
      </c>
      <c r="S254" s="55">
        <f t="shared" si="15"/>
        <v>-11722.862094874119</v>
      </c>
      <c r="T254" s="55">
        <f t="shared" si="15"/>
        <v>-11712.750733133938</v>
      </c>
      <c r="U254" s="55">
        <f t="shared" si="15"/>
        <v>-11708.517683595846</v>
      </c>
    </row>
    <row r="255" spans="2:21">
      <c r="B255" s="57" t="s">
        <v>269</v>
      </c>
      <c r="C255" s="57" t="s">
        <v>163</v>
      </c>
      <c r="D255" s="55" t="s">
        <v>104</v>
      </c>
      <c r="E255" s="55" t="s">
        <v>132</v>
      </c>
      <c r="F255" s="55" t="s">
        <v>132</v>
      </c>
      <c r="G255" s="55" t="s">
        <v>132</v>
      </c>
      <c r="H255" s="57" t="s">
        <v>268</v>
      </c>
      <c r="I255" s="55">
        <f>SUMIFS(RVN!E:E,RVN!A:A,D255,RVN!B:B,"U")*SUMIFS(I$195:I$233,C$195:C$233,C255,D$195:D$233,D255,E$195:E$233,E255)/SUMIFS(I$195:I$233,D$195:D$233,D255)</f>
        <v>-150416.11026439449</v>
      </c>
      <c r="J255" s="55">
        <f t="shared" si="15"/>
        <v>-11279.20980173001</v>
      </c>
      <c r="K255" s="55">
        <f t="shared" si="15"/>
        <v>-11598.184968114689</v>
      </c>
      <c r="L255" s="55">
        <f t="shared" si="15"/>
        <v>-12071.654496288131</v>
      </c>
      <c r="M255" s="55">
        <f t="shared" si="15"/>
        <v>-12561.702428757508</v>
      </c>
      <c r="N255" s="55">
        <f t="shared" si="15"/>
        <v>-13252.949149012018</v>
      </c>
      <c r="O255" s="55">
        <f t="shared" si="15"/>
        <v>-14122.81529471079</v>
      </c>
      <c r="P255" s="55">
        <f t="shared" si="15"/>
        <v>-14066.36193223878</v>
      </c>
      <c r="Q255" s="55">
        <f t="shared" si="15"/>
        <v>-13319.190686233806</v>
      </c>
      <c r="R255" s="55">
        <f t="shared" si="15"/>
        <v>-12740.410972136075</v>
      </c>
      <c r="S255" s="55">
        <f t="shared" si="15"/>
        <v>-12228.741099192013</v>
      </c>
      <c r="T255" s="55">
        <f t="shared" si="15"/>
        <v>-11730.551623826936</v>
      </c>
      <c r="U255" s="55">
        <f t="shared" si="15"/>
        <v>-11444.33781215373</v>
      </c>
    </row>
    <row r="256" spans="2:21">
      <c r="B256" s="103" t="s">
        <v>269</v>
      </c>
      <c r="C256" s="105" t="s">
        <v>108</v>
      </c>
      <c r="D256" s="105" t="s">
        <v>3</v>
      </c>
      <c r="E256" s="105" t="s">
        <v>132</v>
      </c>
      <c r="F256" s="105" t="s">
        <v>132</v>
      </c>
      <c r="G256" s="105" t="s">
        <v>132</v>
      </c>
      <c r="H256" s="103" t="s">
        <v>268</v>
      </c>
      <c r="I256" s="105">
        <f>SUMIFS(RVN!E:E,RVN!A:A,D256,RVN!B:B,"U")*SUMIFS(I$195:I$233,C$195:C$233,C256,D$195:D$233,D256,E$195:E$233,E256)/SUMIFS(I$195:I$233,D$195:D$233,D256)</f>
        <v>2068.8721145136751</v>
      </c>
      <c r="J256" s="105">
        <f t="shared" si="15"/>
        <v>152.62909424224858</v>
      </c>
      <c r="K256" s="105">
        <f t="shared" si="15"/>
        <v>122.62532341799911</v>
      </c>
      <c r="L256" s="105">
        <f t="shared" si="15"/>
        <v>99.213108427640819</v>
      </c>
      <c r="M256" s="105">
        <f t="shared" si="15"/>
        <v>163.35652824642443</v>
      </c>
      <c r="N256" s="105">
        <f t="shared" si="15"/>
        <v>215.87178801621505</v>
      </c>
      <c r="O256" s="105">
        <f t="shared" si="15"/>
        <v>184.14384633102861</v>
      </c>
      <c r="P256" s="105">
        <f t="shared" si="15"/>
        <v>184.15094262445075</v>
      </c>
      <c r="Q256" s="105">
        <f t="shared" si="15"/>
        <v>226.42376605035884</v>
      </c>
      <c r="R256" s="105">
        <f t="shared" si="15"/>
        <v>254.56487298767144</v>
      </c>
      <c r="S256" s="105">
        <f t="shared" si="15"/>
        <v>200.17177442219739</v>
      </c>
      <c r="T256" s="105">
        <f t="shared" si="15"/>
        <v>154.00012028753696</v>
      </c>
      <c r="U256" s="105">
        <f t="shared" si="15"/>
        <v>111.72094945990342</v>
      </c>
    </row>
    <row r="257" spans="2:21">
      <c r="B257" s="49"/>
      <c r="H257" s="49"/>
    </row>
    <row r="258" spans="2:21">
      <c r="B258" s="171" t="s">
        <v>335</v>
      </c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3"/>
    </row>
    <row r="259" spans="2:21">
      <c r="B259" s="176"/>
      <c r="C259" s="176" t="s">
        <v>146</v>
      </c>
      <c r="D259" s="176" t="s">
        <v>90</v>
      </c>
      <c r="E259" s="176" t="s">
        <v>115</v>
      </c>
      <c r="F259" s="176" t="s">
        <v>130</v>
      </c>
      <c r="G259" s="176" t="s">
        <v>131</v>
      </c>
      <c r="H259" s="176" t="s">
        <v>142</v>
      </c>
      <c r="I259" s="177" t="s">
        <v>154</v>
      </c>
      <c r="J259" s="178">
        <v>44378</v>
      </c>
      <c r="K259" s="178">
        <v>44409</v>
      </c>
      <c r="L259" s="178">
        <v>44440</v>
      </c>
      <c r="M259" s="178">
        <v>44470</v>
      </c>
      <c r="N259" s="178">
        <v>44501</v>
      </c>
      <c r="O259" s="178">
        <v>44531</v>
      </c>
      <c r="P259" s="178">
        <v>44562</v>
      </c>
      <c r="Q259" s="178">
        <v>44593</v>
      </c>
      <c r="R259" s="178">
        <v>44621</v>
      </c>
      <c r="S259" s="178">
        <v>44652</v>
      </c>
      <c r="T259" s="178">
        <v>44682</v>
      </c>
      <c r="U259" s="178">
        <v>44713</v>
      </c>
    </row>
    <row r="260" spans="2:21">
      <c r="B260" s="55"/>
      <c r="C260" s="55"/>
      <c r="D260" s="55"/>
      <c r="E260" s="55"/>
      <c r="F260" s="55"/>
      <c r="G260" s="55"/>
      <c r="H260" s="55"/>
      <c r="I260" s="57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</row>
    <row r="261" spans="2:21">
      <c r="B261" s="55" t="s">
        <v>266</v>
      </c>
      <c r="C261" s="101" t="s">
        <v>356</v>
      </c>
      <c r="D261" s="57" t="s">
        <v>132</v>
      </c>
      <c r="E261" s="94" t="s">
        <v>132</v>
      </c>
      <c r="F261" s="57" t="s">
        <v>132</v>
      </c>
      <c r="G261" s="57" t="s">
        <v>132</v>
      </c>
      <c r="H261" s="57" t="s">
        <v>4</v>
      </c>
      <c r="I261" s="55">
        <f>SUM(J261:U261)</f>
        <v>1631466959.8382835</v>
      </c>
      <c r="J261" s="94">
        <f>IF($C261="Schedule 15,51,53,54",SUM('Normalized Units'!J$228:J$233,'Normalized Units'!J$251:J$256),SUMIFS(J$195:J$256,$C$195:$C$256,$C261,$E$195:$E$256,$E261))</f>
        <v>129285146.6842245</v>
      </c>
      <c r="K261" s="94">
        <f>IF($C261="Schedule 15,51,53,54",SUM('Normalized Units'!K$228:K$233,'Normalized Units'!K$251:K$256),SUMIFS(K$195:K$256,$C$195:$C$256,$C261,$E$195:$E$256,$E261))</f>
        <v>140659153.86027229</v>
      </c>
      <c r="L261" s="94">
        <f>IF($C261="Schedule 15,51,53,54",SUM('Normalized Units'!L$228:L$233,'Normalized Units'!L$251:L$256),SUMIFS(L$195:L$256,$C$195:$C$256,$C261,$E$195:$E$256,$E261))</f>
        <v>107789209.78954051</v>
      </c>
      <c r="M261" s="94">
        <f>IF($C261="Schedule 15,51,53,54",SUM('Normalized Units'!M$228:M$233,'Normalized Units'!M$251:M$256),SUMIFS(M$195:M$256,$C$195:$C$256,$C261,$E$195:$E$256,$E261))</f>
        <v>94858614.043642163</v>
      </c>
      <c r="N261" s="94">
        <f>IF($C261="Schedule 15,51,53,54",SUM('Normalized Units'!N$228:N$233,'Normalized Units'!N$251:N$256),SUMIFS(N$195:N$256,$C$195:$C$256,$C261,$E$195:$E$256,$E261))</f>
        <v>138965586.62539425</v>
      </c>
      <c r="O261" s="94">
        <f>IF($C261="Schedule 15,51,53,54",SUM('Normalized Units'!O$228:O$233,'Normalized Units'!O$251:O$256),SUMIFS(O$195:O$256,$C$195:$C$256,$C261,$E$195:$E$256,$E261))</f>
        <v>180911176.93364429</v>
      </c>
      <c r="P261" s="94">
        <f>IF($C261="Schedule 15,51,53,54",SUM('Normalized Units'!P$228:P$233,'Normalized Units'!P$251:P$256),SUMIFS(P$195:P$256,$C$195:$C$256,$C261,$E$195:$E$256,$E261))</f>
        <v>204828151.74796712</v>
      </c>
      <c r="Q261" s="94">
        <f>IF($C261="Schedule 15,51,53,54",SUM('Normalized Units'!Q$228:Q$233,'Normalized Units'!Q$251:Q$256),SUMIFS(Q$195:Q$256,$C$195:$C$256,$C261,$E$195:$E$256,$E261))</f>
        <v>179234983.20692793</v>
      </c>
      <c r="R261" s="94">
        <f>IF($C261="Schedule 15,51,53,54",SUM('Normalized Units'!R$228:R$233,'Normalized Units'!R$251:R$256),SUMIFS(R$195:R$256,$C$195:$C$256,$C261,$E$195:$E$256,$E261))</f>
        <v>155729639.79354775</v>
      </c>
      <c r="S261" s="94">
        <f>IF($C261="Schedule 15,51,53,54",SUM('Normalized Units'!S$228:S$233,'Normalized Units'!S$251:S$256),SUMIFS(S$195:S$256,$C$195:$C$256,$C261,$E$195:$E$256,$E261))</f>
        <v>99190862.143351629</v>
      </c>
      <c r="T261" s="94">
        <f>IF($C261="Schedule 15,51,53,54",SUM('Normalized Units'!T$228:T$233,'Normalized Units'!T$251:T$256),SUMIFS(T$195:T$256,$C$195:$C$256,$C261,$E$195:$E$256,$E261))</f>
        <v>104311099.14207558</v>
      </c>
      <c r="U261" s="94">
        <f>IF($C261="Schedule 15,51,53,54",SUM('Normalized Units'!U$228:U$233,'Normalized Units'!U$251:U$256),SUMIFS(U$195:U$256,$C$195:$C$256,$C261,$E$195:$E$256,$E261))</f>
        <v>95703335.867695853</v>
      </c>
    </row>
    <row r="262" spans="2:21">
      <c r="B262" s="55" t="s">
        <v>266</v>
      </c>
      <c r="C262" s="174" t="s">
        <v>165</v>
      </c>
      <c r="D262" s="57" t="s">
        <v>132</v>
      </c>
      <c r="E262" s="174" t="s">
        <v>132</v>
      </c>
      <c r="F262" s="57" t="s">
        <v>132</v>
      </c>
      <c r="G262" s="57" t="s">
        <v>132</v>
      </c>
      <c r="H262" s="57" t="s">
        <v>4</v>
      </c>
      <c r="I262" s="55">
        <f t="shared" ref="I262:I270" si="16">SUM(J262:U262)</f>
        <v>547764809.29518425</v>
      </c>
      <c r="J262" s="94">
        <f>IF($C262="Schedule 15,51,53,54",SUM('Normalized Units'!J$228:J$233,'Normalized Units'!J$251:J$256),SUMIFS(J$195:J$256,$C$195:$C$256,$C262,$E$195:$E$256,$E262))</f>
        <v>50960266.132125355</v>
      </c>
      <c r="K262" s="94">
        <f>IF($C262="Schedule 15,51,53,54",SUM('Normalized Units'!K$228:K$233,'Normalized Units'!K$251:K$256),SUMIFS(K$195:K$256,$C$195:$C$256,$C262,$E$195:$E$256,$E262))</f>
        <v>54927629.43917831</v>
      </c>
      <c r="L262" s="94">
        <f>IF($C262="Schedule 15,51,53,54",SUM('Normalized Units'!L$228:L$233,'Normalized Units'!L$251:L$256),SUMIFS(L$195:L$256,$C$195:$C$256,$C262,$E$195:$E$256,$E262))</f>
        <v>46851582.412494272</v>
      </c>
      <c r="M262" s="94">
        <f>IF($C262="Schedule 15,51,53,54",SUM('Normalized Units'!M$228:M$233,'Normalized Units'!M$251:M$256),SUMIFS(M$195:M$256,$C$195:$C$256,$C262,$E$195:$E$256,$E262))</f>
        <v>41248801.263937339</v>
      </c>
      <c r="N262" s="94">
        <f>IF($C262="Schedule 15,51,53,54",SUM('Normalized Units'!N$228:N$233,'Normalized Units'!N$251:N$256),SUMIFS(N$195:N$256,$C$195:$C$256,$C262,$E$195:$E$256,$E262))</f>
        <v>41924154.670058541</v>
      </c>
      <c r="O262" s="94">
        <f>IF($C262="Schedule 15,51,53,54",SUM('Normalized Units'!O$228:O$233,'Normalized Units'!O$251:O$256),SUMIFS(O$195:O$256,$C$195:$C$256,$C262,$E$195:$E$256,$E262))</f>
        <v>48745958.157215051</v>
      </c>
      <c r="P262" s="94">
        <f>IF($C262="Schedule 15,51,53,54",SUM('Normalized Units'!P$228:P$233,'Normalized Units'!P$251:P$256),SUMIFS(P$195:P$256,$C$195:$C$256,$C262,$E$195:$E$256,$E262))</f>
        <v>52867202.94012408</v>
      </c>
      <c r="Q262" s="94">
        <f>IF($C262="Schedule 15,51,53,54",SUM('Normalized Units'!Q$228:Q$233,'Normalized Units'!Q$251:Q$256),SUMIFS(Q$195:Q$256,$C$195:$C$256,$C262,$E$195:$E$256,$E262))</f>
        <v>47849541.275854804</v>
      </c>
      <c r="R262" s="94">
        <f>IF($C262="Schedule 15,51,53,54",SUM('Normalized Units'!R$228:R$233,'Normalized Units'!R$251:R$256),SUMIFS(R$195:R$256,$C$195:$C$256,$C262,$E$195:$E$256,$E262))</f>
        <v>43507329.54007826</v>
      </c>
      <c r="S262" s="94">
        <f>IF($C262="Schedule 15,51,53,54",SUM('Normalized Units'!S$228:S$233,'Normalized Units'!S$251:S$256),SUMIFS(S$195:S$256,$C$195:$C$256,$C262,$E$195:$E$256,$E262))</f>
        <v>39162487.317504823</v>
      </c>
      <c r="T262" s="94">
        <f>IF($C262="Schedule 15,51,53,54",SUM('Normalized Units'!T$228:T$233,'Normalized Units'!T$251:T$256),SUMIFS(T$195:T$256,$C$195:$C$256,$C262,$E$195:$E$256,$E262))</f>
        <v>39751514.681575239</v>
      </c>
      <c r="U262" s="94">
        <f>IF($C262="Schedule 15,51,53,54",SUM('Normalized Units'!U$228:U$233,'Normalized Units'!U$251:U$256),SUMIFS(U$195:U$256,$C$195:$C$256,$C262,$E$195:$E$256,$E262))</f>
        <v>39968341.465038106</v>
      </c>
    </row>
    <row r="263" spans="2:21">
      <c r="B263" s="55" t="s">
        <v>266</v>
      </c>
      <c r="C263" s="174" t="s">
        <v>215</v>
      </c>
      <c r="D263" s="57" t="s">
        <v>132</v>
      </c>
      <c r="E263" s="94" t="s">
        <v>113</v>
      </c>
      <c r="F263" s="57" t="s">
        <v>132</v>
      </c>
      <c r="G263" s="57" t="s">
        <v>132</v>
      </c>
      <c r="H263" s="57" t="s">
        <v>4</v>
      </c>
      <c r="I263" s="55">
        <f t="shared" si="16"/>
        <v>922069275.13726711</v>
      </c>
      <c r="J263" s="94">
        <f>IF($C263="Schedule 15,51,53,54",SUM('Normalized Units'!J$228:J$233,'Normalized Units'!J$251:J$256),SUMIFS(J$195:J$256,$C$195:$C$256,$C263,$E$195:$E$256,$E263))</f>
        <v>76577993.57689707</v>
      </c>
      <c r="K263" s="94">
        <f>IF($C263="Schedule 15,51,53,54",SUM('Normalized Units'!K$228:K$233,'Normalized Units'!K$251:K$256),SUMIFS(K$195:K$256,$C$195:$C$256,$C263,$E$195:$E$256,$E263))</f>
        <v>81453953.501539364</v>
      </c>
      <c r="L263" s="94">
        <f>IF($C263="Schedule 15,51,53,54",SUM('Normalized Units'!L$228:L$233,'Normalized Units'!L$251:L$256),SUMIFS(L$195:L$256,$C$195:$C$256,$C263,$E$195:$E$256,$E263))</f>
        <v>84223570.523290947</v>
      </c>
      <c r="M263" s="94">
        <f>IF($C263="Schedule 15,51,53,54",SUM('Normalized Units'!M$228:M$233,'Normalized Units'!M$251:M$256),SUMIFS(M$195:M$256,$C$195:$C$256,$C263,$E$195:$E$256,$E263))</f>
        <v>86722375.606678769</v>
      </c>
      <c r="N263" s="94">
        <f>IF($C263="Schedule 15,51,53,54",SUM('Normalized Units'!N$228:N$233,'Normalized Units'!N$251:N$256),SUMIFS(N$195:N$256,$C$195:$C$256,$C263,$E$195:$E$256,$E263))</f>
        <v>83121870.932266116</v>
      </c>
      <c r="O263" s="94">
        <f>IF($C263="Schedule 15,51,53,54",SUM('Normalized Units'!O$228:O$233,'Normalized Units'!O$251:O$256),SUMIFS(O$195:O$256,$C$195:$C$256,$C263,$E$195:$E$256,$E263))</f>
        <v>83586104.88014707</v>
      </c>
      <c r="P263" s="94">
        <f>IF($C263="Schedule 15,51,53,54",SUM('Normalized Units'!P$228:P$233,'Normalized Units'!P$251:P$256),SUMIFS(P$195:P$256,$C$195:$C$256,$C263,$E$195:$E$256,$E263))</f>
        <v>77692973.768916547</v>
      </c>
      <c r="Q263" s="94">
        <f>IF($C263="Schedule 15,51,53,54",SUM('Normalized Units'!Q$228:Q$233,'Normalized Units'!Q$251:Q$256),SUMIFS(Q$195:Q$256,$C$195:$C$256,$C263,$E$195:$E$256,$E263))</f>
        <v>73121094.41322808</v>
      </c>
      <c r="R263" s="94">
        <f>IF($C263="Schedule 15,51,53,54",SUM('Normalized Units'!R$228:R$233,'Normalized Units'!R$251:R$256),SUMIFS(R$195:R$256,$C$195:$C$256,$C263,$E$195:$E$256,$E263))</f>
        <v>71118308.313494876</v>
      </c>
      <c r="S263" s="94">
        <f>IF($C263="Schedule 15,51,53,54",SUM('Normalized Units'!S$228:S$233,'Normalized Units'!S$251:S$256),SUMIFS(S$195:S$256,$C$195:$C$256,$C263,$E$195:$E$256,$E263))</f>
        <v>66664646.15493869</v>
      </c>
      <c r="T263" s="94">
        <f>IF($C263="Schedule 15,51,53,54",SUM('Normalized Units'!T$228:T$233,'Normalized Units'!T$251:T$256),SUMIFS(T$195:T$256,$C$195:$C$256,$C263,$E$195:$E$256,$E263))</f>
        <v>68094591.447524875</v>
      </c>
      <c r="U263" s="94">
        <f>IF($C263="Schedule 15,51,53,54",SUM('Normalized Units'!U$228:U$233,'Normalized Units'!U$251:U$256),SUMIFS(U$195:U$256,$C$195:$C$256,$C263,$E$195:$E$256,$E263))</f>
        <v>69691792.01834476</v>
      </c>
    </row>
    <row r="264" spans="2:21">
      <c r="B264" s="55" t="s">
        <v>266</v>
      </c>
      <c r="C264" s="174" t="s">
        <v>215</v>
      </c>
      <c r="D264" s="57" t="s">
        <v>132</v>
      </c>
      <c r="E264" s="94" t="s">
        <v>114</v>
      </c>
      <c r="F264" s="57" t="s">
        <v>132</v>
      </c>
      <c r="G264" s="57" t="s">
        <v>132</v>
      </c>
      <c r="H264" s="57" t="s">
        <v>4</v>
      </c>
      <c r="I264" s="55">
        <f t="shared" si="16"/>
        <v>10527566.700870086</v>
      </c>
      <c r="J264" s="94">
        <f>IF($C264="Schedule 15,51,53,54",SUM('Normalized Units'!J$228:J$233,'Normalized Units'!J$251:J$256),SUMIFS(J$195:J$256,$C$195:$C$256,$C264,$E$195:$E$256,$E264))</f>
        <v>863948.65324150771</v>
      </c>
      <c r="K264" s="94">
        <f>IF($C264="Schedule 15,51,53,54",SUM('Normalized Units'!K$228:K$233,'Normalized Units'!K$251:K$256),SUMIFS(K$195:K$256,$C$195:$C$256,$C264,$E$195:$E$256,$E264))</f>
        <v>1011827.1278763207</v>
      </c>
      <c r="L264" s="94">
        <f>IF($C264="Schedule 15,51,53,54",SUM('Normalized Units'!L$228:L$233,'Normalized Units'!L$251:L$256),SUMIFS(L$195:L$256,$C$195:$C$256,$C264,$E$195:$E$256,$E264))</f>
        <v>995069.60979129618</v>
      </c>
      <c r="M264" s="94">
        <f>IF($C264="Schedule 15,51,53,54",SUM('Normalized Units'!M$228:M$233,'Normalized Units'!M$251:M$256),SUMIFS(M$195:M$256,$C$195:$C$256,$C264,$E$195:$E$256,$E264))</f>
        <v>905653.17817712983</v>
      </c>
      <c r="N264" s="94">
        <f>IF($C264="Schedule 15,51,53,54",SUM('Normalized Units'!N$228:N$233,'Normalized Units'!N$251:N$256),SUMIFS(N$195:N$256,$C$195:$C$256,$C264,$E$195:$E$256,$E264))</f>
        <v>961438.71803229558</v>
      </c>
      <c r="O264" s="94">
        <f>IF($C264="Schedule 15,51,53,54",SUM('Normalized Units'!O$228:O$233,'Normalized Units'!O$251:O$256),SUMIFS(O$195:O$256,$C$195:$C$256,$C264,$E$195:$E$256,$E264))</f>
        <v>943299.24890560925</v>
      </c>
      <c r="P264" s="94">
        <f>IF($C264="Schedule 15,51,53,54",SUM('Normalized Units'!P$228:P$233,'Normalized Units'!P$251:P$256),SUMIFS(P$195:P$256,$C$195:$C$256,$C264,$E$195:$E$256,$E264))</f>
        <v>912105.3899045086</v>
      </c>
      <c r="Q264" s="94">
        <f>IF($C264="Schedule 15,51,53,54",SUM('Normalized Units'!Q$228:Q$233,'Normalized Units'!Q$251:Q$256),SUMIFS(Q$195:Q$256,$C$195:$C$256,$C264,$E$195:$E$256,$E264))</f>
        <v>848463.66443724767</v>
      </c>
      <c r="R264" s="94">
        <f>IF($C264="Schedule 15,51,53,54",SUM('Normalized Units'!R$228:R$233,'Normalized Units'!R$251:R$256),SUMIFS(R$195:R$256,$C$195:$C$256,$C264,$E$195:$E$256,$E264))</f>
        <v>773309.72544788069</v>
      </c>
      <c r="S264" s="94">
        <f>IF($C264="Schedule 15,51,53,54",SUM('Normalized Units'!S$228:S$233,'Normalized Units'!S$251:S$256),SUMIFS(S$195:S$256,$C$195:$C$256,$C264,$E$195:$E$256,$E264))</f>
        <v>722356.65220017731</v>
      </c>
      <c r="T264" s="94">
        <f>IF($C264="Schedule 15,51,53,54",SUM('Normalized Units'!T$228:T$233,'Normalized Units'!T$251:T$256),SUMIFS(T$195:T$256,$C$195:$C$256,$C264,$E$195:$E$256,$E264))</f>
        <v>868574.16813171713</v>
      </c>
      <c r="U264" s="94">
        <f>IF($C264="Schedule 15,51,53,54",SUM('Normalized Units'!U$228:U$233,'Normalized Units'!U$251:U$256),SUMIFS(U$195:U$256,$C$195:$C$256,$C264,$E$195:$E$256,$E264))</f>
        <v>721520.56472439447</v>
      </c>
    </row>
    <row r="265" spans="2:21">
      <c r="B265" s="55" t="s">
        <v>266</v>
      </c>
      <c r="C265" s="94" t="s">
        <v>109</v>
      </c>
      <c r="D265" s="57" t="s">
        <v>132</v>
      </c>
      <c r="E265" s="94" t="s">
        <v>113</v>
      </c>
      <c r="F265" s="57" t="s">
        <v>132</v>
      </c>
      <c r="G265" s="57" t="s">
        <v>132</v>
      </c>
      <c r="H265" s="57" t="s">
        <v>4</v>
      </c>
      <c r="I265" s="55">
        <f t="shared" si="16"/>
        <v>324478745.60633916</v>
      </c>
      <c r="J265" s="94">
        <f>IF($C265="Schedule 15,51,53,54",SUM('Normalized Units'!J$228:J$233,'Normalized Units'!J$251:J$256),SUMIFS(J$195:J$256,$C$195:$C$256,$C265,$E$195:$E$256,$E265))</f>
        <v>30024181.973321062</v>
      </c>
      <c r="K265" s="94">
        <f>IF($C265="Schedule 15,51,53,54",SUM('Normalized Units'!K$228:K$233,'Normalized Units'!K$251:K$256),SUMIFS(K$195:K$256,$C$195:$C$256,$C265,$E$195:$E$256,$E265))</f>
        <v>28247286.227545887</v>
      </c>
      <c r="L265" s="94">
        <f>IF($C265="Schedule 15,51,53,54",SUM('Normalized Units'!L$228:L$233,'Normalized Units'!L$251:L$256),SUMIFS(L$195:L$256,$C$195:$C$256,$C265,$E$195:$E$256,$E265))</f>
        <v>29273773.711429223</v>
      </c>
      <c r="M265" s="94">
        <f>IF($C265="Schedule 15,51,53,54",SUM('Normalized Units'!M$228:M$233,'Normalized Units'!M$251:M$256),SUMIFS(M$195:M$256,$C$195:$C$256,$C265,$E$195:$E$256,$E265))</f>
        <v>29381861.078878943</v>
      </c>
      <c r="N265" s="94">
        <f>IF($C265="Schedule 15,51,53,54",SUM('Normalized Units'!N$228:N$233,'Normalized Units'!N$251:N$256),SUMIFS(N$195:N$256,$C$195:$C$256,$C265,$E$195:$E$256,$E265))</f>
        <v>29757095.555886444</v>
      </c>
      <c r="O265" s="94">
        <f>IF($C265="Schedule 15,51,53,54",SUM('Normalized Units'!O$228:O$233,'Normalized Units'!O$251:O$256),SUMIFS(O$195:O$256,$C$195:$C$256,$C265,$E$195:$E$256,$E265))</f>
        <v>27510747.364386164</v>
      </c>
      <c r="P265" s="94">
        <f>IF($C265="Schedule 15,51,53,54",SUM('Normalized Units'!P$228:P$233,'Normalized Units'!P$251:P$256),SUMIFS(P$195:P$256,$C$195:$C$256,$C265,$E$195:$E$256,$E265))</f>
        <v>24695008.502139259</v>
      </c>
      <c r="Q265" s="94">
        <f>IF($C265="Schedule 15,51,53,54",SUM('Normalized Units'!Q$228:Q$233,'Normalized Units'!Q$251:Q$256),SUMIFS(Q$195:Q$256,$C$195:$C$256,$C265,$E$195:$E$256,$E265))</f>
        <v>25027472.763430737</v>
      </c>
      <c r="R265" s="94">
        <f>IF($C265="Schedule 15,51,53,54",SUM('Normalized Units'!R$228:R$233,'Normalized Units'!R$251:R$256),SUMIFS(R$195:R$256,$C$195:$C$256,$C265,$E$195:$E$256,$E265))</f>
        <v>25039666.578196816</v>
      </c>
      <c r="S265" s="94">
        <f>IF($C265="Schedule 15,51,53,54",SUM('Normalized Units'!S$228:S$233,'Normalized Units'!S$251:S$256),SUMIFS(S$195:S$256,$C$195:$C$256,$C265,$E$195:$E$256,$E265))</f>
        <v>24970344.870513849</v>
      </c>
      <c r="T265" s="94">
        <f>IF($C265="Schedule 15,51,53,54",SUM('Normalized Units'!T$228:T$233,'Normalized Units'!T$251:T$256),SUMIFS(T$195:T$256,$C$195:$C$256,$C265,$E$195:$E$256,$E265))</f>
        <v>24667379.929165084</v>
      </c>
      <c r="U265" s="94">
        <f>IF($C265="Schedule 15,51,53,54",SUM('Normalized Units'!U$228:U$233,'Normalized Units'!U$251:U$256),SUMIFS(U$195:U$256,$C$195:$C$256,$C265,$E$195:$E$256,$E265))</f>
        <v>25883927.051445637</v>
      </c>
    </row>
    <row r="266" spans="2:21">
      <c r="B266" s="55" t="s">
        <v>266</v>
      </c>
      <c r="C266" s="94" t="s">
        <v>109</v>
      </c>
      <c r="D266" s="57" t="s">
        <v>132</v>
      </c>
      <c r="E266" s="94" t="s">
        <v>114</v>
      </c>
      <c r="F266" s="57" t="s">
        <v>132</v>
      </c>
      <c r="G266" s="57" t="s">
        <v>132</v>
      </c>
      <c r="H266" s="57" t="s">
        <v>4</v>
      </c>
      <c r="I266" s="55">
        <f t="shared" si="16"/>
        <v>52217824.538150415</v>
      </c>
      <c r="J266" s="94">
        <f>IF($C266="Schedule 15,51,53,54",SUM('Normalized Units'!J$228:J$233,'Normalized Units'!J$251:J$256),SUMIFS(J$195:J$256,$C$195:$C$256,$C266,$E$195:$E$256,$E266))</f>
        <v>4885747.3927753503</v>
      </c>
      <c r="K266" s="94">
        <f>IF($C266="Schedule 15,51,53,54",SUM('Normalized Units'!K$228:K$233,'Normalized Units'!K$251:K$256),SUMIFS(K$195:K$256,$C$195:$C$256,$C266,$E$195:$E$256,$E266))</f>
        <v>5237715.6705300966</v>
      </c>
      <c r="L266" s="94">
        <f>IF($C266="Schedule 15,51,53,54",SUM('Normalized Units'!L$228:L$233,'Normalized Units'!L$251:L$256),SUMIFS(L$195:L$256,$C$195:$C$256,$C266,$E$195:$E$256,$E266))</f>
        <v>4547384.3656852758</v>
      </c>
      <c r="M266" s="94">
        <f>IF($C266="Schedule 15,51,53,54",SUM('Normalized Units'!M$228:M$233,'Normalized Units'!M$251:M$256),SUMIFS(M$195:M$256,$C$195:$C$256,$C266,$E$195:$E$256,$E266))</f>
        <v>4529464.0292613488</v>
      </c>
      <c r="N266" s="94">
        <f>IF($C266="Schedule 15,51,53,54",SUM('Normalized Units'!N$228:N$233,'Normalized Units'!N$251:N$256),SUMIFS(N$195:N$256,$C$195:$C$256,$C266,$E$195:$E$256,$E266))</f>
        <v>4320358.8939178232</v>
      </c>
      <c r="O266" s="94">
        <f>IF($C266="Schedule 15,51,53,54",SUM('Normalized Units'!O$228:O$233,'Normalized Units'!O$251:O$256),SUMIFS(O$195:O$256,$C$195:$C$256,$C266,$E$195:$E$256,$E266))</f>
        <v>4780225.37946444</v>
      </c>
      <c r="P266" s="94">
        <f>IF($C266="Schedule 15,51,53,54",SUM('Normalized Units'!P$228:P$233,'Normalized Units'!P$251:P$256),SUMIFS(P$195:P$256,$C$195:$C$256,$C266,$E$195:$E$256,$E266))</f>
        <v>4307740.0324268527</v>
      </c>
      <c r="Q266" s="94">
        <f>IF($C266="Schedule 15,51,53,54",SUM('Normalized Units'!Q$228:Q$233,'Normalized Units'!Q$251:Q$256),SUMIFS(Q$195:Q$256,$C$195:$C$256,$C266,$E$195:$E$256,$E266))</f>
        <v>4189171.2003893587</v>
      </c>
      <c r="R266" s="94">
        <f>IF($C266="Schedule 15,51,53,54",SUM('Normalized Units'!R$228:R$233,'Normalized Units'!R$251:R$256),SUMIFS(R$195:R$256,$C$195:$C$256,$C266,$E$195:$E$256,$E266))</f>
        <v>3964876.3645199845</v>
      </c>
      <c r="S266" s="94">
        <f>IF($C266="Schedule 15,51,53,54",SUM('Normalized Units'!S$228:S$233,'Normalized Units'!S$251:S$256),SUMIFS(S$195:S$256,$C$195:$C$256,$C266,$E$195:$E$256,$E266))</f>
        <v>3768562.5278361314</v>
      </c>
      <c r="T266" s="94">
        <f>IF($C266="Schedule 15,51,53,54",SUM('Normalized Units'!T$228:T$233,'Normalized Units'!T$251:T$256),SUMIFS(T$195:T$256,$C$195:$C$256,$C266,$E$195:$E$256,$E266))</f>
        <v>3806744.9829342291</v>
      </c>
      <c r="U266" s="94">
        <f>IF($C266="Schedule 15,51,53,54",SUM('Normalized Units'!U$228:U$233,'Normalized Units'!U$251:U$256),SUMIFS(U$195:U$256,$C$195:$C$256,$C266,$E$195:$E$256,$E266))</f>
        <v>3879833.6984095303</v>
      </c>
    </row>
    <row r="267" spans="2:21">
      <c r="B267" s="55" t="s">
        <v>266</v>
      </c>
      <c r="C267" s="174" t="s">
        <v>223</v>
      </c>
      <c r="D267" s="57" t="s">
        <v>132</v>
      </c>
      <c r="E267" s="94" t="s">
        <v>114</v>
      </c>
      <c r="F267" s="57" t="s">
        <v>132</v>
      </c>
      <c r="G267" s="57" t="s">
        <v>132</v>
      </c>
      <c r="H267" s="57" t="s">
        <v>4</v>
      </c>
      <c r="I267" s="55">
        <f t="shared" si="16"/>
        <v>544168565.28857481</v>
      </c>
      <c r="J267" s="94">
        <f>IF($C267="Schedule 15,51,53,54",SUM('Normalized Units'!J$228:J$233,'Normalized Units'!J$251:J$256),SUMIFS(J$195:J$256,$C$195:$C$256,$C267,$E$195:$E$256,$E267))</f>
        <v>46354267.232863262</v>
      </c>
      <c r="K267" s="94">
        <f>IF($C267="Schedule 15,51,53,54",SUM('Normalized Units'!K$228:K$233,'Normalized Units'!K$251:K$256),SUMIFS(K$195:K$256,$C$195:$C$256,$C267,$E$195:$E$256,$E267))</f>
        <v>46060541.568033181</v>
      </c>
      <c r="L267" s="94">
        <f>IF($C267="Schedule 15,51,53,54",SUM('Normalized Units'!L$228:L$233,'Normalized Units'!L$251:L$256),SUMIFS(L$195:L$256,$C$195:$C$256,$C267,$E$195:$E$256,$E267))</f>
        <v>46941718.674797967</v>
      </c>
      <c r="M267" s="94">
        <f>IF($C267="Schedule 15,51,53,54",SUM('Normalized Units'!M$228:M$233,'Normalized Units'!M$251:M$256),SUMIFS(M$195:M$256,$C$195:$C$256,$C267,$E$195:$E$256,$E267))</f>
        <v>44581034.289620548</v>
      </c>
      <c r="N267" s="94">
        <f>IF($C267="Schedule 15,51,53,54",SUM('Normalized Units'!N$228:N$233,'Normalized Units'!N$251:N$256),SUMIFS(N$195:N$256,$C$195:$C$256,$C267,$E$195:$E$256,$E267))</f>
        <v>45512978.951412737</v>
      </c>
      <c r="O267" s="94">
        <f>IF($C267="Schedule 15,51,53,54",SUM('Normalized Units'!O$228:O$233,'Normalized Units'!O$251:O$256),SUMIFS(O$195:O$256,$C$195:$C$256,$C267,$E$195:$E$256,$E267))</f>
        <v>44435984.672386482</v>
      </c>
      <c r="P267" s="94">
        <f>IF($C267="Schedule 15,51,53,54",SUM('Normalized Units'!P$228:P$233,'Normalized Units'!P$251:P$256),SUMIFS(P$195:P$256,$C$195:$C$256,$C267,$E$195:$E$256,$E267))</f>
        <v>47224565.684764601</v>
      </c>
      <c r="Q267" s="94">
        <f>IF($C267="Schedule 15,51,53,54",SUM('Normalized Units'!Q$228:Q$233,'Normalized Units'!Q$251:Q$256),SUMIFS(Q$195:Q$256,$C$195:$C$256,$C267,$E$195:$E$256,$E267))</f>
        <v>46604478.165965006</v>
      </c>
      <c r="R267" s="94">
        <f>IF($C267="Schedule 15,51,53,54",SUM('Normalized Units'!R$228:R$233,'Normalized Units'!R$251:R$256),SUMIFS(R$195:R$256,$C$195:$C$256,$C267,$E$195:$E$256,$E267))</f>
        <v>43290091.649590172</v>
      </c>
      <c r="S267" s="94">
        <f>IF($C267="Schedule 15,51,53,54",SUM('Normalized Units'!S$228:S$233,'Normalized Units'!S$251:S$256),SUMIFS(S$195:S$256,$C$195:$C$256,$C267,$E$195:$E$256,$E267))</f>
        <v>43188557.09157563</v>
      </c>
      <c r="T267" s="94">
        <f>IF($C267="Schedule 15,51,53,54",SUM('Normalized Units'!T$228:T$233,'Normalized Units'!T$251:T$256),SUMIFS(T$195:T$256,$C$195:$C$256,$C267,$E$195:$E$256,$E267))</f>
        <v>42898457.532075517</v>
      </c>
      <c r="U267" s="94">
        <f>IF($C267="Schedule 15,51,53,54",SUM('Normalized Units'!U$228:U$233,'Normalized Units'!U$251:U$256),SUMIFS(U$195:U$256,$C$195:$C$256,$C267,$E$195:$E$256,$E267))</f>
        <v>47075889.775489599</v>
      </c>
    </row>
    <row r="268" spans="2:21">
      <c r="B268" s="55" t="s">
        <v>266</v>
      </c>
      <c r="C268" s="94" t="s">
        <v>89</v>
      </c>
      <c r="D268" s="57" t="s">
        <v>132</v>
      </c>
      <c r="E268" s="94" t="s">
        <v>132</v>
      </c>
      <c r="F268" s="57" t="s">
        <v>132</v>
      </c>
      <c r="G268" s="57" t="s">
        <v>132</v>
      </c>
      <c r="H268" s="57" t="s">
        <v>4</v>
      </c>
      <c r="I268" s="55">
        <f t="shared" si="16"/>
        <v>152841487.16573822</v>
      </c>
      <c r="J268" s="94">
        <f>IF($C268="Schedule 15,51,53,54",SUM('Normalized Units'!J$228:J$233,'Normalized Units'!J$251:J$256),SUMIFS(J$195:J$256,$C$195:$C$256,$C268,$E$195:$E$256,$E268))</f>
        <v>30903359.040253222</v>
      </c>
      <c r="K268" s="94">
        <f>IF($C268="Schedule 15,51,53,54",SUM('Normalized Units'!K$228:K$233,'Normalized Units'!K$251:K$256),SUMIFS(K$195:K$256,$C$195:$C$256,$C268,$E$195:$E$256,$E268))</f>
        <v>33490996.894180678</v>
      </c>
      <c r="L268" s="94">
        <f>IF($C268="Schedule 15,51,53,54",SUM('Normalized Units'!L$228:L$233,'Normalized Units'!L$251:L$256),SUMIFS(L$195:L$256,$C$195:$C$256,$C268,$E$195:$E$256,$E268))</f>
        <v>26225394.423008308</v>
      </c>
      <c r="M268" s="94">
        <f>IF($C268="Schedule 15,51,53,54",SUM('Normalized Units'!M$228:M$233,'Normalized Units'!M$251:M$256),SUMIFS(M$195:M$256,$C$195:$C$256,$C268,$E$195:$E$256,$E268))</f>
        <v>14814041.997242451</v>
      </c>
      <c r="N268" s="94">
        <f>IF($C268="Schedule 15,51,53,54",SUM('Normalized Units'!N$228:N$233,'Normalized Units'!N$251:N$256),SUMIFS(N$195:N$256,$C$195:$C$256,$C268,$E$195:$E$256,$E268))</f>
        <v>4310576.7716076737</v>
      </c>
      <c r="O268" s="94">
        <f>IF($C268="Schedule 15,51,53,54",SUM('Normalized Units'!O$228:O$233,'Normalized Units'!O$251:O$256),SUMIFS(O$195:O$256,$C$195:$C$256,$C268,$E$195:$E$256,$E268))</f>
        <v>795141.81043523434</v>
      </c>
      <c r="P268" s="94">
        <f>IF($C268="Schedule 15,51,53,54",SUM('Normalized Units'!P$228:P$233,'Normalized Units'!P$251:P$256),SUMIFS(P$195:P$256,$C$195:$C$256,$C268,$E$195:$E$256,$E268))</f>
        <v>516336.22182470665</v>
      </c>
      <c r="Q268" s="94">
        <f>IF($C268="Schedule 15,51,53,54",SUM('Normalized Units'!Q$228:Q$233,'Normalized Units'!Q$251:Q$256),SUMIFS(Q$195:Q$256,$C$195:$C$256,$C268,$E$195:$E$256,$E268))</f>
        <v>498195.06194935995</v>
      </c>
      <c r="R268" s="94">
        <f>IF($C268="Schedule 15,51,53,54",SUM('Normalized Units'!R$228:R$233,'Normalized Units'!R$251:R$256),SUMIFS(R$195:R$256,$C$195:$C$256,$C268,$E$195:$E$256,$E268))</f>
        <v>2359327.7966310955</v>
      </c>
      <c r="S268" s="94">
        <f>IF($C268="Schedule 15,51,53,54",SUM('Normalized Units'!S$228:S$233,'Normalized Units'!S$251:S$256),SUMIFS(S$195:S$256,$C$195:$C$256,$C268,$E$195:$E$256,$E268))</f>
        <v>8742077.8012376893</v>
      </c>
      <c r="T268" s="94">
        <f>IF($C268="Schedule 15,51,53,54",SUM('Normalized Units'!T$228:T$233,'Normalized Units'!T$251:T$256),SUMIFS(T$195:T$256,$C$195:$C$256,$C268,$E$195:$E$256,$E268))</f>
        <v>12957065.994799087</v>
      </c>
      <c r="U268" s="94">
        <f>IF($C268="Schedule 15,51,53,54",SUM('Normalized Units'!U$228:U$233,'Normalized Units'!U$251:U$256),SUMIFS(U$195:U$256,$C$195:$C$256,$C268,$E$195:$E$256,$E268))</f>
        <v>17228973.352568753</v>
      </c>
    </row>
    <row r="269" spans="2:21">
      <c r="B269" s="55" t="s">
        <v>266</v>
      </c>
      <c r="C269" s="175" t="s">
        <v>267</v>
      </c>
      <c r="D269" s="57" t="s">
        <v>132</v>
      </c>
      <c r="E269" s="94" t="s">
        <v>132</v>
      </c>
      <c r="F269" s="57" t="s">
        <v>132</v>
      </c>
      <c r="G269" s="57" t="s">
        <v>132</v>
      </c>
      <c r="H269" s="57" t="s">
        <v>4</v>
      </c>
      <c r="I269" s="55">
        <f t="shared" si="16"/>
        <v>6952920.3925157655</v>
      </c>
      <c r="J269" s="94">
        <f>IF($C269="Schedule 15,51,53,54",SUM('Normalized Units'!J$228:J$233,'Normalized Units'!J$251:J$256),SUMIFS(J$195:J$256,$C$195:$C$256,$C269,$E$195:$E$256,$E269))</f>
        <v>561364.35226087563</v>
      </c>
      <c r="K269" s="94">
        <f>IF($C269="Schedule 15,51,53,54",SUM('Normalized Units'!K$228:K$233,'Normalized Units'!K$251:K$256),SUMIFS(K$195:K$256,$C$195:$C$256,$C269,$E$195:$E$256,$E269))</f>
        <v>560953.7382914226</v>
      </c>
      <c r="L269" s="94">
        <f>IF($C269="Schedule 15,51,53,54",SUM('Normalized Units'!L$228:L$233,'Normalized Units'!L$251:L$256),SUMIFS(L$195:L$256,$C$195:$C$256,$C269,$E$195:$E$256,$E269))</f>
        <v>563160.72890687385</v>
      </c>
      <c r="M269" s="94">
        <f>IF($C269="Schedule 15,51,53,54",SUM('Normalized Units'!M$228:M$233,'Normalized Units'!M$251:M$256),SUMIFS(M$195:M$256,$C$195:$C$256,$C269,$E$195:$E$256,$E269))</f>
        <v>579018.23464571452</v>
      </c>
      <c r="N269" s="94">
        <f>IF($C269="Schedule 15,51,53,54",SUM('Normalized Units'!N$228:N$233,'Normalized Units'!N$251:N$256),SUMIFS(N$195:N$256,$C$195:$C$256,$C269,$E$195:$E$256,$E269))</f>
        <v>596448.91885353241</v>
      </c>
      <c r="O269" s="94">
        <f>IF($C269="Schedule 15,51,53,54",SUM('Normalized Units'!O$228:O$233,'Normalized Units'!O$251:O$256),SUMIFS(O$195:O$256,$C$195:$C$256,$C269,$E$195:$E$256,$E269))</f>
        <v>603862.39715947607</v>
      </c>
      <c r="P269" s="94">
        <f>IF($C269="Schedule 15,51,53,54",SUM('Normalized Units'!P$228:P$233,'Normalized Units'!P$251:P$256),SUMIFS(P$195:P$256,$C$195:$C$256,$C269,$E$195:$E$256,$E269))</f>
        <v>600259.67961441667</v>
      </c>
      <c r="Q269" s="94">
        <f>IF($C269="Schedule 15,51,53,54",SUM('Normalized Units'!Q$228:Q$233,'Normalized Units'!Q$251:Q$256),SUMIFS(Q$195:Q$256,$C$195:$C$256,$C269,$E$195:$E$256,$E269))</f>
        <v>591436.41080835182</v>
      </c>
      <c r="R269" s="94">
        <f>IF($C269="Schedule 15,51,53,54",SUM('Normalized Units'!R$228:R$233,'Normalized Units'!R$251:R$256),SUMIFS(R$195:R$256,$C$195:$C$256,$C269,$E$195:$E$256,$E269))</f>
        <v>595683.92872489197</v>
      </c>
      <c r="S269" s="94">
        <f>IF($C269="Schedule 15,51,53,54",SUM('Normalized Units'!S$228:S$233,'Normalized Units'!S$251:S$256),SUMIFS(S$195:S$256,$C$195:$C$256,$C269,$E$195:$E$256,$E269))</f>
        <v>581111.36801267264</v>
      </c>
      <c r="T269" s="94">
        <f>IF($C269="Schedule 15,51,53,54",SUM('Normalized Units'!T$228:T$233,'Normalized Units'!T$251:T$256),SUMIFS(T$195:T$256,$C$195:$C$256,$C269,$E$195:$E$256,$E269))</f>
        <v>562971.9314278852</v>
      </c>
      <c r="U269" s="94">
        <f>IF($C269="Schedule 15,51,53,54",SUM('Normalized Units'!U$228:U$233,'Normalized Units'!U$251:U$256),SUMIFS(U$195:U$256,$C$195:$C$256,$C269,$E$195:$E$256,$E269))</f>
        <v>556648.70380965294</v>
      </c>
    </row>
    <row r="270" spans="2:21">
      <c r="B270" s="105" t="s">
        <v>266</v>
      </c>
      <c r="C270" s="95" t="s">
        <v>188</v>
      </c>
      <c r="D270" s="103" t="s">
        <v>132</v>
      </c>
      <c r="E270" s="95" t="s">
        <v>113</v>
      </c>
      <c r="F270" s="103" t="s">
        <v>132</v>
      </c>
      <c r="G270" s="103" t="s">
        <v>132</v>
      </c>
      <c r="H270" s="103" t="s">
        <v>4</v>
      </c>
      <c r="I270" s="55">
        <f t="shared" si="16"/>
        <v>1689224.9749023144</v>
      </c>
      <c r="J270" s="95">
        <f>IF($C270="Schedule 15,51,53,54",SUM('Normalized Units'!J$228:J$233,'Normalized Units'!J$251:J$256),SUMIFS(J$195:J$256,$C$195:$C$256,$C270,$E$195:$E$256,$E270))</f>
        <v>123896.64395526815</v>
      </c>
      <c r="K270" s="95">
        <f>IF($C270="Schedule 15,51,53,54",SUM('Normalized Units'!K$228:K$233,'Normalized Units'!K$251:K$256),SUMIFS(K$195:K$256,$C$195:$C$256,$C270,$E$195:$E$256,$E270))</f>
        <v>174261.13336797879</v>
      </c>
      <c r="L270" s="95">
        <f>IF($C270="Schedule 15,51,53,54",SUM('Normalized Units'!L$228:L$233,'Normalized Units'!L$251:L$256),SUMIFS(L$195:L$256,$C$195:$C$256,$C270,$E$195:$E$256,$E270))</f>
        <v>171239.26400321614</v>
      </c>
      <c r="M270" s="95">
        <f>IF($C270="Schedule 15,51,53,54",SUM('Normalized Units'!M$228:M$233,'Normalized Units'!M$251:M$256),SUMIFS(M$195:M$256,$C$195:$C$256,$C270,$E$195:$E$256,$E270))</f>
        <v>119867.4848022513</v>
      </c>
      <c r="N270" s="95">
        <f>IF($C270="Schedule 15,51,53,54",SUM('Normalized Units'!N$228:N$233,'Normalized Units'!N$251:N$256),SUMIFS(N$195:N$256,$C$195:$C$256,$C270,$E$195:$E$256,$E270))</f>
        <v>137998.70099082711</v>
      </c>
      <c r="O270" s="95">
        <f>IF($C270="Schedule 15,51,53,54",SUM('Normalized Units'!O$228:O$233,'Normalized Units'!O$251:O$256),SUMIFS(O$195:O$256,$C$195:$C$256,$C270,$E$195:$E$256,$E270))</f>
        <v>132962.25204955606</v>
      </c>
      <c r="P270" s="95">
        <f>IF($C270="Schedule 15,51,53,54",SUM('Normalized Units'!P$228:P$233,'Normalized Units'!P$251:P$256),SUMIFS(P$195:P$256,$C$195:$C$256,$C270,$E$195:$E$256,$E270))</f>
        <v>374711.8012305671</v>
      </c>
      <c r="Q270" s="95">
        <f>IF($C270="Schedule 15,51,53,54",SUM('Normalized Units'!Q$228:Q$233,'Normalized Units'!Q$251:Q$256),SUMIFS(Q$195:Q$256,$C$195:$C$256,$C270,$E$195:$E$256,$E270))</f>
        <v>101736.26861367549</v>
      </c>
      <c r="R270" s="95">
        <f>IF($C270="Schedule 15,51,53,54",SUM('Normalized Units'!R$228:R$233,'Normalized Units'!R$251:R$256),SUMIFS(R$195:R$256,$C$195:$C$256,$C270,$E$195:$E$256,$E270))</f>
        <v>102743.55840192968</v>
      </c>
      <c r="S270" s="95">
        <f>IF($C270="Schedule 15,51,53,54",SUM('Normalized Units'!S$228:S$233,'Normalized Units'!S$251:S$256),SUMIFS(S$195:S$256,$C$195:$C$256,$C270,$E$195:$E$256,$E270))</f>
        <v>71517.574966049098</v>
      </c>
      <c r="T270" s="95">
        <f>IF($C270="Schedule 15,51,53,54",SUM('Normalized Units'!T$228:T$233,'Normalized Units'!T$251:T$256),SUMIFS(T$195:T$256,$C$195:$C$256,$C270,$E$195:$E$256,$E270))</f>
        <v>85619.632001608057</v>
      </c>
      <c r="U270" s="95">
        <f>IF($C270="Schedule 15,51,53,54",SUM('Normalized Units'!U$228:U$233,'Normalized Units'!U$251:U$256),SUMIFS(U$195:U$256,$C$195:$C$256,$C270,$E$195:$E$256,$E270))</f>
        <v>92670.660519387558</v>
      </c>
    </row>
    <row r="271" spans="2:21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>
      <c r="B272" s="57" t="s">
        <v>291</v>
      </c>
      <c r="C272" s="101" t="s">
        <v>356</v>
      </c>
      <c r="D272" s="55" t="s">
        <v>2</v>
      </c>
      <c r="E272" s="57" t="s">
        <v>132</v>
      </c>
      <c r="F272" s="57" t="s">
        <v>132</v>
      </c>
      <c r="G272" s="57" t="s">
        <v>132</v>
      </c>
      <c r="H272" s="55" t="s">
        <v>4</v>
      </c>
      <c r="I272" s="55">
        <f>SUM(J272:U272)</f>
        <v>-2080953.9801362143</v>
      </c>
      <c r="J272" s="55">
        <f>'Sch.16,17,19'!$Q$23*(J195-J149)+'Sch.16,17,19'!$Q$24*(J196-J150)</f>
        <v>-1900431.4078081381</v>
      </c>
      <c r="K272" s="55">
        <f>'Sch.16,17,19'!$Q$23*(K195-K149)+'Sch.16,17,19'!$Q$24*(K196-K150)</f>
        <v>-262240.9713212183</v>
      </c>
      <c r="L272" s="55">
        <f>'Sch.16,17,19'!$Q$23*(L195-L149)+'Sch.16,17,19'!$Q$24*(L196-L150)</f>
        <v>217305.44824789368</v>
      </c>
      <c r="M272" s="55">
        <f>'Sch.16,17,19'!$Q$23*(M195-M149)+'Sch.16,17,19'!$Q$24*(M196-M150)</f>
        <v>350832.10498269281</v>
      </c>
      <c r="N272" s="55">
        <f>'Sch.16,17,19'!$Q$23*(N195-N149)+'Sch.16,17,19'!$Q$24*(N196-N150)</f>
        <v>1744986.8161060493</v>
      </c>
      <c r="O272" s="55">
        <f>'Sch.16,17,19'!$Q$23*(O195-O149)+'Sch.16,17,19'!$Q$24*(O196-O150)</f>
        <v>1056719.725450543</v>
      </c>
      <c r="P272" s="55">
        <f>'Sch.16,17,19'!$Q$23*(P195-P149)+'Sch.16,17,19'!$Q$24*(P196-P150)</f>
        <v>-2351524.3349704286</v>
      </c>
      <c r="Q272" s="55">
        <f>'Sch.16,17,19'!$Q$23*(Q195-Q149)+'Sch.16,17,19'!$Q$24*(Q196-Q150)</f>
        <v>-533156.61189052742</v>
      </c>
      <c r="R272" s="55">
        <f>'Sch.16,17,19'!$Q$23*(R195-R149)+'Sch.16,17,19'!$Q$24*(R196-R150)</f>
        <v>939472.18104601884</v>
      </c>
      <c r="S272" s="55">
        <f>'Sch.16,17,19'!$Q$23*(S195-S149)+'Sch.16,17,19'!$Q$24*(S196-S150)</f>
        <v>-1698776.764379384</v>
      </c>
      <c r="T272" s="55">
        <f>'Sch.16,17,19'!$Q$23*(T195-T149)+'Sch.16,17,19'!$Q$24*(T196-T150)</f>
        <v>-63763.633376156162</v>
      </c>
      <c r="U272" s="55">
        <f>'Sch.16,17,19'!$Q$23*(U195-U149)+'Sch.16,17,19'!$Q$24*(U196-U150)</f>
        <v>419623.46777644067</v>
      </c>
    </row>
    <row r="273" spans="2:21">
      <c r="B273" s="57" t="s">
        <v>291</v>
      </c>
      <c r="C273" s="57" t="s">
        <v>165</v>
      </c>
      <c r="D273" s="57" t="s">
        <v>3</v>
      </c>
      <c r="E273" s="57" t="s">
        <v>132</v>
      </c>
      <c r="F273" s="57" t="s">
        <v>132</v>
      </c>
      <c r="G273" s="57" t="s">
        <v>132</v>
      </c>
      <c r="H273" s="55" t="s">
        <v>4</v>
      </c>
      <c r="I273" s="55">
        <f t="shared" ref="I273:I276" si="17">SUM(J273:U273)</f>
        <v>-69725.541098391186</v>
      </c>
      <c r="J273" s="55">
        <f>Sch.24!$S$59*(J200-J154)+Sch.24!$S$60*(J201-J155)+Sch.24!$S$61*(J202-J156)</f>
        <v>-261092.24201314425</v>
      </c>
      <c r="K273" s="55">
        <f>Sch.24!$S$59*(K200-K154)+Sch.24!$S$60*(K201-K155)+Sch.24!$S$61*(K202-K156)</f>
        <v>-26844.173157805842</v>
      </c>
      <c r="L273" s="55">
        <f>Sch.24!$S$59*(L200-L154)+Sch.24!$S$60*(L201-L155)+Sch.24!$S$61*(L202-L156)</f>
        <v>28477.628797828605</v>
      </c>
      <c r="M273" s="55">
        <f>Sch.24!$S$59*(M200-M154)+Sch.24!$S$60*(M201-M155)+Sch.24!$S$61*(M202-M156)</f>
        <v>19344.884457704306</v>
      </c>
      <c r="N273" s="55">
        <f>Sch.24!$S$59*(N200-N154)+Sch.24!$S$60*(N201-N155)+Sch.24!$S$61*(N202-N156)</f>
        <v>67711.778809347059</v>
      </c>
      <c r="O273" s="55">
        <f>Sch.24!$S$59*(O200-O154)+Sch.24!$S$60*(O201-O155)+Sch.24!$S$61*(O202-O156)</f>
        <v>48343.12051532061</v>
      </c>
      <c r="P273" s="55">
        <f>Sch.24!$S$59*(P200-P154)+Sch.24!$S$60*(P201-P155)+Sch.24!$S$61*(P202-P156)</f>
        <v>-116454.76197380392</v>
      </c>
      <c r="Q273" s="55">
        <f>Sch.24!$S$59*(Q200-Q154)+Sch.24!$S$60*(Q201-Q155)+Sch.24!$S$61*(Q202-Q156)</f>
        <v>-27052.07002045833</v>
      </c>
      <c r="R273" s="55">
        <f>Sch.24!$S$59*(R200-R154)+Sch.24!$S$60*(R201-R155)+Sch.24!$S$61*(R202-R156)</f>
        <v>30652.75807748938</v>
      </c>
      <c r="S273" s="55">
        <f>Sch.24!$S$59*(S200-S154)+Sch.24!$S$60*(S201-S155)+Sch.24!$S$61*(S202-S156)</f>
        <v>-21854.919869218022</v>
      </c>
      <c r="T273" s="55">
        <f>Sch.24!$S$59*(T200-T154)+Sch.24!$S$60*(T201-T155)+Sch.24!$S$61*(T202-T156)</f>
        <v>127805.6400376221</v>
      </c>
      <c r="U273" s="55">
        <f>Sch.24!$S$59*(U200-U154)+Sch.24!$S$60*(U201-U155)+Sch.24!$S$61*(U202-U156)</f>
        <v>61236.815240727112</v>
      </c>
    </row>
    <row r="274" spans="2:21">
      <c r="B274" s="57" t="s">
        <v>291</v>
      </c>
      <c r="C274" s="57" t="s">
        <v>215</v>
      </c>
      <c r="D274" s="57" t="s">
        <v>3</v>
      </c>
      <c r="E274" s="57" t="s">
        <v>132</v>
      </c>
      <c r="F274" s="57" t="s">
        <v>132</v>
      </c>
      <c r="G274" s="57" t="s">
        <v>132</v>
      </c>
      <c r="H274" s="55" t="s">
        <v>4</v>
      </c>
      <c r="I274" s="55">
        <f>SUM(J274:U274)</f>
        <v>-7224.5542701902741</v>
      </c>
      <c r="J274" s="55">
        <f>'Sch.29,36'!$S$46*(J208+J210-J162-J164)+'Sch.29,36'!$S$47*(J209+J211-J163-J165)</f>
        <v>-269306.91055047902</v>
      </c>
      <c r="K274" s="55">
        <f>'Sch.29,36'!$S$46*(K208+K210-K162-K164)+'Sch.29,36'!$S$47*(K209+K211-K163-K165)</f>
        <v>-29202.814595846852</v>
      </c>
      <c r="L274" s="55">
        <f>'Sch.29,36'!$S$46*(L208+L210-L162-L164)+'Sch.29,36'!$S$47*(L209+L211-L163-L165)</f>
        <v>33802.56633894852</v>
      </c>
      <c r="M274" s="55">
        <f>'Sch.29,36'!$S$46*(M208+M210-M162-M164)+'Sch.29,36'!$S$47*(M209+M211-M163-M165)</f>
        <v>27173.516171919015</v>
      </c>
      <c r="N274" s="55">
        <f>'Sch.29,36'!$S$46*(N208+N210-N162-N164)+'Sch.29,36'!$S$47*(N209+N211-N163-N165)</f>
        <v>99241.075940864102</v>
      </c>
      <c r="O274" s="55">
        <f>'Sch.29,36'!$S$46*(O208+O210-O162-O164)+'Sch.29,36'!$S$47*(O209+O211-O163-O165)</f>
        <v>54256.398737008087</v>
      </c>
      <c r="P274" s="55">
        <f>'Sch.29,36'!$S$46*(P208+P210-P162-P164)+'Sch.29,36'!$S$47*(P209+P211-P163-P165)</f>
        <v>-122882.96200593955</v>
      </c>
      <c r="Q274" s="55">
        <f>'Sch.29,36'!$S$46*(Q208+Q210-Q162-Q164)+'Sch.29,36'!$S$47*(Q209+Q211-Q163-Q165)</f>
        <v>-29681.47434017287</v>
      </c>
      <c r="R274" s="55">
        <f>'Sch.29,36'!$S$46*(R208+R210-R162-R164)+'Sch.29,36'!$S$47*(R209+R211-R163-R165)</f>
        <v>33928.523402501596</v>
      </c>
      <c r="S274" s="55">
        <f>'Sch.29,36'!$S$46*(S208+S210-S162-S164)+'Sch.29,36'!$S$47*(S209+S211-S163-S165)</f>
        <v>-25814.20747082329</v>
      </c>
      <c r="T274" s="55">
        <f>'Sch.29,36'!$S$46*(T208+T210-T162-T164)+'Sch.29,36'!$S$47*(T209+T211-T163-T165)</f>
        <v>147085.60127125483</v>
      </c>
      <c r="U274" s="55">
        <f>'Sch.29,36'!$S$46*(U208+U210-U162-U164)+'Sch.29,36'!$S$47*(U209+U211-U163-U165)</f>
        <v>74176.132830575196</v>
      </c>
    </row>
    <row r="275" spans="2:21">
      <c r="B275" s="57" t="s">
        <v>291</v>
      </c>
      <c r="C275" s="57" t="s">
        <v>109</v>
      </c>
      <c r="D275" s="57" t="s">
        <v>3</v>
      </c>
      <c r="E275" s="57" t="s">
        <v>132</v>
      </c>
      <c r="F275" s="57" t="s">
        <v>132</v>
      </c>
      <c r="G275" s="57" t="s">
        <v>132</v>
      </c>
      <c r="H275" s="55" t="s">
        <v>4</v>
      </c>
      <c r="I275" s="55">
        <f t="shared" si="17"/>
        <v>-12376.945380394933</v>
      </c>
      <c r="J275" s="55">
        <f>Sch.48T!$T$41*(J218-J172)+Sch.48T!$T$42*(J219-J173)+Sch.48T!$T$49*(J220-J174)+Sch.48T!$T$50*(J221-J175)</f>
        <v>-61512.618992752614</v>
      </c>
      <c r="K275" s="55">
        <f>Sch.48T!$T$41*(K218-K172)+Sch.48T!$T$42*(K219-K173)+Sch.48T!$T$49*(K220-K174)+Sch.48T!$T$50*(K221-K175)</f>
        <v>-5442.5105057015589</v>
      </c>
      <c r="L275" s="55">
        <f>Sch.48T!$T$41*(L218-L172)+Sch.48T!$T$42*(L219-L173)+Sch.48T!$T$49*(L220-L174)+Sch.48T!$T$50*(L221-L175)</f>
        <v>6721.72766221247</v>
      </c>
      <c r="M275" s="55">
        <f>Sch.48T!$T$41*(M218-M172)+Sch.48T!$T$42*(M219-M173)+Sch.48T!$T$49*(M220-M174)+Sch.48T!$T$50*(M221-M175)</f>
        <v>5244.5099728112609</v>
      </c>
      <c r="N275" s="55">
        <f>Sch.48T!$T$41*(N218-N172)+Sch.48T!$T$42*(N219-N173)+Sch.48T!$T$49*(N220-N174)+Sch.48T!$T$50*(N221-N175)</f>
        <v>17438.665441979501</v>
      </c>
      <c r="O275" s="55">
        <f>Sch.48T!$T$41*(O218-O172)+Sch.48T!$T$42*(O219-O173)+Sch.48T!$T$49*(O220-O174)+Sch.48T!$T$50*(O221-O175)</f>
        <v>10794.649611280453</v>
      </c>
      <c r="P275" s="55">
        <f>Sch.48T!$T$41*(P218-P172)+Sch.48T!$T$42*(P219-P173)+Sch.48T!$T$49*(P220-P174)+Sch.48T!$T$50*(P221-P175)</f>
        <v>-20504.03457167447</v>
      </c>
      <c r="Q275" s="55">
        <f>Sch.48T!$T$41*(Q218-Q172)+Sch.48T!$T$42*(Q219-Q173)+Sch.48T!$T$49*(Q220-Q174)+Sch.48T!$T$50*(Q221-Q175)</f>
        <v>-4986.2689160535756</v>
      </c>
      <c r="R275" s="55">
        <f>Sch.48T!$T$41*(R218-R172)+Sch.48T!$T$42*(R219-R173)+Sch.48T!$T$49*(R220-R174)+Sch.48T!$T$50*(R221-R175)</f>
        <v>5783.6700377187062</v>
      </c>
      <c r="S275" s="55">
        <f>Sch.48T!$T$41*(S218-S172)+Sch.48T!$T$42*(S219-S173)+Sch.48T!$T$49*(S220-S174)+Sch.48T!$T$50*(S221-S175)</f>
        <v>-4657.5629444102424</v>
      </c>
      <c r="T275" s="55">
        <f>Sch.48T!$T$41*(T218-T172)+Sch.48T!$T$42*(T219-T173)+Sch.48T!$T$49*(T220-T174)+Sch.48T!$T$50*(T221-T175)</f>
        <v>25741.117795418948</v>
      </c>
      <c r="U275" s="55">
        <f>Sch.48T!$T$41*(U218-U172)+Sch.48T!$T$42*(U219-U173)+Sch.48T!$T$49*(U220-U174)+Sch.48T!$T$50*(U221-U175)</f>
        <v>13001.71002877619</v>
      </c>
    </row>
    <row r="276" spans="2:21">
      <c r="B276" s="103" t="s">
        <v>291</v>
      </c>
      <c r="C276" s="103" t="s">
        <v>89</v>
      </c>
      <c r="D276" s="103" t="s">
        <v>116</v>
      </c>
      <c r="E276" s="103" t="s">
        <v>132</v>
      </c>
      <c r="F276" s="103" t="s">
        <v>132</v>
      </c>
      <c r="G276" s="103" t="s">
        <v>132</v>
      </c>
      <c r="H276" s="105" t="s">
        <v>4</v>
      </c>
      <c r="I276" s="105">
        <f t="shared" si="17"/>
        <v>-70255.676491425198</v>
      </c>
      <c r="J276" s="105">
        <f>Sch.40!$S$28*(J215-J169)</f>
        <v>-307586.62128294609</v>
      </c>
      <c r="K276" s="105">
        <f>Sch.40!$S$28*(K215-K169)</f>
        <v>-33022.477091023095</v>
      </c>
      <c r="L276" s="105">
        <f>Sch.40!$S$28*(L215-L169)</f>
        <v>30665.234665536031</v>
      </c>
      <c r="M276" s="105">
        <f>Sch.40!$S$28*(M215-M169)</f>
        <v>1066.1622271609433</v>
      </c>
      <c r="N276" s="105">
        <f>Sch.40!$S$28*(N215-N169)</f>
        <v>0</v>
      </c>
      <c r="O276" s="105">
        <f>Sch.40!$S$28*(O215-O169)</f>
        <v>0</v>
      </c>
      <c r="P276" s="105">
        <f>Sch.40!$S$28*(P215-P169)</f>
        <v>0</v>
      </c>
      <c r="Q276" s="105">
        <f>Sch.40!$S$28*(Q215-Q169)</f>
        <v>0</v>
      </c>
      <c r="R276" s="105">
        <f>Sch.40!$S$28*(R215-R169)</f>
        <v>0</v>
      </c>
      <c r="S276" s="105">
        <f>Sch.40!$S$28*(S215-S169)</f>
        <v>0</v>
      </c>
      <c r="T276" s="105">
        <f>Sch.40!$S$28*(T215-T169)</f>
        <v>158458.53035013602</v>
      </c>
      <c r="U276" s="105">
        <f>Sch.40!$S$28*(U215-U169)</f>
        <v>80163.494639711018</v>
      </c>
    </row>
    <row r="277" spans="2:21">
      <c r="C277" s="96"/>
      <c r="D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</row>
  </sheetData>
  <phoneticPr fontId="19" type="noConversion"/>
  <printOptions horizontalCentered="1"/>
  <pageMargins left="0.22" right="0.5" top="0.5" bottom="0.55000000000000004" header="0.5" footer="0.38"/>
  <pageSetup scale="13" orientation="landscape" r:id="rId1"/>
  <headerFooter alignWithMargins="0"/>
  <ignoredErrors>
    <ignoredError sqref="V269:X26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9815-F541-401D-BCE0-0BE01307EE51}">
  <sheetPr>
    <pageSetUpPr autoPageBreaks="0" fitToPage="1"/>
  </sheetPr>
  <dimension ref="A2:H22"/>
  <sheetViews>
    <sheetView showGridLines="0" zoomScale="70" zoomScaleNormal="70" zoomScaleSheetLayoutView="70" workbookViewId="0"/>
  </sheetViews>
  <sheetFormatPr defaultRowHeight="15.75"/>
  <cols>
    <col min="1" max="1" width="0.875" style="112" customWidth="1"/>
    <col min="2" max="2" width="15.125" style="110" bestFit="1" customWidth="1"/>
    <col min="3" max="3" width="7.125" style="110" bestFit="1" customWidth="1"/>
    <col min="4" max="4" width="12.625" style="110" bestFit="1" customWidth="1"/>
    <col min="5" max="5" width="20.25" style="110" bestFit="1" customWidth="1"/>
    <col min="6" max="6" width="10.25" style="111" customWidth="1"/>
    <col min="7" max="23" width="10.25" customWidth="1"/>
  </cols>
  <sheetData>
    <row r="2" spans="1:8">
      <c r="B2" s="196" t="s">
        <v>343</v>
      </c>
      <c r="C2" s="197"/>
      <c r="D2" s="198"/>
      <c r="E2" s="199"/>
      <c r="F2" s="200"/>
    </row>
    <row r="3" spans="1:8">
      <c r="B3" s="202" t="s">
        <v>342</v>
      </c>
      <c r="C3" s="203"/>
      <c r="D3" s="204"/>
      <c r="E3" s="205"/>
      <c r="F3" s="206"/>
    </row>
    <row r="4" spans="1:8">
      <c r="A4" s="113"/>
      <c r="B4" s="180"/>
      <c r="C4" s="180"/>
      <c r="D4" s="180" t="s">
        <v>90</v>
      </c>
      <c r="E4" s="181" t="s">
        <v>336</v>
      </c>
      <c r="F4" s="182" t="s">
        <v>143</v>
      </c>
    </row>
    <row r="5" spans="1:8">
      <c r="B5" s="184" t="s">
        <v>154</v>
      </c>
      <c r="C5" s="57" t="s">
        <v>337</v>
      </c>
      <c r="D5" s="55" t="s">
        <v>2</v>
      </c>
      <c r="E5" s="55" t="s">
        <v>285</v>
      </c>
      <c r="F5" s="55">
        <f>SUMIFS('Normalized Units'!I:I,'Normalized Units'!B:B,"Normalized Billing Units",'Normalized Units'!D:D,D5,'Normalized Units'!H:H,E5)</f>
        <v>256071</v>
      </c>
    </row>
    <row r="6" spans="1:8">
      <c r="B6" s="184" t="s">
        <v>154</v>
      </c>
      <c r="C6" s="57" t="s">
        <v>337</v>
      </c>
      <c r="D6" s="55" t="s">
        <v>2</v>
      </c>
      <c r="E6" s="55" t="s">
        <v>286</v>
      </c>
      <c r="F6" s="55">
        <f>SUMIFS('Normalized Units'!I:I,'Normalized Units'!B:B,"Normalized Billing Units",'Normalized Units'!D:D,D6,'Normalized Units'!H:H,E6)</f>
        <v>463553</v>
      </c>
    </row>
    <row r="7" spans="1:8">
      <c r="B7" s="184" t="s">
        <v>154</v>
      </c>
      <c r="C7" s="57" t="s">
        <v>337</v>
      </c>
      <c r="D7" s="55" t="s">
        <v>3</v>
      </c>
      <c r="E7" s="55" t="s">
        <v>285</v>
      </c>
      <c r="F7" s="55">
        <f>SUMIFS('Normalized Units'!I:I,'Normalized Units'!B:B,"Normalized Billing Units",'Normalized Units'!D:D,D7,'Normalized Units'!H:H,E7)</f>
        <v>31087</v>
      </c>
    </row>
    <row r="8" spans="1:8">
      <c r="B8" s="184" t="s">
        <v>154</v>
      </c>
      <c r="C8" s="57" t="s">
        <v>337</v>
      </c>
      <c r="D8" s="55" t="s">
        <v>3</v>
      </c>
      <c r="E8" s="55" t="s">
        <v>286</v>
      </c>
      <c r="F8" s="55">
        <f>SUMIFS('Normalized Units'!I:I,'Normalized Units'!B:B,"Normalized Billing Units",'Normalized Units'!D:D,D8,'Normalized Units'!H:H,E8)</f>
        <v>57524</v>
      </c>
    </row>
    <row r="9" spans="1:8">
      <c r="B9" s="184" t="s">
        <v>154</v>
      </c>
      <c r="C9" s="57" t="s">
        <v>337</v>
      </c>
      <c r="D9" s="55" t="s">
        <v>5</v>
      </c>
      <c r="E9" s="55" t="s">
        <v>285</v>
      </c>
      <c r="F9" s="55">
        <f>SUMIFS('Normalized Units'!I:I,'Normalized Units'!B:B,"Normalized Billing Units",'Normalized Units'!D:D,D9,'Normalized Units'!H:H,E9)</f>
        <v>426</v>
      </c>
    </row>
    <row r="10" spans="1:8">
      <c r="B10" s="184" t="s">
        <v>154</v>
      </c>
      <c r="C10" s="57" t="s">
        <v>337</v>
      </c>
      <c r="D10" s="55" t="s">
        <v>5</v>
      </c>
      <c r="E10" s="55" t="s">
        <v>286</v>
      </c>
      <c r="F10" s="55">
        <f>SUMIFS('Normalized Units'!I:I,'Normalized Units'!B:B,"Normalized Billing Units",'Normalized Units'!D:D,D10,'Normalized Units'!H:H,E10)</f>
        <v>1496</v>
      </c>
    </row>
    <row r="11" spans="1:8">
      <c r="B11" s="184" t="s">
        <v>154</v>
      </c>
      <c r="C11" s="57" t="s">
        <v>337</v>
      </c>
      <c r="D11" s="55" t="s">
        <v>116</v>
      </c>
      <c r="E11" s="55" t="s">
        <v>285</v>
      </c>
      <c r="F11" s="55">
        <f>SUMIFS('Normalized Units'!I:I,'Normalized Units'!B:B,"Normalized Billing Units",'Normalized Units'!D:D,D11,'Normalized Units'!H:H,E11)</f>
        <v>7254</v>
      </c>
    </row>
    <row r="12" spans="1:8">
      <c r="B12" s="184" t="s">
        <v>154</v>
      </c>
      <c r="C12" s="57" t="s">
        <v>337</v>
      </c>
      <c r="D12" s="55" t="s">
        <v>116</v>
      </c>
      <c r="E12" s="55" t="s">
        <v>286</v>
      </c>
      <c r="F12" s="55">
        <f>SUMIFS('Normalized Units'!I:I,'Normalized Units'!B:B,"Normalized Billing Units",'Normalized Units'!D:D,D12,'Normalized Units'!H:H,E12)</f>
        <v>12769</v>
      </c>
    </row>
    <row r="13" spans="1:8">
      <c r="B13" s="98" t="s">
        <v>341</v>
      </c>
      <c r="C13" s="191" t="s">
        <v>338</v>
      </c>
      <c r="D13" s="97" t="s">
        <v>132</v>
      </c>
      <c r="E13" s="98" t="s">
        <v>285</v>
      </c>
      <c r="F13" s="168">
        <v>-1</v>
      </c>
    </row>
    <row r="14" spans="1:8">
      <c r="B14" s="103" t="s">
        <v>341</v>
      </c>
      <c r="C14" s="195" t="s">
        <v>338</v>
      </c>
      <c r="D14" s="105" t="s">
        <v>132</v>
      </c>
      <c r="E14" s="103" t="s">
        <v>286</v>
      </c>
      <c r="F14" s="169">
        <v>-0.5</v>
      </c>
    </row>
    <row r="15" spans="1:8" s="93" customFormat="1">
      <c r="A15" s="112"/>
      <c r="B15" s="98" t="s">
        <v>341</v>
      </c>
      <c r="C15" s="192" t="s">
        <v>19</v>
      </c>
      <c r="D15" s="97" t="s">
        <v>2</v>
      </c>
      <c r="E15" s="98" t="s">
        <v>305</v>
      </c>
      <c r="F15" s="167">
        <f>SUMIFS(F$5:F$12,D$5:D$12,D15,E$5:E$12,"AutoPay Bill")*F13</f>
        <v>-256071</v>
      </c>
      <c r="G15"/>
      <c r="H15"/>
    </row>
    <row r="16" spans="1:8" s="93" customFormat="1">
      <c r="A16" s="112"/>
      <c r="B16" s="57" t="s">
        <v>341</v>
      </c>
      <c r="C16" s="193" t="s">
        <v>19</v>
      </c>
      <c r="D16" s="55" t="s">
        <v>2</v>
      </c>
      <c r="E16" s="57" t="s">
        <v>306</v>
      </c>
      <c r="F16" s="164">
        <f>SUMIFS(F$5:F$12,D$5:D$12,D16,E$5:E$12,"Paperless Bill")*F14</f>
        <v>-231776.5</v>
      </c>
      <c r="G16"/>
      <c r="H16"/>
    </row>
    <row r="17" spans="1:8" s="93" customFormat="1">
      <c r="A17" s="112"/>
      <c r="B17" s="57" t="s">
        <v>341</v>
      </c>
      <c r="C17" s="193" t="s">
        <v>19</v>
      </c>
      <c r="D17" s="55" t="s">
        <v>3</v>
      </c>
      <c r="E17" s="57" t="s">
        <v>305</v>
      </c>
      <c r="F17" s="164">
        <f>SUMIFS(F$5:F$12,D$5:D$12,D17,E$5:E$12,"AutoPay Bill")*F13</f>
        <v>-31087</v>
      </c>
      <c r="G17"/>
      <c r="H17"/>
    </row>
    <row r="18" spans="1:8" s="93" customFormat="1">
      <c r="A18" s="112"/>
      <c r="B18" s="57" t="s">
        <v>341</v>
      </c>
      <c r="C18" s="193" t="s">
        <v>19</v>
      </c>
      <c r="D18" s="55" t="s">
        <v>3</v>
      </c>
      <c r="E18" s="57" t="s">
        <v>306</v>
      </c>
      <c r="F18" s="164">
        <f>SUMIFS(F$5:F$12,D$5:D$12,D18,E$5:E$12,"Paperless Bill")*F14</f>
        <v>-28762</v>
      </c>
      <c r="G18"/>
      <c r="H18"/>
    </row>
    <row r="19" spans="1:8" s="93" customFormat="1">
      <c r="A19" s="112"/>
      <c r="B19" s="57" t="s">
        <v>341</v>
      </c>
      <c r="C19" s="193" t="s">
        <v>19</v>
      </c>
      <c r="D19" s="55" t="s">
        <v>5</v>
      </c>
      <c r="E19" s="57" t="s">
        <v>305</v>
      </c>
      <c r="F19" s="164">
        <f>SUMIFS(F$5:F$12,D$5:D$12,D19,E$5:E$12,"AutoPay Bill")*F13</f>
        <v>-426</v>
      </c>
      <c r="G19"/>
      <c r="H19"/>
    </row>
    <row r="20" spans="1:8" s="93" customFormat="1">
      <c r="A20" s="112"/>
      <c r="B20" s="57" t="s">
        <v>341</v>
      </c>
      <c r="C20" s="193" t="s">
        <v>19</v>
      </c>
      <c r="D20" s="55" t="s">
        <v>5</v>
      </c>
      <c r="E20" s="57" t="s">
        <v>306</v>
      </c>
      <c r="F20" s="164">
        <f>SUMIFS(F$5:F$12,D$5:D$12,D20,E$5:E$12,"Paperless Bill")*F14</f>
        <v>-748</v>
      </c>
      <c r="G20"/>
      <c r="H20"/>
    </row>
    <row r="21" spans="1:8" s="93" customFormat="1">
      <c r="A21" s="112"/>
      <c r="B21" s="57" t="s">
        <v>341</v>
      </c>
      <c r="C21" s="193" t="s">
        <v>19</v>
      </c>
      <c r="D21" s="55" t="s">
        <v>116</v>
      </c>
      <c r="E21" s="57" t="s">
        <v>305</v>
      </c>
      <c r="F21" s="164">
        <f>SUMIFS(F$5:F$12,D$5:D$12,D21,E$5:E$12,"AutoPay Bill")*F13</f>
        <v>-7254</v>
      </c>
      <c r="G21"/>
      <c r="H21"/>
    </row>
    <row r="22" spans="1:8" s="93" customFormat="1">
      <c r="A22" s="112"/>
      <c r="B22" s="103" t="s">
        <v>341</v>
      </c>
      <c r="C22" s="194" t="s">
        <v>19</v>
      </c>
      <c r="D22" s="105" t="s">
        <v>116</v>
      </c>
      <c r="E22" s="103" t="s">
        <v>306</v>
      </c>
      <c r="F22" s="165">
        <f>SUMIFS(F$5:F$12,D$5:D$12,D22,E$5:E$12,"Paperless Bill")*F14</f>
        <v>-6384.5</v>
      </c>
      <c r="G22"/>
      <c r="H22"/>
    </row>
  </sheetData>
  <phoneticPr fontId="19" type="noConversion"/>
  <printOptions horizontalCentered="1"/>
  <pageMargins left="0.22" right="0.5" top="0.25" bottom="0.25" header="0" footer="0"/>
  <pageSetup scale="81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C566-0641-4C2A-A2DC-0199A0ED7DDD}">
  <sheetPr>
    <pageSetUpPr autoPageBreaks="0" fitToPage="1"/>
  </sheetPr>
  <dimension ref="A2:F22"/>
  <sheetViews>
    <sheetView showGridLines="0" zoomScale="70" zoomScaleNormal="70" zoomScaleSheetLayoutView="70" workbookViewId="0"/>
  </sheetViews>
  <sheetFormatPr defaultRowHeight="15.75"/>
  <cols>
    <col min="1" max="1" width="0.875" style="112" customWidth="1"/>
    <col min="2" max="2" width="17.75" style="110" bestFit="1" customWidth="1"/>
    <col min="3" max="3" width="12.5" style="110" bestFit="1" customWidth="1"/>
    <col min="4" max="4" width="13.375" style="93" bestFit="1" customWidth="1"/>
    <col min="5" max="5" width="12.875" style="111" customWidth="1"/>
    <col min="6" max="6" width="12.875" style="188" customWidth="1"/>
    <col min="7" max="16" width="12.875" customWidth="1"/>
  </cols>
  <sheetData>
    <row r="2" spans="1:6">
      <c r="B2" s="166"/>
      <c r="C2" s="166"/>
      <c r="D2" s="190" t="s">
        <v>340</v>
      </c>
      <c r="E2" s="170"/>
    </row>
    <row r="3" spans="1:6" ht="18.75">
      <c r="A3" s="113"/>
      <c r="B3" s="163" t="s">
        <v>146</v>
      </c>
      <c r="C3" s="163" t="s">
        <v>90</v>
      </c>
      <c r="D3" s="187" t="s">
        <v>339</v>
      </c>
      <c r="E3" s="186" t="s">
        <v>105</v>
      </c>
    </row>
    <row r="4" spans="1:6" s="93" customFormat="1">
      <c r="A4" s="112"/>
      <c r="B4" s="98" t="s">
        <v>356</v>
      </c>
      <c r="C4" s="97" t="s">
        <v>2</v>
      </c>
      <c r="D4" s="297">
        <f>SUMIFS('Sch.16,17,19'!Q:Q,'Sch.16,17,19'!L:L,"Present",'Sch.16,17,19'!M:M,"$",'Sch.16,17,19'!P:P,"&lt;&gt;Unbilled")</f>
        <v>170410808.55357695</v>
      </c>
      <c r="E4" s="167">
        <f>SUMIFS(RVN!F:F,RVN!A:A,C4,RVN!J:J,E$3)*D4/SUMIFS(D:D,C:C,C4)</f>
        <v>5660946.3060093932</v>
      </c>
      <c r="F4" s="189"/>
    </row>
    <row r="5" spans="1:6" s="93" customFormat="1">
      <c r="A5" s="112"/>
      <c r="B5" s="55" t="s">
        <v>165</v>
      </c>
      <c r="C5" s="55" t="s">
        <v>2</v>
      </c>
      <c r="D5" s="96">
        <f>SUMIFS(Sch.24!S:S,Sch.24!N:N,"Present",Sch.24!O:O,"$",Sch.24!P:P,C5,Sch.24!R:R,"&lt;&gt;Unbilled")</f>
        <v>2792013.2761188997</v>
      </c>
      <c r="E5" s="164">
        <f>SUMIFS(RVN!F:F,RVN!A:A,C5,RVN!J:J,E$3)*D5/SUMIFS(D:D,C:C,C5)</f>
        <v>92749.030275302401</v>
      </c>
      <c r="F5" s="189"/>
    </row>
    <row r="6" spans="1:6" s="93" customFormat="1">
      <c r="A6" s="112"/>
      <c r="B6" s="55" t="s">
        <v>165</v>
      </c>
      <c r="C6" s="55" t="s">
        <v>3</v>
      </c>
      <c r="D6" s="96">
        <f>SUMIFS(Sch.24!S:S,Sch.24!N:N,"Present",Sch.24!O:O,"$",Sch.24!P:P,C6,Sch.24!R:R,"&lt;&gt;Unbilled")</f>
        <v>52733825.207612373</v>
      </c>
      <c r="E6" s="164">
        <f>SUMIFS(RVN!F:F,RVN!A:A,C6,RVN!J:J,E$3)*D6/SUMIFS(D:D,C:C,C6)</f>
        <v>753527.61020262272</v>
      </c>
      <c r="F6" s="189"/>
    </row>
    <row r="7" spans="1:6" s="93" customFormat="1">
      <c r="A7" s="112"/>
      <c r="B7" s="55" t="s">
        <v>165</v>
      </c>
      <c r="C7" s="55" t="s">
        <v>5</v>
      </c>
      <c r="D7" s="96">
        <f>SUMIFS(Sch.24!S:S,Sch.24!N:N,"Present",Sch.24!O:O,"$",Sch.24!P:P,C7,Sch.24!R:R,"&lt;&gt;Unbilled")</f>
        <v>1601245.6618095369</v>
      </c>
      <c r="E7" s="164">
        <f>SUMIFS(RVN!F:F,RVN!A:A,C7,RVN!J:J,E$3)*D7/SUMIFS(D:D,C:C,C7)</f>
        <v>30849.452456491777</v>
      </c>
      <c r="F7" s="189"/>
    </row>
    <row r="8" spans="1:6" s="93" customFormat="1">
      <c r="A8" s="112"/>
      <c r="B8" s="55" t="s">
        <v>215</v>
      </c>
      <c r="C8" s="55" t="s">
        <v>2</v>
      </c>
      <c r="D8" s="96">
        <f>SUMIFS('Sch.29,36'!S:S,'Sch.29,36'!M:M,"Present",'Sch.29,36'!N:N,"$",'Sch.29,36'!P:P,C8,'Sch.29,36'!R:R,"&lt;&gt;Unbilled")</f>
        <v>205643.0120104271</v>
      </c>
      <c r="E8" s="164">
        <f>SUMIFS(RVN!F:F,RVN!A:A,C8,RVN!J:J,E$3)*D8/SUMIFS(D:D,C:C,C8)</f>
        <v>6831.3392740641229</v>
      </c>
      <c r="F8" s="189"/>
    </row>
    <row r="9" spans="1:6" s="93" customFormat="1">
      <c r="A9" s="112"/>
      <c r="B9" s="55" t="s">
        <v>215</v>
      </c>
      <c r="C9" s="55" t="s">
        <v>3</v>
      </c>
      <c r="D9" s="96">
        <f>SUMIFS('Sch.29,36'!S:S,'Sch.29,36'!M:M,"Present",'Sch.29,36'!N:N,"$",'Sch.29,36'!P:P,C9,'Sch.29,36'!R:R,"&lt;&gt;Unbilled")</f>
        <v>75080815.054461271</v>
      </c>
      <c r="E9" s="164">
        <f>SUMIFS(RVN!F:F,RVN!A:A,C9,RVN!J:J,E$3)*D9/SUMIFS(D:D,C:C,C9)</f>
        <v>1072849.6731901476</v>
      </c>
      <c r="F9" s="189"/>
    </row>
    <row r="10" spans="1:6" s="93" customFormat="1">
      <c r="A10" s="112"/>
      <c r="B10" s="55" t="s">
        <v>215</v>
      </c>
      <c r="C10" s="55" t="s">
        <v>5</v>
      </c>
      <c r="D10" s="96">
        <f>SUMIFS('Sch.29,36'!S:S,'Sch.29,36'!M:M,"Present",'Sch.29,36'!N:N,"$",'Sch.29,36'!P:P,C10,'Sch.29,36'!R:R,"&lt;&gt;Unbilled")</f>
        <v>8232503.2195549803</v>
      </c>
      <c r="E10" s="164">
        <f>SUMIFS(RVN!F:F,RVN!A:A,C10,RVN!J:J,E$3)*D10/SUMIFS(D:D,C:C,C10)</f>
        <v>158606.6540112104</v>
      </c>
      <c r="F10" s="189"/>
    </row>
    <row r="11" spans="1:6" s="93" customFormat="1">
      <c r="A11" s="112"/>
      <c r="B11" s="55" t="s">
        <v>89</v>
      </c>
      <c r="C11" s="55" t="s">
        <v>116</v>
      </c>
      <c r="D11" s="96">
        <f>SUMIFS(Sch.40!S:S,Sch.40!N:N,"Present",Sch.40!O:O,"$",Sch.40!R:R,"&lt;&gt;Unbilled")</f>
        <v>16204016.400296861</v>
      </c>
      <c r="E11" s="164">
        <f>SUMIFS(RVN!F:F,RVN!A:A,C11,RVN!J:J,E$3)*D11/SUMIFS(D:D,C:C,C11)</f>
        <v>-1729000</v>
      </c>
      <c r="F11" s="189"/>
    </row>
    <row r="12" spans="1:6" s="93" customFormat="1">
      <c r="A12" s="112"/>
      <c r="B12" s="55" t="s">
        <v>188</v>
      </c>
      <c r="C12" s="55" t="s">
        <v>5</v>
      </c>
      <c r="D12" s="96">
        <f>SUMIFS(Sch.47T!F:F,Sch.47T!A:A,"Present",Sch.47T!B:B,"$",Sch.47T!E:E,"&lt;&gt;Unbilled")</f>
        <v>325567.73000000004</v>
      </c>
      <c r="E12" s="164">
        <f>SUMIFS(RVN!F:F,RVN!A:A,C12,RVN!J:J,E$3)*D12/SUMIFS(D:D,C:C,C12)</f>
        <v>6272.3581069083993</v>
      </c>
      <c r="F12" s="189"/>
    </row>
    <row r="13" spans="1:6" s="93" customFormat="1">
      <c r="A13" s="112"/>
      <c r="B13" s="55" t="s">
        <v>109</v>
      </c>
      <c r="C13" s="55" t="s">
        <v>3</v>
      </c>
      <c r="D13" s="96">
        <f>SUMIFS(Sch.48T!T:T,Sch.48T!N:N,"Present",Sch.48T!O:O,"$",Sch.48T!P:P,C13,Sch.48T!S:S,"&lt;&gt;Unbilled")</f>
        <v>14823936.759617891</v>
      </c>
      <c r="E13" s="164">
        <f>SUMIFS(RVN!F:F,RVN!A:A,C13,RVN!J:J,E$3)*D13/SUMIFS(D:D,C:C,C13)</f>
        <v>211823.16276683079</v>
      </c>
      <c r="F13" s="189"/>
    </row>
    <row r="14" spans="1:6" s="93" customFormat="1">
      <c r="A14" s="112"/>
      <c r="B14" s="55" t="s">
        <v>109</v>
      </c>
      <c r="C14" s="55" t="s">
        <v>5</v>
      </c>
      <c r="D14" s="96">
        <f>SUMIFS(Sch.48T!T:T,Sch.48T!N:N,"Present",Sch.48T!O:O,"$",Sch.48T!P:P,Unbilled!C14,Sch.48T!S:S,"&lt;&gt;Unbilled")</f>
        <v>16408709.76974733</v>
      </c>
      <c r="E14" s="164">
        <f>SUMIFS(RVN!F:F,RVN!A:A,C14,RVN!J:J,E$3)*D14/SUMIFS(D:D,C:C,C14)</f>
        <v>316128.70153986604</v>
      </c>
      <c r="F14" s="189"/>
    </row>
    <row r="15" spans="1:6" s="93" customFormat="1">
      <c r="A15" s="112"/>
      <c r="B15" s="55" t="s">
        <v>223</v>
      </c>
      <c r="C15" s="55" t="s">
        <v>5</v>
      </c>
      <c r="D15" s="96">
        <f>SUMIFS('Sch.48T-DF'!O:O,'Sch.48T-DF'!L:L,"Present",'Sch.48T-DF'!M:M,"$",'Sch.48T-DF'!N:N,"&lt;&gt;Unbilled")</f>
        <v>37940350.01194267</v>
      </c>
      <c r="E15" s="164">
        <f>SUMIFS(RVN!F:F,RVN!A:A,C15,RVN!J:J,E$3)*D15/SUMIFS(D:D,C:C,C15)</f>
        <v>730955.31297389569</v>
      </c>
      <c r="F15" s="189"/>
    </row>
    <row r="16" spans="1:6" s="93" customFormat="1">
      <c r="A16" s="112"/>
      <c r="B16" s="55" t="s">
        <v>106</v>
      </c>
      <c r="C16" s="55" t="s">
        <v>2</v>
      </c>
      <c r="D16" s="96">
        <f>SUMIFS('Sch.15,51,53,54'!G:G,'Sch.15,51,53,54'!A:A,"Present",'Sch.15,51,53,54'!B:B,"$",'Sch.15,51,53,54'!C:C,B16,'Sch.15,51,53,54'!D:D,C16,'Sch.15,51,53,54'!F:F,"&lt;&gt;Unbilled")</f>
        <v>104557.08187380461</v>
      </c>
      <c r="E16" s="164">
        <f>SUMIFS(RVN!F:F,RVN!A:A,C16,RVN!J:J,E$3)*D16/SUMIFS(D:D,C:C,C16)</f>
        <v>3473.3244412401559</v>
      </c>
      <c r="F16" s="189"/>
    </row>
    <row r="17" spans="1:6" s="93" customFormat="1">
      <c r="A17" s="112"/>
      <c r="B17" s="55" t="s">
        <v>106</v>
      </c>
      <c r="C17" s="55" t="s">
        <v>3</v>
      </c>
      <c r="D17" s="96">
        <f>SUMIFS('Sch.15,51,53,54'!G:G,'Sch.15,51,53,54'!A:A,"Present",'Sch.15,51,53,54'!B:B,"$",'Sch.15,51,53,54'!C:C,B17,'Sch.15,51,53,54'!D:D,C17,'Sch.15,51,53,54'!F:F,"&lt;&gt;Unbilled")</f>
        <v>174948.2895253078</v>
      </c>
      <c r="E17" s="164">
        <f>SUMIFS(RVN!F:F,RVN!A:A,C17,RVN!J:J,E$3)*D17/SUMIFS(D:D,C:C,C17)</f>
        <v>2499.8824946992781</v>
      </c>
      <c r="F17" s="189"/>
    </row>
    <row r="18" spans="1:6" s="93" customFormat="1">
      <c r="A18" s="112"/>
      <c r="B18" s="55" t="s">
        <v>106</v>
      </c>
      <c r="C18" s="55" t="s">
        <v>5</v>
      </c>
      <c r="D18" s="96">
        <f>SUMIFS('Sch.15,51,53,54'!G:G,'Sch.15,51,53,54'!A:A,"Present",'Sch.15,51,53,54'!B:B,"$",'Sch.15,51,53,54'!C:C,B18,'Sch.15,51,53,54'!D:D,C18,'Sch.15,51,53,54'!F:F,"&lt;&gt;Unbilled")</f>
        <v>9733.3022900785272</v>
      </c>
      <c r="E18" s="164">
        <f>SUMIFS(RVN!F:F,RVN!A:A,C18,RVN!J:J,E$3)*D18/SUMIFS(D:D,C:C,C18)</f>
        <v>187.52091162770995</v>
      </c>
      <c r="F18" s="189"/>
    </row>
    <row r="19" spans="1:6" s="93" customFormat="1">
      <c r="A19" s="112"/>
      <c r="B19" s="55" t="s">
        <v>107</v>
      </c>
      <c r="C19" s="55" t="s">
        <v>104</v>
      </c>
      <c r="D19" s="96">
        <f>SUMIFS('Sch.15,51,53,54'!G:G,'Sch.15,51,53,54'!A:A,"Present",'Sch.15,51,53,54'!B:B,"$",'Sch.15,51,53,54'!C:C,B19,'Sch.15,51,53,54'!D:D,C19,'Sch.15,51,53,54'!F:F,"&lt;&gt;Unbilled")</f>
        <v>497552.273052754</v>
      </c>
      <c r="E19" s="164">
        <f>SUMIFS(RVN!F:F,RVN!A:A,C19,RVN!J:J,E$3)*D19/SUMIFS(D:D,C:C,C19)</f>
        <v>-33281.311721933365</v>
      </c>
      <c r="F19" s="189"/>
    </row>
    <row r="20" spans="1:6" s="93" customFormat="1">
      <c r="A20" s="112"/>
      <c r="B20" s="55" t="s">
        <v>163</v>
      </c>
      <c r="C20" s="55" t="s">
        <v>104</v>
      </c>
      <c r="D20" s="96">
        <f>SUMIFS('Sch.15,51,53,54'!G:G,'Sch.15,51,53,54'!A:A,"Present",'Sch.15,51,53,54'!B:B,"$",'Sch.15,51,53,54'!C:C,B20,'Sch.15,51,53,54'!D:D,C20,'Sch.15,51,53,54'!F:F,"&lt;&gt;Unbilled")</f>
        <v>115393.61578728679</v>
      </c>
      <c r="E20" s="164">
        <f>SUMIFS(RVN!F:F,RVN!A:A,C20,RVN!J:J,E$3)*D20/SUMIFS(D:D,C:C,C20)</f>
        <v>-7718.6882780666365</v>
      </c>
      <c r="F20" s="189"/>
    </row>
    <row r="21" spans="1:6" s="93" customFormat="1">
      <c r="A21" s="112"/>
      <c r="B21" s="105" t="s">
        <v>108</v>
      </c>
      <c r="C21" s="105" t="s">
        <v>3</v>
      </c>
      <c r="D21" s="298">
        <f>SUMIFS('Sch.15,51,53,54'!G:G,'Sch.15,51,53,54'!A:A,"Present",'Sch.15,51,53,54'!B:B,"$",'Sch.15,51,53,54'!C:C,B21,'Sch.15,51,53,54'!D:D,C21,'Sch.15,51,53,54'!F:F,"&lt;&gt;Unbilled")</f>
        <v>20971.781458159327</v>
      </c>
      <c r="E21" s="165">
        <f>SUMIFS(RVN!F:F,RVN!A:A,C21,RVN!J:J,E$3)*D21/SUMIFS(D:D,C:C,C21)</f>
        <v>299.67134569970966</v>
      </c>
      <c r="F21" s="189"/>
    </row>
    <row r="22" spans="1:6" ht="18.75">
      <c r="A22" s="185" t="s">
        <v>344</v>
      </c>
      <c r="B22"/>
    </row>
  </sheetData>
  <printOptions horizontalCentered="1"/>
  <pageMargins left="0.22" right="0.5" top="0.25" bottom="0.25" header="0" footer="0"/>
  <pageSetup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29F0-5F27-4003-9EE4-DB72E3669F19}">
  <sheetPr>
    <pageSetUpPr autoPageBreaks="0" fitToPage="1"/>
  </sheetPr>
  <dimension ref="A2:W118"/>
  <sheetViews>
    <sheetView showGridLines="0" zoomScale="70" zoomScaleNormal="70" zoomScaleSheetLayoutView="70" workbookViewId="0">
      <pane ySplit="7" topLeftCell="A8" activePane="bottomLeft" state="frozen"/>
      <selection pane="bottomLeft" activeCell="A8" sqref="A8"/>
    </sheetView>
  </sheetViews>
  <sheetFormatPr defaultColWidth="8" defaultRowHeight="15.75"/>
  <cols>
    <col min="1" max="1" width="0.875" style="7" customWidth="1"/>
    <col min="2" max="2" width="12.625" style="7" bestFit="1" customWidth="1"/>
    <col min="3" max="3" width="28" style="7" bestFit="1" customWidth="1"/>
    <col min="4" max="18" width="15.125" style="7" customWidth="1"/>
    <col min="19" max="19" width="0.875" style="7" customWidth="1"/>
    <col min="20" max="21" width="15.125" style="7" customWidth="1"/>
    <col min="22" max="22" width="0.875" style="7" customWidth="1"/>
    <col min="23" max="29" width="15.125" style="7" customWidth="1"/>
    <col min="30" max="16384" width="8" style="7"/>
  </cols>
  <sheetData>
    <row r="2" spans="1:23">
      <c r="A2" s="8"/>
      <c r="B2" s="17" t="s">
        <v>582</v>
      </c>
      <c r="C2" s="39"/>
      <c r="D2" s="39"/>
      <c r="E2" s="39"/>
      <c r="F2" s="145"/>
      <c r="G2" s="145"/>
      <c r="H2" s="145"/>
      <c r="I2" s="145"/>
      <c r="J2" s="39"/>
      <c r="K2" s="39"/>
      <c r="L2" s="39"/>
      <c r="M2" s="39"/>
      <c r="N2" s="39"/>
      <c r="O2" s="39"/>
      <c r="P2" s="39"/>
      <c r="Q2" s="39"/>
      <c r="R2" s="51"/>
      <c r="S2" s="117"/>
    </row>
    <row r="3" spans="1:23">
      <c r="B3" s="12"/>
      <c r="C3" s="12"/>
      <c r="D3" s="54"/>
      <c r="E3" s="50"/>
      <c r="F3" s="54"/>
      <c r="G3" s="50"/>
      <c r="H3" s="50"/>
      <c r="I3" s="29"/>
      <c r="J3" s="39" t="s">
        <v>296</v>
      </c>
      <c r="K3" s="39"/>
      <c r="L3" s="39"/>
      <c r="M3" s="39"/>
      <c r="N3" s="39"/>
      <c r="O3" s="39"/>
      <c r="P3" s="39"/>
      <c r="Q3" s="39"/>
      <c r="R3" s="51"/>
      <c r="S3" s="117"/>
    </row>
    <row r="4" spans="1:23">
      <c r="B4" s="13"/>
      <c r="C4" s="15"/>
      <c r="D4" s="32"/>
      <c r="E4" s="622"/>
      <c r="F4" s="26"/>
      <c r="G4" s="8"/>
      <c r="H4" s="8"/>
      <c r="I4" s="624"/>
      <c r="J4" s="29"/>
      <c r="K4" s="17" t="s">
        <v>289</v>
      </c>
      <c r="L4" s="145"/>
      <c r="M4" s="146"/>
      <c r="N4" s="28"/>
      <c r="O4" s="140"/>
      <c r="P4" s="140"/>
      <c r="Q4" s="28"/>
      <c r="R4" s="27"/>
      <c r="S4" s="8"/>
      <c r="T4" s="135" t="s">
        <v>309</v>
      </c>
      <c r="U4" s="135"/>
    </row>
    <row r="5" spans="1:23">
      <c r="B5" s="13"/>
      <c r="C5" s="15"/>
      <c r="D5" s="32"/>
      <c r="E5" s="622"/>
      <c r="F5" s="52" t="s">
        <v>295</v>
      </c>
      <c r="G5" s="625"/>
      <c r="H5" s="625"/>
      <c r="I5" s="25"/>
      <c r="J5" s="623"/>
      <c r="K5" s="138"/>
      <c r="L5" s="149"/>
      <c r="M5" s="150"/>
      <c r="N5" s="9"/>
      <c r="O5" s="141" t="s">
        <v>314</v>
      </c>
      <c r="P5" s="142"/>
      <c r="Q5" s="139"/>
      <c r="R5" s="16"/>
      <c r="S5" s="8"/>
      <c r="T5" s="129" t="s">
        <v>311</v>
      </c>
      <c r="U5" s="129" t="s">
        <v>312</v>
      </c>
    </row>
    <row r="6" spans="1:23" ht="18.75">
      <c r="B6" s="13"/>
      <c r="C6" s="15"/>
      <c r="D6" s="118" t="s">
        <v>576</v>
      </c>
      <c r="E6" s="25"/>
      <c r="F6" s="152"/>
      <c r="G6" s="52" t="s">
        <v>289</v>
      </c>
      <c r="H6" s="25"/>
      <c r="I6" s="137"/>
      <c r="J6" s="137"/>
      <c r="K6" s="138"/>
      <c r="L6" s="147" t="s">
        <v>320</v>
      </c>
      <c r="M6" s="148"/>
      <c r="N6" s="139"/>
      <c r="O6" s="143" t="s">
        <v>313</v>
      </c>
      <c r="P6" s="144"/>
      <c r="Q6" s="139"/>
      <c r="R6" s="16"/>
      <c r="S6" s="119"/>
      <c r="T6" s="129" t="s">
        <v>72</v>
      </c>
      <c r="U6" s="129" t="s">
        <v>72</v>
      </c>
    </row>
    <row r="7" spans="1:23" ht="18.75">
      <c r="B7" s="30" t="s">
        <v>90</v>
      </c>
      <c r="C7" s="30" t="s">
        <v>147</v>
      </c>
      <c r="D7" s="53" t="s">
        <v>7</v>
      </c>
      <c r="E7" s="120" t="s">
        <v>265</v>
      </c>
      <c r="F7" s="120" t="s">
        <v>7</v>
      </c>
      <c r="G7" s="120" t="s">
        <v>1</v>
      </c>
      <c r="H7" s="161" t="s">
        <v>315</v>
      </c>
      <c r="I7" s="153" t="s">
        <v>265</v>
      </c>
      <c r="J7" s="58" t="s">
        <v>317</v>
      </c>
      <c r="K7" s="58" t="s">
        <v>319</v>
      </c>
      <c r="L7" s="58" t="s">
        <v>263</v>
      </c>
      <c r="M7" s="37" t="s">
        <v>264</v>
      </c>
      <c r="N7" s="11" t="s">
        <v>1</v>
      </c>
      <c r="O7" s="136" t="s">
        <v>327</v>
      </c>
      <c r="P7" s="136" t="s">
        <v>326</v>
      </c>
      <c r="Q7" s="59" t="s">
        <v>325</v>
      </c>
      <c r="R7" s="11" t="s">
        <v>265</v>
      </c>
      <c r="S7" s="119"/>
      <c r="T7" s="151">
        <v>44593</v>
      </c>
      <c r="U7" s="151">
        <v>44682</v>
      </c>
      <c r="W7" s="216" t="s">
        <v>152</v>
      </c>
    </row>
    <row r="8" spans="1:23" ht="15.75" customHeight="1">
      <c r="B8" s="12"/>
      <c r="C8" s="31"/>
      <c r="D8" s="14"/>
      <c r="E8" s="4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21"/>
      <c r="T8" s="130"/>
      <c r="U8" s="130"/>
      <c r="W8" s="13"/>
    </row>
    <row r="9" spans="1:23" ht="15.75" customHeight="1">
      <c r="B9" s="13" t="s">
        <v>2</v>
      </c>
      <c r="C9" s="38" t="s">
        <v>206</v>
      </c>
      <c r="D9" s="47">
        <f>SUMIFS(RVN!H:H,RVN!A:A,B9,RVN!J:J,C9)/12</f>
        <v>0</v>
      </c>
      <c r="E9" s="38" cm="1">
        <f t="array" ref="E9">IF(OR(C9={"Schedule 15","Schedule 51","Schedule 53"}),D9,SUMIFS('Normalized Units'!I:I,'Normalized Units'!H:H,"Bill",'Normalized Units'!C:C,C9,'Normalized Units'!D:D,B9)/12+SUM(SUMIFS('Normalized Units'!I:I,'Normalized Units'!H:H,{"Annual Bill","Load Size","Load Size Minimum"},'Normalized Units'!C:C,C9,'Normalized Units'!D:D,B9)))</f>
        <v>0</v>
      </c>
      <c r="F9" s="23">
        <f>SUMIFS(RVN!I:I,RVN!A:A,B9,RVN!J:J,C9)</f>
        <v>0</v>
      </c>
      <c r="G9" s="23">
        <f>SUMIFS('Normalized Units'!I:I,'Normalized Units'!B:B,"Temperature kWh Normalization",'Normalized Units'!C:C,C9,'Normalized Units'!D:D,B9)</f>
        <v>0</v>
      </c>
      <c r="H9" s="23">
        <f>I9-G9-F9</f>
        <v>0</v>
      </c>
      <c r="I9" s="23">
        <f>SUMIFS('Normalized Units'!I:I,'Normalized Units'!B:B,"Normalized Billing Units",'Normalized Units'!C:C,C9,'Normalized Units'!D:D,B9,'Normalized Units'!H:H,"kWh*")</f>
        <v>0</v>
      </c>
      <c r="J9" s="23">
        <f>SUMIFS(RVN!F:F,RVN!A:A,B9,RVN!J:J,C9)</f>
        <v>4868922.92</v>
      </c>
      <c r="K9" s="23" cm="1">
        <f t="array" ref="K9">IF(OR(C9={"Alt Rev Program","Blue Sky","Customer Bill Credits","DSM","Income Tax Defer Adj","Irr Demand Charge Accrual","Rev Adj Property Insur","Rev Adj"}),-J9,0)</f>
        <v>-4868922.92</v>
      </c>
      <c r="L9" s="23">
        <f>-SUMIFS(RVN!F:F,RVN!A:A,B9,RVN!B:B,"B",RVN!J:J,C9)</f>
        <v>0</v>
      </c>
      <c r="M9" s="23">
        <v>0</v>
      </c>
      <c r="N9" s="23">
        <f>SUMIFS('Normalized Units'!I:I,'Normalized Units'!B:B,"Temperature $ Normalization",'Normalized Units'!D:D,B9,'Normalized Units'!C:C,C9)</f>
        <v>0</v>
      </c>
      <c r="O9" s="23">
        <f t="shared" ref="O9:O24" si="0">(J9+K9+L9+M9+N9)*T9/100*7/12</f>
        <v>0</v>
      </c>
      <c r="P9" s="23">
        <f t="shared" ref="P9:P24" si="1">(J9+K9+L9+M9+N9)*U9/100*10/12</f>
        <v>0</v>
      </c>
      <c r="Q9" s="23">
        <f>R9-J9-K9-L9-M9-N9-O9-P9</f>
        <v>0</v>
      </c>
      <c r="R9" s="23">
        <v>0</v>
      </c>
      <c r="T9" s="131"/>
      <c r="U9" s="131"/>
      <c r="W9" s="13"/>
    </row>
    <row r="10" spans="1:23" ht="15.75" customHeight="1">
      <c r="B10" s="13" t="s">
        <v>2</v>
      </c>
      <c r="C10" s="38" t="s">
        <v>83</v>
      </c>
      <c r="D10" s="47">
        <f>SUMIFS(RVN!H:H,RVN!A:A,B10,RVN!J:J,C10)/12</f>
        <v>0</v>
      </c>
      <c r="E10" s="38" cm="1">
        <f t="array" ref="E10">IF(OR(C10={"Schedule 15","Schedule 51","Schedule 53"}),D10,SUMIFS('Normalized Units'!I:I,'Normalized Units'!H:H,"Bill",'Normalized Units'!C:C,C10,'Normalized Units'!D:D,B10)/12+SUM(SUMIFS('Normalized Units'!I:I,'Normalized Units'!H:H,{"Annual Bill","Load Size","Load Size Minimum"},'Normalized Units'!C:C,C10,'Normalized Units'!D:D,B10)))</f>
        <v>0</v>
      </c>
      <c r="F10" s="23">
        <f>SUMIFS(RVN!I:I,RVN!A:A,B10,RVN!J:J,C10)</f>
        <v>0</v>
      </c>
      <c r="G10" s="23">
        <f>SUMIFS('Normalized Units'!I:I,'Normalized Units'!B:B,"Temperature kWh Normalization",'Normalized Units'!C:C,C10,'Normalized Units'!D:D,B10)</f>
        <v>0</v>
      </c>
      <c r="H10" s="23">
        <f t="shared" ref="H10:H21" si="2">I10-G10-F10</f>
        <v>0</v>
      </c>
      <c r="I10" s="23">
        <f>SUMIFS('Normalized Units'!I:I,'Normalized Units'!B:B,"Normalized Billing Units",'Normalized Units'!C:C,C10,'Normalized Units'!D:D,B10,'Normalized Units'!H:H,"kWh*")</f>
        <v>0</v>
      </c>
      <c r="J10" s="23">
        <f>SUMIFS(RVN!F:F,RVN!A:A,B10,RVN!J:J,C10)</f>
        <v>357145.71</v>
      </c>
      <c r="K10" s="23" cm="1">
        <f t="array" ref="K10">IF(OR(C10={"Alt Rev Program","Blue Sky","Customer Bill Credits","DSM","Income Tax Defer Adj","Irr Demand Charge Accrual","Rev Adj Property Insur","Rev Adj"}),-J10,0)</f>
        <v>-357145.71</v>
      </c>
      <c r="L10" s="23">
        <f>-SUMIFS(RVN!F:F,RVN!A:A,B10,RVN!B:B,"B",RVN!J:J,C10)</f>
        <v>0</v>
      </c>
      <c r="M10" s="23">
        <v>0</v>
      </c>
      <c r="N10" s="23">
        <f>SUMIFS('Normalized Units'!I:I,'Normalized Units'!B:B,"Temperature $ Normalization",'Normalized Units'!D:D,B10,'Normalized Units'!C:C,C10)</f>
        <v>0</v>
      </c>
      <c r="O10" s="23">
        <f t="shared" si="0"/>
        <v>0</v>
      </c>
      <c r="P10" s="23">
        <f t="shared" si="1"/>
        <v>0</v>
      </c>
      <c r="Q10" s="23">
        <f t="shared" ref="Q10:Q73" si="3">R10-J10-K10-L10-M10-N10-O10-P10</f>
        <v>0</v>
      </c>
      <c r="R10" s="23">
        <v>0</v>
      </c>
      <c r="T10" s="131"/>
      <c r="U10" s="131"/>
      <c r="W10" s="13"/>
    </row>
    <row r="11" spans="1:23" ht="15.75" customHeight="1">
      <c r="B11" s="13" t="s">
        <v>2</v>
      </c>
      <c r="C11" s="38" t="s">
        <v>197</v>
      </c>
      <c r="D11" s="47">
        <f>SUMIFS(RVN!H:H,RVN!A:A,B11,RVN!J:J,C11)/12</f>
        <v>0</v>
      </c>
      <c r="E11" s="38" cm="1">
        <f t="array" ref="E11">IF(OR(C11={"Schedule 15","Schedule 51","Schedule 53"}),D11,SUMIFS('Normalized Units'!I:I,'Normalized Units'!H:H,"Bill",'Normalized Units'!C:C,C11,'Normalized Units'!D:D,B11)/12+SUM(SUMIFS('Normalized Units'!I:I,'Normalized Units'!H:H,{"Annual Bill","Load Size","Load Size Minimum"},'Normalized Units'!C:C,C11,'Normalized Units'!D:D,B11)))</f>
        <v>0</v>
      </c>
      <c r="F11" s="23">
        <f>SUMIFS(RVN!I:I,RVN!A:A,B11,RVN!J:J,C11)</f>
        <v>0</v>
      </c>
      <c r="G11" s="23">
        <f>SUMIFS('Normalized Units'!I:I,'Normalized Units'!B:B,"Temperature kWh Normalization",'Normalized Units'!C:C,C11,'Normalized Units'!D:D,B11)</f>
        <v>0</v>
      </c>
      <c r="H11" s="23">
        <f t="shared" si="2"/>
        <v>0</v>
      </c>
      <c r="I11" s="23">
        <f>SUMIFS('Normalized Units'!I:I,'Normalized Units'!B:B,"Normalized Billing Units",'Normalized Units'!C:C,C11,'Normalized Units'!D:D,B11,'Normalized Units'!H:H,"kWh*")</f>
        <v>0</v>
      </c>
      <c r="J11" s="23">
        <f>SUMIFS(RVN!F:F,RVN!A:A,B11,RVN!J:J,C11)</f>
        <v>-239412.93</v>
      </c>
      <c r="K11" s="23" cm="1">
        <f t="array" ref="K11">IF(OR(C11={"Alt Rev Program","Blue Sky","Customer Bill Credits","DSM","Income Tax Defer Adj","Irr Demand Charge Accrual","Rev Adj Property Insur","Rev Adj"}),-J11,0)</f>
        <v>239412.93</v>
      </c>
      <c r="L11" s="23">
        <f>-SUMIFS(RVN!F:F,RVN!A:A,B11,RVN!B:B,"B",RVN!J:J,C11)</f>
        <v>0</v>
      </c>
      <c r="M11" s="23">
        <v>0</v>
      </c>
      <c r="N11" s="23">
        <f>SUMIFS('Normalized Units'!I:I,'Normalized Units'!B:B,"Temperature $ Normalization",'Normalized Units'!D:D,B11,'Normalized Units'!C:C,C11)</f>
        <v>0</v>
      </c>
      <c r="O11" s="23">
        <f t="shared" si="0"/>
        <v>0</v>
      </c>
      <c r="P11" s="23">
        <f t="shared" si="1"/>
        <v>0</v>
      </c>
      <c r="Q11" s="23">
        <f t="shared" si="3"/>
        <v>0</v>
      </c>
      <c r="R11" s="23">
        <v>0</v>
      </c>
      <c r="T11" s="131"/>
      <c r="U11" s="131"/>
      <c r="W11" s="13"/>
    </row>
    <row r="12" spans="1:23" ht="15.75" customHeight="1">
      <c r="B12" s="13" t="s">
        <v>2</v>
      </c>
      <c r="C12" s="38" t="s">
        <v>87</v>
      </c>
      <c r="D12" s="47">
        <f>SUMIFS(RVN!H:H,RVN!A:A,B12,RVN!J:J,C12)/12</f>
        <v>0</v>
      </c>
      <c r="E12" s="38" cm="1">
        <f t="array" ref="E12">IF(OR(C12={"Schedule 15","Schedule 51","Schedule 53"}),D12,SUMIFS('Normalized Units'!I:I,'Normalized Units'!H:H,"Bill",'Normalized Units'!C:C,C12,'Normalized Units'!D:D,B12)/12+SUM(SUMIFS('Normalized Units'!I:I,'Normalized Units'!H:H,{"Annual Bill","Load Size","Load Size Minimum"},'Normalized Units'!C:C,C12,'Normalized Units'!D:D,B12)))</f>
        <v>0</v>
      </c>
      <c r="F12" s="23">
        <f>SUMIFS(RVN!I:I,RVN!A:A,B12,RVN!J:J,C12)</f>
        <v>0</v>
      </c>
      <c r="G12" s="23">
        <f>SUMIFS('Normalized Units'!I:I,'Normalized Units'!B:B,"Temperature kWh Normalization",'Normalized Units'!C:C,C12,'Normalized Units'!D:D,B12)</f>
        <v>0</v>
      </c>
      <c r="H12" s="23">
        <f t="shared" si="2"/>
        <v>0</v>
      </c>
      <c r="I12" s="23">
        <f>SUMIFS('Normalized Units'!I:I,'Normalized Units'!B:B,"Normalized Billing Units",'Normalized Units'!C:C,C12,'Normalized Units'!D:D,B12,'Normalized Units'!H:H,"kWh*")</f>
        <v>0</v>
      </c>
      <c r="J12" s="23">
        <f>SUMIFS(RVN!F:F,RVN!A:A,B12,RVN!J:J,C12)</f>
        <v>5647775.6699999999</v>
      </c>
      <c r="K12" s="23" cm="1">
        <f t="array" ref="K12">IF(OR(C12={"Alt Rev Program","Blue Sky","Customer Bill Credits","DSM","Income Tax Defer Adj","Irr Demand Charge Accrual","Rev Adj Property Insur","Rev Adj"}),-J12,0)</f>
        <v>-5647775.6699999999</v>
      </c>
      <c r="L12" s="23">
        <f>-SUMIFS(RVN!F:F,RVN!A:A,B12,RVN!B:B,"B",RVN!J:J,C12)</f>
        <v>0</v>
      </c>
      <c r="M12" s="23">
        <v>0</v>
      </c>
      <c r="N12" s="23">
        <f>SUMIFS('Normalized Units'!I:I,'Normalized Units'!B:B,"Temperature $ Normalization",'Normalized Units'!D:D,B12,'Normalized Units'!C:C,C12)</f>
        <v>0</v>
      </c>
      <c r="O12" s="23">
        <f t="shared" si="0"/>
        <v>0</v>
      </c>
      <c r="P12" s="23">
        <f t="shared" si="1"/>
        <v>0</v>
      </c>
      <c r="Q12" s="23">
        <f t="shared" si="3"/>
        <v>0</v>
      </c>
      <c r="R12" s="23">
        <v>0</v>
      </c>
      <c r="T12" s="131"/>
      <c r="U12" s="131"/>
      <c r="W12" s="13"/>
    </row>
    <row r="13" spans="1:23" ht="15.75" customHeight="1">
      <c r="B13" s="13" t="s">
        <v>2</v>
      </c>
      <c r="C13" s="38" t="s">
        <v>209</v>
      </c>
      <c r="D13" s="47">
        <f>SUMIFS(RVN!H:H,RVN!A:A,B13,RVN!J:J,C13)/12</f>
        <v>0</v>
      </c>
      <c r="E13" s="38" cm="1">
        <f t="array" ref="E13">IF(OR(C13={"Schedule 15","Schedule 51","Schedule 53"}),D13,SUMIFS('Normalized Units'!I:I,'Normalized Units'!H:H,"Bill",'Normalized Units'!C:C,C13,'Normalized Units'!D:D,B13)/12+SUM(SUMIFS('Normalized Units'!I:I,'Normalized Units'!H:H,{"Annual Bill","Load Size","Load Size Minimum"},'Normalized Units'!C:C,C13,'Normalized Units'!D:D,B13)))</f>
        <v>0</v>
      </c>
      <c r="F13" s="23">
        <f>SUMIFS(RVN!I:I,RVN!A:A,B13,RVN!J:J,C13)</f>
        <v>0</v>
      </c>
      <c r="G13" s="23">
        <f>SUMIFS('Normalized Units'!I:I,'Normalized Units'!B:B,"Temperature kWh Normalization",'Normalized Units'!C:C,C13,'Normalized Units'!D:D,B13)</f>
        <v>0</v>
      </c>
      <c r="H13" s="23">
        <f t="shared" si="2"/>
        <v>0</v>
      </c>
      <c r="I13" s="23">
        <f>SUMIFS('Normalized Units'!I:I,'Normalized Units'!B:B,"Normalized Billing Units",'Normalized Units'!C:C,C13,'Normalized Units'!D:D,B13,'Normalized Units'!H:H,"kWh*")</f>
        <v>0</v>
      </c>
      <c r="J13" s="23">
        <f>SUMIFS(RVN!F:F,RVN!A:A,B13,RVN!J:J,C13)</f>
        <v>854934.48</v>
      </c>
      <c r="K13" s="23" cm="1">
        <f t="array" ref="K13">IF(OR(C13={"Alt Rev Program","Blue Sky","Customer Bill Credits","DSM","Income Tax Defer Adj","Irr Demand Charge Accrual","Rev Adj Property Insur","Rev Adj"}),-J13,0)</f>
        <v>-854934.48</v>
      </c>
      <c r="L13" s="23">
        <f>-SUMIFS(RVN!F:F,RVN!A:A,B13,RVN!B:B,"B",RVN!J:J,C13)</f>
        <v>0</v>
      </c>
      <c r="M13" s="23">
        <v>0</v>
      </c>
      <c r="N13" s="23">
        <f>SUMIFS('Normalized Units'!I:I,'Normalized Units'!B:B,"Temperature $ Normalization",'Normalized Units'!D:D,B13,'Normalized Units'!C:C,C13)</f>
        <v>0</v>
      </c>
      <c r="O13" s="23">
        <f t="shared" si="0"/>
        <v>0</v>
      </c>
      <c r="P13" s="23">
        <f t="shared" si="1"/>
        <v>0</v>
      </c>
      <c r="Q13" s="23">
        <f t="shared" si="3"/>
        <v>0</v>
      </c>
      <c r="R13" s="23">
        <v>0</v>
      </c>
      <c r="T13" s="131"/>
      <c r="U13" s="131"/>
      <c r="W13" s="13"/>
    </row>
    <row r="14" spans="1:23" ht="15.75" customHeight="1">
      <c r="B14" s="13" t="s">
        <v>2</v>
      </c>
      <c r="C14" s="38" t="s">
        <v>127</v>
      </c>
      <c r="D14" s="47">
        <f>SUMIFS(RVN!H:H,RVN!A:A,B14,RVN!J:J,C14)/12</f>
        <v>0</v>
      </c>
      <c r="E14" s="38" cm="1">
        <f t="array" ref="E14">IF(OR(C14={"Schedule 15","Schedule 51","Schedule 53"}),D14,SUMIFS('Normalized Units'!I:I,'Normalized Units'!H:H,"Bill",'Normalized Units'!C:C,C14,'Normalized Units'!D:D,B14)/12+SUM(SUMIFS('Normalized Units'!I:I,'Normalized Units'!H:H,{"Annual Bill","Load Size","Load Size Minimum"},'Normalized Units'!C:C,C14,'Normalized Units'!D:D,B14)))</f>
        <v>0</v>
      </c>
      <c r="F14" s="23">
        <f>SUMIFS(RVN!I:I,RVN!A:A,B14,RVN!J:J,C14)</f>
        <v>0</v>
      </c>
      <c r="G14" s="23">
        <f>SUMIFS('Normalized Units'!I:I,'Normalized Units'!B:B,"Temperature kWh Normalization",'Normalized Units'!C:C,C14,'Normalized Units'!D:D,B14)</f>
        <v>0</v>
      </c>
      <c r="H14" s="23">
        <f t="shared" si="2"/>
        <v>0</v>
      </c>
      <c r="I14" s="23">
        <f>SUMIFS('Normalized Units'!I:I,'Normalized Units'!B:B,"Normalized Billing Units",'Normalized Units'!C:C,C14,'Normalized Units'!D:D,B14,'Normalized Units'!H:H,"kWh*")</f>
        <v>0</v>
      </c>
      <c r="J14" s="23">
        <f>SUMIFS(RVN!F:F,RVN!A:A,B14,RVN!J:J,C14)</f>
        <v>50185.9</v>
      </c>
      <c r="K14" s="23" cm="1">
        <f t="array" ref="K14">IF(OR(C14={"Alt Rev Program","Blue Sky","Customer Bill Credits","DSM","Income Tax Defer Adj","Irr Demand Charge Accrual","Rev Adj Property Insur","Rev Adj"}),-J14,0)</f>
        <v>-50185.9</v>
      </c>
      <c r="L14" s="23">
        <f>-SUMIFS(RVN!F:F,RVN!A:A,B14,RVN!B:B,"B",RVN!J:J,C14)</f>
        <v>0</v>
      </c>
      <c r="M14" s="23">
        <v>0</v>
      </c>
      <c r="N14" s="23">
        <f>SUMIFS('Normalized Units'!I:I,'Normalized Units'!B:B,"Temperature $ Normalization",'Normalized Units'!D:D,B14,'Normalized Units'!C:C,C14)</f>
        <v>0</v>
      </c>
      <c r="O14" s="23">
        <f t="shared" si="0"/>
        <v>0</v>
      </c>
      <c r="P14" s="23">
        <f t="shared" si="1"/>
        <v>0</v>
      </c>
      <c r="Q14" s="23">
        <f t="shared" si="3"/>
        <v>0</v>
      </c>
      <c r="R14" s="23">
        <v>0</v>
      </c>
      <c r="T14" s="131"/>
      <c r="U14" s="131"/>
      <c r="W14" s="13"/>
    </row>
    <row r="15" spans="1:23" ht="15.75" customHeight="1">
      <c r="B15" s="13" t="s">
        <v>2</v>
      </c>
      <c r="C15" s="38" t="s">
        <v>110</v>
      </c>
      <c r="D15" s="47">
        <f>SUMIFS(RVN!H:H,RVN!A:A,B15,RVN!J:J,C15)/12</f>
        <v>0</v>
      </c>
      <c r="E15" s="38" cm="1">
        <f t="array" ref="E15">IF(OR(C15={"Schedule 15","Schedule 51","Schedule 53"}),D15,SUMIFS('Normalized Units'!I:I,'Normalized Units'!H:H,"Bill",'Normalized Units'!C:C,C15,'Normalized Units'!D:D,B15)/12+SUM(SUMIFS('Normalized Units'!I:I,'Normalized Units'!H:H,{"Annual Bill","Load Size","Load Size Minimum"},'Normalized Units'!C:C,C15,'Normalized Units'!D:D,B15)))</f>
        <v>0</v>
      </c>
      <c r="F15" s="23">
        <f>SUMIFS(RVN!I:I,RVN!A:A,B15,RVN!J:J,C15)</f>
        <v>0</v>
      </c>
      <c r="G15" s="23">
        <f>SUMIFS('Normalized Units'!I:I,'Normalized Units'!B:B,"Temperature kWh Normalization",'Normalized Units'!C:C,C15,'Normalized Units'!D:D,B15)</f>
        <v>0</v>
      </c>
      <c r="H15" s="23">
        <f t="shared" si="2"/>
        <v>0</v>
      </c>
      <c r="I15" s="23">
        <f>SUMIFS('Normalized Units'!I:I,'Normalized Units'!B:B,"Normalized Billing Units",'Normalized Units'!C:C,C15,'Normalized Units'!D:D,B15,'Normalized Units'!H:H,"kWh*")</f>
        <v>0</v>
      </c>
      <c r="J15" s="23">
        <f>SUMIFS(RVN!F:F,RVN!A:A,B15,RVN!J:J,C15)</f>
        <v>-2298133.9500000002</v>
      </c>
      <c r="K15" s="23" cm="1">
        <f t="array" ref="K15">IF(OR(C15={"Alt Rev Program","Blue Sky","Customer Bill Credits","DSM","Income Tax Defer Adj","Irr Demand Charge Accrual","Rev Adj Property Insur","Rev Adj"}),-J15,0)</f>
        <v>2298133.9500000002</v>
      </c>
      <c r="L15" s="23">
        <f>-SUMIFS(RVN!F:F,RVN!A:A,B15,RVN!B:B,"B",RVN!J:J,C15)</f>
        <v>0</v>
      </c>
      <c r="M15" s="23">
        <v>0</v>
      </c>
      <c r="N15" s="23">
        <f>SUMIFS('Normalized Units'!I:I,'Normalized Units'!B:B,"Temperature $ Normalization",'Normalized Units'!D:D,B15,'Normalized Units'!C:C,C15)</f>
        <v>0</v>
      </c>
      <c r="O15" s="23">
        <f t="shared" si="0"/>
        <v>0</v>
      </c>
      <c r="P15" s="23">
        <f t="shared" si="1"/>
        <v>0</v>
      </c>
      <c r="Q15" s="23">
        <f t="shared" si="3"/>
        <v>0</v>
      </c>
      <c r="R15" s="23">
        <v>0</v>
      </c>
      <c r="T15" s="131"/>
      <c r="U15" s="131"/>
      <c r="W15" s="13"/>
    </row>
    <row r="16" spans="1:23" ht="15.75" customHeight="1">
      <c r="B16" s="13" t="s">
        <v>2</v>
      </c>
      <c r="C16" s="38" t="s">
        <v>208</v>
      </c>
      <c r="D16" s="47">
        <f>SUMIFS(RVN!H:H,RVN!A:A,B16,RVN!J:J,C16)/12</f>
        <v>0</v>
      </c>
      <c r="E16" s="38" cm="1">
        <f t="array" ref="E16">IF(OR(C16={"Schedule 15","Schedule 51","Schedule 53"}),D16,SUMIFS('Normalized Units'!I:I,'Normalized Units'!H:H,"Bill",'Normalized Units'!C:C,C16,'Normalized Units'!D:D,B16)/12+SUM(SUMIFS('Normalized Units'!I:I,'Normalized Units'!H:H,{"Annual Bill","Load Size","Load Size Minimum"},'Normalized Units'!C:C,C16,'Normalized Units'!D:D,B16)))</f>
        <v>0</v>
      </c>
      <c r="F16" s="23">
        <f>SUMIFS(RVN!I:I,RVN!A:A,B16,RVN!J:J,C16)</f>
        <v>0</v>
      </c>
      <c r="G16" s="23">
        <f>SUMIFS('Normalized Units'!I:I,'Normalized Units'!B:B,"Temperature kWh Normalization",'Normalized Units'!C:C,C16,'Normalized Units'!D:D,B16)</f>
        <v>0</v>
      </c>
      <c r="H16" s="23">
        <f t="shared" si="2"/>
        <v>0</v>
      </c>
      <c r="I16" s="23">
        <f>SUMIFS('Normalized Units'!I:I,'Normalized Units'!B:B,"Normalized Billing Units",'Normalized Units'!C:C,C16,'Normalized Units'!D:D,B16,'Normalized Units'!H:H,"kWh*")</f>
        <v>0</v>
      </c>
      <c r="J16" s="23">
        <f>SUMIFS(RVN!F:F,RVN!A:A,B16,RVN!J:J,C16)</f>
        <v>481076.4</v>
      </c>
      <c r="K16" s="23" cm="1">
        <f t="array" ref="K16">IF(OR(C16={"Alt Rev Program","Blue Sky","Customer Bill Credits","DSM","Income Tax Defer Adj","Irr Demand Charge Accrual","Rev Adj Property Insur","Rev Adj"}),-J16,0)</f>
        <v>0</v>
      </c>
      <c r="L16" s="23">
        <f>-SUMIFS(RVN!F:F,RVN!A:A,B16,RVN!B:B,"B",RVN!J:J,C16)</f>
        <v>-481076.4</v>
      </c>
      <c r="M16" s="23">
        <v>0</v>
      </c>
      <c r="N16" s="23">
        <f>SUMIFS('Normalized Units'!I:I,'Normalized Units'!B:B,"Temperature $ Normalization",'Normalized Units'!D:D,B16,'Normalized Units'!C:C,C16)</f>
        <v>0</v>
      </c>
      <c r="O16" s="23">
        <f t="shared" si="0"/>
        <v>0</v>
      </c>
      <c r="P16" s="23">
        <f t="shared" si="1"/>
        <v>0</v>
      </c>
      <c r="Q16" s="23">
        <f t="shared" si="3"/>
        <v>0</v>
      </c>
      <c r="R16" s="23">
        <v>0</v>
      </c>
      <c r="T16" s="131"/>
      <c r="U16" s="131"/>
      <c r="W16" s="13"/>
    </row>
    <row r="17" spans="2:23" ht="15.75" customHeight="1">
      <c r="B17" s="13" t="s">
        <v>2</v>
      </c>
      <c r="C17" s="47" t="s">
        <v>105</v>
      </c>
      <c r="D17" s="47">
        <f>SUMIFS(RVN!H:H,RVN!A:A,B17,RVN!J:J,C17)/12</f>
        <v>0</v>
      </c>
      <c r="E17" s="38" cm="1">
        <f t="array" ref="E17">IF(OR(C17={"Schedule 15","Schedule 51","Schedule 53"}),D17,SUMIFS('Normalized Units'!I:I,'Normalized Units'!H:H,"Bill",'Normalized Units'!C:C,C17,'Normalized Units'!D:D,B17)/12+SUM(SUMIFS('Normalized Units'!I:I,'Normalized Units'!H:H,{"Annual Bill","Load Size","Load Size Minimum"},'Normalized Units'!C:C,C17,'Normalized Units'!D:D,B17)))</f>
        <v>0</v>
      </c>
      <c r="F17" s="23">
        <f>SUMIFS(RVN!I:I,RVN!A:A,B17,RVN!J:J,C17)</f>
        <v>14061000</v>
      </c>
      <c r="G17" s="23">
        <f>SUMIFS('Normalized Units'!I:I,'Normalized Units'!B:B,"Temperature kWh Normalization",'Normalized Units'!C:C,C17,'Normalized Units'!D:D,B17)</f>
        <v>0</v>
      </c>
      <c r="H17" s="23">
        <f t="shared" si="2"/>
        <v>-14061000</v>
      </c>
      <c r="I17" s="23">
        <f>SUMIFS('Normalized Units'!I:I,'Normalized Units'!B:B,"Normalized Billing Units",'Normalized Units'!C:C,C17,'Normalized Units'!D:D,B17,'Normalized Units'!H:H,"kWh*")</f>
        <v>0</v>
      </c>
      <c r="J17" s="23">
        <f>SUMIFS(RVN!F:F,RVN!A:A,B17,RVN!J:J,C17)</f>
        <v>5764000</v>
      </c>
      <c r="K17" s="23" cm="1">
        <f t="array" ref="K17">IF(OR(C17={"Alt Rev Program","Blue Sky","Customer Bill Credits","DSM","Income Tax Defer Adj","Irr Demand Charge Accrual","Rev Adj Property Insur","Rev Adj"}),-J17,0)</f>
        <v>0</v>
      </c>
      <c r="L17" s="23">
        <f>-SUMIFS(RVN!F:F,RVN!A:A,B17,RVN!B:B,"B",RVN!J:J,C17)</f>
        <v>0</v>
      </c>
      <c r="M17" s="23">
        <v>0</v>
      </c>
      <c r="N17" s="23">
        <f>SUMIFS('Normalized Units'!I:I,'Normalized Units'!B:B,"Temperature $ Normalization",'Normalized Units'!D:D,B17,'Normalized Units'!C:C,C17)</f>
        <v>0</v>
      </c>
      <c r="O17" s="23">
        <f t="shared" si="0"/>
        <v>0</v>
      </c>
      <c r="P17" s="23">
        <f t="shared" si="1"/>
        <v>0</v>
      </c>
      <c r="Q17" s="23">
        <f t="shared" si="3"/>
        <v>-5764000</v>
      </c>
      <c r="R17" s="23">
        <v>0</v>
      </c>
      <c r="T17" s="131"/>
      <c r="U17" s="131"/>
      <c r="W17" s="13"/>
    </row>
    <row r="18" spans="2:23" ht="15.75" customHeight="1">
      <c r="B18" s="13" t="s">
        <v>2</v>
      </c>
      <c r="C18" s="40" t="s">
        <v>106</v>
      </c>
      <c r="D18" s="47">
        <f>SUMIFS(RVN!H:H,RVN!A:A,B18,RVN!J:J,C18)/12</f>
        <v>967.33333333333337</v>
      </c>
      <c r="E18" s="38" cm="1">
        <f t="array" ref="E18">IF(OR(C18={"Schedule 15","Schedule 51","Schedule 53"}),D18,SUMIFS('Normalized Units'!I:I,'Normalized Units'!H:H,"Bill",'Normalized Units'!C:C,C18,'Normalized Units'!D:D,B18)/12+SUM(SUMIFS('Normalized Units'!I:I,'Normalized Units'!H:H,{"Annual Bill","Load Size","Load Size Minimum"},'Normalized Units'!C:C,C18,'Normalized Units'!D:D,B18)))</f>
        <v>967.33333333333337</v>
      </c>
      <c r="F18" s="23">
        <f>SUMIFS(RVN!I:I,RVN!A:A,B18,RVN!J:J,C18)</f>
        <v>875642</v>
      </c>
      <c r="G18" s="23">
        <f>SUMIFS('Normalized Units'!I:I,'Normalized Units'!B:B,"Temperature kWh Normalization",'Normalized Units'!C:C,C18,'Normalized Units'!D:D,B18)</f>
        <v>0</v>
      </c>
      <c r="H18" s="23">
        <f t="shared" si="2"/>
        <v>9176.8293999613961</v>
      </c>
      <c r="I18" s="23">
        <f>SUMIFS('Normalized Units'!I:I,'Normalized Units'!B:B,"Normalized Billing Units",'Normalized Units'!C:C,C18,'Normalized Units'!D:D,B18,'Normalized Units'!H:H,"kWh*")</f>
        <v>884818.8293999614</v>
      </c>
      <c r="J18" s="23">
        <f>SUMIFS(RVN!F:F,RVN!A:A,B18,RVN!J:J,C18)</f>
        <v>92877.930000000008</v>
      </c>
      <c r="K18" s="23" cm="1">
        <f t="array" ref="K18">IF(OR(C18={"Alt Rev Program","Blue Sky","Customer Bill Credits","DSM","Income Tax Defer Adj","Irr Demand Charge Accrual","Rev Adj Property Insur","Rev Adj"}),-J18,0)</f>
        <v>0</v>
      </c>
      <c r="L18" s="23">
        <f>-SUMIFS(RVN!F:F,RVN!A:A,B18,RVN!B:B,"B",RVN!J:J,C18)</f>
        <v>2223.31</v>
      </c>
      <c r="M18" s="23">
        <v>549.87670050297982</v>
      </c>
      <c r="N18" s="23">
        <f>SUMIFS('Normalized Units'!I:I,'Normalized Units'!B:B,"Temperature $ Normalization",'Normalized Units'!D:D,B18,'Normalized Units'!C:C,C18)</f>
        <v>0</v>
      </c>
      <c r="O18" s="23">
        <f t="shared" si="0"/>
        <v>-152.01539132534324</v>
      </c>
      <c r="P18" s="23">
        <f t="shared" si="1"/>
        <v>9193.0751829525852</v>
      </c>
      <c r="Q18" s="23">
        <f t="shared" si="3"/>
        <v>3338.2298229145326</v>
      </c>
      <c r="R18" s="23">
        <f>SUM('Sch.15,51,53,54'!G51:G53,'Sch.15,51,53,54'!G54)</f>
        <v>108030.40631504476</v>
      </c>
      <c r="T18" s="133">
        <v>-0.27244618012830585</v>
      </c>
      <c r="U18" s="133">
        <v>11.533258157439882</v>
      </c>
      <c r="W18" s="13"/>
    </row>
    <row r="19" spans="2:23" ht="15.75" customHeight="1">
      <c r="B19" s="13" t="s">
        <v>2</v>
      </c>
      <c r="C19" s="40" t="s">
        <v>356</v>
      </c>
      <c r="D19" s="47">
        <f>SUMIFS(RVN!H:H,RVN!A:A,B19,RVN!J:J,C19)/12</f>
        <v>110959.08333333333</v>
      </c>
      <c r="E19" s="38" cm="1">
        <f t="array" ref="E19">IF(OR(C19={"Schedule 15","Schedule 51","Schedule 53"}),D19,SUMIFS('Normalized Units'!I:I,'Normalized Units'!H:H,"Bill",'Normalized Units'!C:C,C19,'Normalized Units'!D:D,B19)/12+SUM(SUMIFS('Normalized Units'!I:I,'Normalized Units'!H:H,{"Annual Bill","Load Size","Load Size Minimum"},'Normalized Units'!C:C,C19,'Normalized Units'!D:D,B19)))</f>
        <v>110741.69655913977</v>
      </c>
      <c r="F19" s="23">
        <f>SUMIFS(RVN!I:I,RVN!A:A,B19,RVN!J:J,C19)</f>
        <v>1637047248</v>
      </c>
      <c r="G19" s="23">
        <f>SUMIFS('Normalized Units'!I:I,'Normalized Units'!B:B,"Temperature kWh Normalization",'Normalized Units'!C:C,C19,'Normalized Units'!D:D,B19)</f>
        <v>-19485564.170899998</v>
      </c>
      <c r="H19" s="23">
        <f t="shared" si="2"/>
        <v>13905276.009183884</v>
      </c>
      <c r="I19" s="23">
        <f>SUMIFS('Normalized Units'!I:I,'Normalized Units'!B:B,"Normalized Billing Units",'Normalized Units'!C:C,C19,'Normalized Units'!D:D,B19,'Normalized Units'!H:H,"kWh*")</f>
        <v>1631466959.8382838</v>
      </c>
      <c r="J19" s="23">
        <f>SUMIFS(RVN!F:F,RVN!A:A,B19,RVN!J:J,C19)</f>
        <v>142069618.81</v>
      </c>
      <c r="K19" s="23" cm="1">
        <f t="array" ref="K19">IF(OR(C19={"Alt Rev Program","Blue Sky","Customer Bill Credits","DSM","Income Tax Defer Adj","Irr Demand Charge Accrual","Rev Adj Property Insur","Rev Adj"}),-J19,0)</f>
        <v>0</v>
      </c>
      <c r="L19" s="23">
        <f>-SUMIFS(RVN!F:F,RVN!A:A,B19,RVN!B:B,"B",RVN!J:J,C19)</f>
        <v>15502951.789999999</v>
      </c>
      <c r="M19" s="23">
        <v>-799560.70216000266</v>
      </c>
      <c r="N19" s="23">
        <f>SUMIFS('Normalized Units'!I:I,'Normalized Units'!B:B,"Temperature $ Normalization",'Normalized Units'!D:D,B19,'Normalized Units'!C:C,C19)</f>
        <v>-2080953.9801362143</v>
      </c>
      <c r="O19" s="23">
        <f t="shared" si="0"/>
        <v>-488441.8684120127</v>
      </c>
      <c r="P19" s="23">
        <f t="shared" si="1"/>
        <v>14193308.248984924</v>
      </c>
      <c r="Q19" s="23">
        <f t="shared" si="3"/>
        <v>7674832.5613096338</v>
      </c>
      <c r="R19" s="23">
        <f>SUM('Sch.16,17,19'!Q27:Q33)</f>
        <v>176071754.85958633</v>
      </c>
      <c r="T19" s="133">
        <v>-0.54128760026513278</v>
      </c>
      <c r="U19" s="133">
        <v>11.010242121187476</v>
      </c>
      <c r="W19" s="13"/>
    </row>
    <row r="20" spans="2:23" ht="15.75" customHeight="1">
      <c r="B20" s="13" t="s">
        <v>2</v>
      </c>
      <c r="C20" s="40" t="s">
        <v>165</v>
      </c>
      <c r="D20" s="47">
        <f>SUMIFS(RVN!H:H,RVN!A:A,B20,RVN!J:J,C20)/12</f>
        <v>3501.75</v>
      </c>
      <c r="E20" s="38" cm="1">
        <f t="array" ref="E20">IF(OR(C20={"Schedule 15","Schedule 51","Schedule 53"}),D20,SUMIFS('Normalized Units'!I:I,'Normalized Units'!H:H,"Bill",'Normalized Units'!C:C,C20,'Normalized Units'!D:D,B20)/12+SUM(SUMIFS('Normalized Units'!I:I,'Normalized Units'!H:H,{"Annual Bill","Load Size","Load Size Minimum"},'Normalized Units'!C:C,C20,'Normalized Units'!D:D,B20)))</f>
        <v>3498.2472222222223</v>
      </c>
      <c r="F20" s="23">
        <f>SUMIFS(RVN!I:I,RVN!A:A,B20,RVN!J:J,C20)</f>
        <v>21583435</v>
      </c>
      <c r="G20" s="23">
        <f>SUMIFS('Normalized Units'!I:I,'Normalized Units'!B:B,"Temperature kWh Normalization",'Normalized Units'!C:C,C20,'Normalized Units'!D:D,B20)</f>
        <v>0</v>
      </c>
      <c r="H20" s="23">
        <f t="shared" si="2"/>
        <v>205905.39749793708</v>
      </c>
      <c r="I20" s="23">
        <f>SUMIFS('Normalized Units'!I:I,'Normalized Units'!B:B,"Normalized Billing Units",'Normalized Units'!C:C,C20,'Normalized Units'!D:D,B20,'Normalized Units'!H:H,"kWh*")</f>
        <v>21789340.397497937</v>
      </c>
      <c r="J20" s="23">
        <f>SUMIFS(RVN!F:F,RVN!A:A,B20,RVN!J:J,C20)</f>
        <v>2409810.13</v>
      </c>
      <c r="K20" s="23" cm="1">
        <f t="array" ref="K20">IF(OR(C20={"Alt Rev Program","Blue Sky","Customer Bill Credits","DSM","Income Tax Defer Adj","Irr Demand Charge Accrual","Rev Adj Property Insur","Rev Adj"}),-J20,0)</f>
        <v>0</v>
      </c>
      <c r="L20" s="23">
        <f>-SUMIFS(RVN!F:F,RVN!A:A,B20,RVN!B:B,"B",RVN!J:J,C20)</f>
        <v>199250.93</v>
      </c>
      <c r="M20" s="23">
        <v>-30632.634600000005</v>
      </c>
      <c r="N20" s="23">
        <f>SUMIFS('Normalized Units'!I:I,'Normalized Units'!B:B,"Temperature $ Normalization",'Normalized Units'!D:D,B20,'Normalized Units'!C:C,C20)</f>
        <v>0</v>
      </c>
      <c r="O20" s="23">
        <f t="shared" si="0"/>
        <v>-7082.4008141795885</v>
      </c>
      <c r="P20" s="23">
        <f t="shared" si="1"/>
        <v>237650.70205660598</v>
      </c>
      <c r="Q20" s="23">
        <f t="shared" si="3"/>
        <v>75765.579751775862</v>
      </c>
      <c r="R20" s="23">
        <f>SUM(Sch.24!S66:S73,Sch.24!S74)</f>
        <v>2884762.3063942022</v>
      </c>
      <c r="T20" s="133">
        <v>-0.47087824579462839</v>
      </c>
      <c r="U20" s="133">
        <v>11.060258243301291</v>
      </c>
      <c r="W20" s="13"/>
    </row>
    <row r="21" spans="2:23" ht="15.75" customHeight="1">
      <c r="B21" s="13" t="s">
        <v>2</v>
      </c>
      <c r="C21" s="40" t="s">
        <v>215</v>
      </c>
      <c r="D21" s="47">
        <f>SUMIFS(RVN!H:H,RVN!A:A,B21,RVN!J:J,C21)/12</f>
        <v>4.416666666666667</v>
      </c>
      <c r="E21" s="38" cm="1">
        <f t="array" ref="E21">IF(OR(C21={"Schedule 15","Schedule 51","Schedule 53"}),D21,SUMIFS('Normalized Units'!I:I,'Normalized Units'!H:H,"Bill",'Normalized Units'!C:C,C21,'Normalized Units'!D:D,B21)/12+SUM(SUMIFS('Normalized Units'!I:I,'Normalized Units'!H:H,{"Annual Bill","Load Size","Load Size Minimum"},'Normalized Units'!C:C,C21,'Normalized Units'!D:D,B21)))</f>
        <v>3.8333333333333335</v>
      </c>
      <c r="F21" s="23">
        <f>SUMIFS(RVN!I:I,RVN!A:A,B21,RVN!J:J,C21)</f>
        <v>2291100</v>
      </c>
      <c r="G21" s="23">
        <f>SUMIFS('Normalized Units'!I:I,'Normalized Units'!B:B,"Temperature kWh Normalization",'Normalized Units'!C:C,C21,'Normalized Units'!D:D,B21)</f>
        <v>0</v>
      </c>
      <c r="H21" s="23">
        <f t="shared" si="2"/>
        <v>19614.354827860836</v>
      </c>
      <c r="I21" s="23">
        <f>SUMIFS('Normalized Units'!I:I,'Normalized Units'!B:B,"Normalized Billing Units",'Normalized Units'!C:C,C21,'Normalized Units'!D:D,B21,'Normalized Units'!H:H,"kWh*")</f>
        <v>2310714.3548278608</v>
      </c>
      <c r="J21" s="23">
        <f>SUMIFS(RVN!F:F,RVN!A:A,B21,RVN!J:J,C21)</f>
        <v>165869.12</v>
      </c>
      <c r="K21" s="23" cm="1">
        <f t="array" ref="K21">IF(OR(C21={"Alt Rev Program","Blue Sky","Customer Bill Credits","DSM","Income Tax Defer Adj","Irr Demand Charge Accrual","Rev Adj Property Insur","Rev Adj"}),-J21,0)</f>
        <v>0</v>
      </c>
      <c r="L21" s="23">
        <f>-SUMIFS(RVN!F:F,RVN!A:A,B21,RVN!B:B,"B",RVN!J:J,C21)</f>
        <v>18017.96</v>
      </c>
      <c r="M21" s="23">
        <v>839.37288000000081</v>
      </c>
      <c r="N21" s="23">
        <f>SUMIFS('Normalized Units'!I:I,'Normalized Units'!B:B,"Temperature $ Normalization",'Normalized Units'!D:D,B21,'Normalized Units'!C:C,C21)</f>
        <v>0</v>
      </c>
      <c r="O21" s="23">
        <f t="shared" si="0"/>
        <v>-584.562936781433</v>
      </c>
      <c r="P21" s="23">
        <f t="shared" si="1"/>
        <v>20075.166566858075</v>
      </c>
      <c r="Q21" s="23">
        <f t="shared" si="3"/>
        <v>8257.2947744145786</v>
      </c>
      <c r="R21" s="23">
        <f>SUM('Sch.29,36'!S55:S62,'Sch.29,36'!S63)</f>
        <v>212474.35128449122</v>
      </c>
      <c r="T21" s="133">
        <v>-0.54248207335865006</v>
      </c>
      <c r="U21" s="133">
        <v>13.041012537537819</v>
      </c>
      <c r="W21" s="13"/>
    </row>
    <row r="22" spans="2:23" ht="15.75" customHeight="1">
      <c r="B22" s="13" t="s">
        <v>2</v>
      </c>
      <c r="C22" s="49" t="s">
        <v>305</v>
      </c>
      <c r="D22" s="47">
        <f>SUMIFS(RVN!H:H,RVN!A:A,B22,RVN!J:J,C22)/12</f>
        <v>0</v>
      </c>
      <c r="E22" s="38" cm="1">
        <f t="array" ref="E22">IF(OR(C22={"Schedule 15","Schedule 51","Schedule 53"}),D22,SUMIFS('Normalized Units'!I:I,'Normalized Units'!H:H,"Bill",'Normalized Units'!C:C,C22,'Normalized Units'!D:D,B22)/12+SUM(SUMIFS('Normalized Units'!I:I,'Normalized Units'!H:H,{"Annual Bill","Load Size","Load Size Minimum"},'Normalized Units'!C:C,C22,'Normalized Units'!D:D,B22)))</f>
        <v>0</v>
      </c>
      <c r="F22" s="23">
        <f>SUMIFS(RVN!I:I,RVN!A:A,B22,RVN!J:J,C22)</f>
        <v>0</v>
      </c>
      <c r="G22" s="23">
        <f>SUMIFS('Normalized Units'!I:I,'Normalized Units'!B:B,"Temperature kWh Normalization",'Normalized Units'!C:C,C22,'Normalized Units'!D:D,B22)</f>
        <v>0</v>
      </c>
      <c r="H22" s="23">
        <f t="shared" ref="H22:H24" si="4">I22-G22-F22</f>
        <v>0</v>
      </c>
      <c r="I22" s="23">
        <f>SUMIFS('Normalized Units'!I:I,'Normalized Units'!B:B,"Normalized Billing Units",'Normalized Units'!C:C,C22,'Normalized Units'!D:D,B22,'Normalized Units'!H:H,"kWh*")</f>
        <v>0</v>
      </c>
      <c r="J22" s="23">
        <f>SUMIFS(RVN!F:F,RVN!A:A,B22,RVN!J:J,C22)</f>
        <v>0</v>
      </c>
      <c r="K22" s="23" cm="1">
        <f t="array" ref="K22">IF(OR(C22={"Alt Rev Program","Blue Sky","Customer Bill Credits","DSM","Income Tax Defer Adj","Irr Demand Charge Accrual","Rev Adj Property Insur","Rev Adj"}),-J22,0)</f>
        <v>0</v>
      </c>
      <c r="L22" s="23">
        <f>-SUMIFS(RVN!F:F,RVN!A:A,B22,RVN!B:B,"B",RVN!J:J,C22)</f>
        <v>0</v>
      </c>
      <c r="M22" s="23">
        <v>0</v>
      </c>
      <c r="N22" s="23">
        <f>SUMIFS('Normalized Units'!I:I,'Normalized Units'!B:B,"Temperature $ Normalization",'Normalized Units'!D:D,B22,'Normalized Units'!C:C,C22)</f>
        <v>0</v>
      </c>
      <c r="O22" s="23">
        <f t="shared" si="0"/>
        <v>0</v>
      </c>
      <c r="P22" s="23">
        <f t="shared" si="1"/>
        <v>0</v>
      </c>
      <c r="Q22" s="23">
        <f t="shared" si="3"/>
        <v>-256071</v>
      </c>
      <c r="R22" s="23">
        <f>'AutoPay&amp;Paperless'!F15</f>
        <v>-256071</v>
      </c>
      <c r="T22" s="133"/>
      <c r="U22" s="133"/>
      <c r="W22" s="13"/>
    </row>
    <row r="23" spans="2:23" ht="15.75" customHeight="1">
      <c r="B23" s="13" t="s">
        <v>2</v>
      </c>
      <c r="C23" s="49" t="s">
        <v>306</v>
      </c>
      <c r="D23" s="47">
        <f>SUMIFS(RVN!H:H,RVN!A:A,B23,RVN!J:J,C23)/12</f>
        <v>0</v>
      </c>
      <c r="E23" s="38" cm="1">
        <f t="array" ref="E23">IF(OR(C23={"Schedule 15","Schedule 51","Schedule 53"}),D23,SUMIFS('Normalized Units'!I:I,'Normalized Units'!H:H,"Bill",'Normalized Units'!C:C,C23,'Normalized Units'!D:D,B23)/12+SUM(SUMIFS('Normalized Units'!I:I,'Normalized Units'!H:H,{"Annual Bill","Load Size","Load Size Minimum"},'Normalized Units'!C:C,C23,'Normalized Units'!D:D,B23)))</f>
        <v>0</v>
      </c>
      <c r="F23" s="23">
        <f>SUMIFS(RVN!I:I,RVN!A:A,B23,RVN!J:J,C23)</f>
        <v>0</v>
      </c>
      <c r="G23" s="23">
        <f>SUMIFS('Normalized Units'!I:I,'Normalized Units'!B:B,"Temperature kWh Normalization",'Normalized Units'!C:C,C23,'Normalized Units'!D:D,B23)</f>
        <v>0</v>
      </c>
      <c r="H23" s="23">
        <f t="shared" si="4"/>
        <v>0</v>
      </c>
      <c r="I23" s="23">
        <f>SUMIFS('Normalized Units'!I:I,'Normalized Units'!B:B,"Normalized Billing Units",'Normalized Units'!C:C,C23,'Normalized Units'!D:D,B23,'Normalized Units'!H:H,"kWh*")</f>
        <v>0</v>
      </c>
      <c r="J23" s="23">
        <f>SUMIFS(RVN!F:F,RVN!A:A,B23,RVN!J:J,C23)</f>
        <v>0</v>
      </c>
      <c r="K23" s="23" cm="1">
        <f t="array" ref="K23">IF(OR(C23={"Alt Rev Program","Blue Sky","Customer Bill Credits","DSM","Income Tax Defer Adj","Irr Demand Charge Accrual","Rev Adj Property Insur","Rev Adj"}),-J23,0)</f>
        <v>0</v>
      </c>
      <c r="L23" s="23">
        <f>-SUMIFS(RVN!F:F,RVN!A:A,B23,RVN!B:B,"B",RVN!J:J,C23)</f>
        <v>0</v>
      </c>
      <c r="M23" s="23">
        <v>0</v>
      </c>
      <c r="N23" s="23">
        <f>SUMIFS('Normalized Units'!I:I,'Normalized Units'!B:B,"Temperature $ Normalization",'Normalized Units'!D:D,B23,'Normalized Units'!C:C,C23)</f>
        <v>0</v>
      </c>
      <c r="O23" s="23">
        <f t="shared" si="0"/>
        <v>0</v>
      </c>
      <c r="P23" s="23">
        <f t="shared" si="1"/>
        <v>0</v>
      </c>
      <c r="Q23" s="23">
        <f t="shared" si="3"/>
        <v>-231776.5</v>
      </c>
      <c r="R23" s="23">
        <f>'AutoPay&amp;Paperless'!F16</f>
        <v>-231776.5</v>
      </c>
      <c r="T23" s="133"/>
      <c r="U23" s="133"/>
      <c r="W23" s="13"/>
    </row>
    <row r="24" spans="2:23" ht="15.75" customHeight="1">
      <c r="B24" s="13" t="s">
        <v>2</v>
      </c>
      <c r="C24" s="18" t="s">
        <v>288</v>
      </c>
      <c r="D24" s="47">
        <f>SUMIFS(RVN!H:H,RVN!A:A,B24,RVN!J:J,C24)/12</f>
        <v>0</v>
      </c>
      <c r="E24" s="38" cm="1">
        <f t="array" ref="E24">IF(OR(C24={"Schedule 15","Schedule 51","Schedule 53"}),D24,SUMIFS('Normalized Units'!I:I,'Normalized Units'!H:H,"Bill",'Normalized Units'!C:C,C24,'Normalized Units'!D:D,B24)/12+SUM(SUMIFS('Normalized Units'!I:I,'Normalized Units'!H:H,{"Annual Bill","Load Size","Load Size Minimum"},'Normalized Units'!C:C,C24,'Normalized Units'!D:D,B24)))</f>
        <v>0</v>
      </c>
      <c r="F24" s="23">
        <f>SUMIFS(RVN!I:I,RVN!A:A,B24,RVN!J:J,C24)</f>
        <v>0</v>
      </c>
      <c r="G24" s="23">
        <f>SUMIFS('Normalized Units'!I:I,'Normalized Units'!B:B,"Temperature kWh Normalization",'Normalized Units'!C:C,C24,'Normalized Units'!D:D,B24)</f>
        <v>0</v>
      </c>
      <c r="H24" s="23">
        <f t="shared" si="4"/>
        <v>0</v>
      </c>
      <c r="I24" s="23">
        <f>SUMIFS('Normalized Units'!I:I,'Normalized Units'!B:B,"Normalized Billing Units",'Normalized Units'!C:C,C24,'Normalized Units'!D:D,B24,'Normalized Units'!H:H,"kWh*")</f>
        <v>0</v>
      </c>
      <c r="J24" s="23">
        <f>SUMIFS(RVN!F:F,RVN!A:A,B24,RVN!J:J,C24)</f>
        <v>1155.94</v>
      </c>
      <c r="K24" s="23" cm="1">
        <f t="array" ref="K24">IF(OR(C24={"Alt Rev Program","Blue Sky","Customer Bill Credits","DSM","Income Tax Defer Adj","Irr Demand Charge Accrual","Rev Adj Property Insur","Rev Adj"}),-J24,0)</f>
        <v>0</v>
      </c>
      <c r="L24" s="23">
        <f>-SUMIFS(RVN!F:F,RVN!A:A,B24,RVN!B:B,"B",RVN!J:J,C24)</f>
        <v>0</v>
      </c>
      <c r="M24" s="23">
        <v>0</v>
      </c>
      <c r="N24" s="23">
        <f>SUMIFS('Normalized Units'!I:I,'Normalized Units'!B:B,"Temperature $ Normalization",'Normalized Units'!D:D,B24,'Normalized Units'!C:C,C24)</f>
        <v>0</v>
      </c>
      <c r="O24" s="23">
        <f t="shared" si="0"/>
        <v>0</v>
      </c>
      <c r="P24" s="23">
        <f t="shared" si="1"/>
        <v>0</v>
      </c>
      <c r="Q24" s="23">
        <f t="shared" si="3"/>
        <v>0</v>
      </c>
      <c r="R24" s="23">
        <f>J24</f>
        <v>1155.94</v>
      </c>
      <c r="T24" s="133"/>
      <c r="U24" s="133"/>
      <c r="W24" s="13"/>
    </row>
    <row r="25" spans="2:23" ht="15.75" customHeight="1">
      <c r="B25" s="20" t="s">
        <v>2</v>
      </c>
      <c r="C25" s="21" t="s">
        <v>0</v>
      </c>
      <c r="D25" s="24">
        <f t="shared" ref="D25:H25" si="5">SUM(D9:D24)</f>
        <v>115432.58333333333</v>
      </c>
      <c r="E25" s="24">
        <f t="shared" si="5"/>
        <v>115211.11044802866</v>
      </c>
      <c r="F25" s="24">
        <f t="shared" si="5"/>
        <v>1675858425</v>
      </c>
      <c r="G25" s="24">
        <f t="shared" si="5"/>
        <v>-19485564.170899998</v>
      </c>
      <c r="H25" s="24">
        <f t="shared" si="5"/>
        <v>78972.590909643564</v>
      </c>
      <c r="I25" s="24">
        <f t="shared" ref="I25:O25" si="6">SUM(I9:I24)</f>
        <v>1656451833.4200096</v>
      </c>
      <c r="J25" s="24">
        <f t="shared" si="6"/>
        <v>160225826.13</v>
      </c>
      <c r="K25" s="24">
        <f t="shared" si="6"/>
        <v>-9241417.8000000007</v>
      </c>
      <c r="L25" s="24">
        <f t="shared" si="6"/>
        <v>15241367.59</v>
      </c>
      <c r="M25" s="24">
        <f t="shared" si="6"/>
        <v>-828804.08717949968</v>
      </c>
      <c r="N25" s="24">
        <f t="shared" si="6"/>
        <v>-2080953.9801362143</v>
      </c>
      <c r="O25" s="24">
        <f t="shared" si="6"/>
        <v>-496260.84755429905</v>
      </c>
      <c r="P25" s="24">
        <f t="shared" ref="P25:Q25" si="7">SUM(P9:P24)</f>
        <v>14460227.192791339</v>
      </c>
      <c r="Q25" s="24">
        <f t="shared" si="7"/>
        <v>1510346.1656587382</v>
      </c>
      <c r="R25" s="24">
        <f>SUM(R9:R24)</f>
        <v>178790330.36358008</v>
      </c>
      <c r="T25" s="133"/>
      <c r="U25" s="133"/>
      <c r="W25" s="13"/>
    </row>
    <row r="26" spans="2:23" ht="15.75" customHeight="1">
      <c r="B26" s="13"/>
      <c r="C26" s="41"/>
      <c r="D26" s="19"/>
      <c r="E26" s="45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0"/>
      <c r="T26" s="133"/>
      <c r="U26" s="133"/>
      <c r="W26" s="13"/>
    </row>
    <row r="27" spans="2:23" ht="15.75" customHeight="1">
      <c r="B27" s="13" t="s">
        <v>3</v>
      </c>
      <c r="C27" s="38" t="s">
        <v>206</v>
      </c>
      <c r="D27" s="47">
        <f>SUMIFS(RVN!H:H,RVN!A:A,B27,RVN!J:J,C27)/12</f>
        <v>0</v>
      </c>
      <c r="E27" s="38" cm="1">
        <f t="array" ref="E27">IF(OR(C27={"Schedule 15","Schedule 51","Schedule 53"}),D27,SUMIFS('Normalized Units'!I:I,'Normalized Units'!H:H,"Bill",'Normalized Units'!C:C,C27,'Normalized Units'!D:D,B27)/12+SUM(SUMIFS('Normalized Units'!I:I,'Normalized Units'!H:H,{"Annual Bill","Load Size","Load Size Minimum"},'Normalized Units'!C:C,C27,'Normalized Units'!D:D,B27)))</f>
        <v>0</v>
      </c>
      <c r="F27" s="23">
        <f>SUMIFS(RVN!I:I,RVN!A:A,B27,RVN!J:J,C27)</f>
        <v>0</v>
      </c>
      <c r="G27" s="23">
        <f>SUMIFS('Normalized Units'!I:I,'Normalized Units'!B:B,"Temperature kWh Normalization",'Normalized Units'!C:C,C27,'Normalized Units'!D:D,B27)</f>
        <v>0</v>
      </c>
      <c r="H27" s="23">
        <f>I27-G27-F27</f>
        <v>0</v>
      </c>
      <c r="I27" s="23">
        <f>SUMIFS('Normalized Units'!I:I,'Normalized Units'!B:B,"Normalized Billing Units",'Normalized Units'!C:C,C27,'Normalized Units'!D:D,B27,'Normalized Units'!H:H,"kWh*")</f>
        <v>0</v>
      </c>
      <c r="J27" s="23">
        <f>SUMIFS(RVN!F:F,RVN!A:A,B27,RVN!J:J,C27)</f>
        <v>-1085030.27</v>
      </c>
      <c r="K27" s="23" cm="1">
        <f t="array" ref="K27">IF(OR(C27={"Alt Rev Program","Blue Sky","Customer Bill Credits","DSM","Income Tax Defer Adj","Irr Demand Charge Accrual","Rev Adj Property Insur","Rev Adj"}),-J27,0)</f>
        <v>1085030.27</v>
      </c>
      <c r="L27" s="23">
        <f>-SUMIFS(RVN!F:F,RVN!A:A,B27,RVN!B:B,"B",RVN!J:J,C27)</f>
        <v>0</v>
      </c>
      <c r="M27" s="23">
        <v>0</v>
      </c>
      <c r="N27" s="23">
        <f>SUMIFS('Normalized Units'!I:I,'Normalized Units'!B:B,"Temperature $ Normalization",'Normalized Units'!D:D,B27,'Normalized Units'!C:C,C27)</f>
        <v>0</v>
      </c>
      <c r="O27" s="23">
        <f t="shared" ref="O27:O42" si="8">(J27+K27+L27+M27+N27)*T27/100*7/12</f>
        <v>0</v>
      </c>
      <c r="P27" s="23">
        <f t="shared" ref="P27:P42" si="9">(J27+K27+L27+M27+N27)*U27/100*10/12</f>
        <v>0</v>
      </c>
      <c r="Q27" s="23">
        <f t="shared" si="3"/>
        <v>0</v>
      </c>
      <c r="R27" s="23">
        <v>0</v>
      </c>
      <c r="T27" s="133"/>
      <c r="U27" s="133"/>
      <c r="W27" s="13"/>
    </row>
    <row r="28" spans="2:23" ht="15.75" customHeight="1">
      <c r="B28" s="13" t="s">
        <v>3</v>
      </c>
      <c r="C28" s="38" t="s">
        <v>83</v>
      </c>
      <c r="D28" s="47">
        <f>SUMIFS(RVN!H:H,RVN!A:A,B28,RVN!J:J,C28)/12</f>
        <v>0</v>
      </c>
      <c r="E28" s="38" cm="1">
        <f t="array" ref="E28">IF(OR(C28={"Schedule 15","Schedule 51","Schedule 53"}),D28,SUMIFS('Normalized Units'!I:I,'Normalized Units'!H:H,"Bill",'Normalized Units'!C:C,C28,'Normalized Units'!D:D,B28)/12+SUM(SUMIFS('Normalized Units'!I:I,'Normalized Units'!H:H,{"Annual Bill","Load Size","Load Size Minimum"},'Normalized Units'!C:C,C28,'Normalized Units'!D:D,B28)))</f>
        <v>0</v>
      </c>
      <c r="F28" s="23">
        <f>SUMIFS(RVN!I:I,RVN!A:A,B28,RVN!J:J,C28)</f>
        <v>0</v>
      </c>
      <c r="G28" s="23">
        <f>SUMIFS('Normalized Units'!I:I,'Normalized Units'!B:B,"Temperature kWh Normalization",'Normalized Units'!C:C,C28,'Normalized Units'!D:D,B28)</f>
        <v>0</v>
      </c>
      <c r="H28" s="23">
        <f t="shared" ref="H28:H35" si="10">I28-G28-F28</f>
        <v>0</v>
      </c>
      <c r="I28" s="23">
        <f>SUMIFS('Normalized Units'!I:I,'Normalized Units'!B:B,"Normalized Billing Units",'Normalized Units'!C:C,C28,'Normalized Units'!D:D,B28,'Normalized Units'!H:H,"kWh*")</f>
        <v>0</v>
      </c>
      <c r="J28" s="23">
        <f>SUMIFS(RVN!F:F,RVN!A:A,B28,RVN!J:J,C28)</f>
        <v>30424.7</v>
      </c>
      <c r="K28" s="23" cm="1">
        <f t="array" ref="K28">IF(OR(C28={"Alt Rev Program","Blue Sky","Customer Bill Credits","DSM","Income Tax Defer Adj","Irr Demand Charge Accrual","Rev Adj Property Insur","Rev Adj"}),-J28,0)</f>
        <v>-30424.7</v>
      </c>
      <c r="L28" s="23">
        <f>-SUMIFS(RVN!F:F,RVN!A:A,B28,RVN!B:B,"B",RVN!J:J,C28)</f>
        <v>0</v>
      </c>
      <c r="M28" s="23">
        <v>0</v>
      </c>
      <c r="N28" s="23">
        <f>SUMIFS('Normalized Units'!I:I,'Normalized Units'!B:B,"Temperature $ Normalization",'Normalized Units'!D:D,B28,'Normalized Units'!C:C,C28)</f>
        <v>0</v>
      </c>
      <c r="O28" s="23">
        <f t="shared" si="8"/>
        <v>0</v>
      </c>
      <c r="P28" s="23">
        <f t="shared" si="9"/>
        <v>0</v>
      </c>
      <c r="Q28" s="23">
        <f t="shared" si="3"/>
        <v>0</v>
      </c>
      <c r="R28" s="23">
        <v>0</v>
      </c>
      <c r="T28" s="133"/>
      <c r="U28" s="133"/>
      <c r="W28" s="13"/>
    </row>
    <row r="29" spans="2:23" ht="15.75" customHeight="1">
      <c r="B29" s="13" t="s">
        <v>3</v>
      </c>
      <c r="C29" s="38" t="s">
        <v>87</v>
      </c>
      <c r="D29" s="47">
        <f>SUMIFS(RVN!H:H,RVN!A:A,B29,RVN!J:J,C29)/12</f>
        <v>0</v>
      </c>
      <c r="E29" s="38" cm="1">
        <f t="array" ref="E29">IF(OR(C29={"Schedule 15","Schedule 51","Schedule 53"}),D29,SUMIFS('Normalized Units'!I:I,'Normalized Units'!H:H,"Bill",'Normalized Units'!C:C,C29,'Normalized Units'!D:D,B29)/12+SUM(SUMIFS('Normalized Units'!I:I,'Normalized Units'!H:H,{"Annual Bill","Load Size","Load Size Minimum"},'Normalized Units'!C:C,C29,'Normalized Units'!D:D,B29)))</f>
        <v>0</v>
      </c>
      <c r="F29" s="23">
        <f>SUMIFS(RVN!I:I,RVN!A:A,B29,RVN!J:J,C29)</f>
        <v>0</v>
      </c>
      <c r="G29" s="23">
        <f>SUMIFS('Normalized Units'!I:I,'Normalized Units'!B:B,"Temperature kWh Normalization",'Normalized Units'!C:C,C29,'Normalized Units'!D:D,B29)</f>
        <v>0</v>
      </c>
      <c r="H29" s="23">
        <f t="shared" si="10"/>
        <v>0</v>
      </c>
      <c r="I29" s="23">
        <f>SUMIFS('Normalized Units'!I:I,'Normalized Units'!B:B,"Normalized Billing Units",'Normalized Units'!C:C,C29,'Normalized Units'!D:D,B29,'Normalized Units'!H:H,"kWh*")</f>
        <v>0</v>
      </c>
      <c r="J29" s="23">
        <f>SUMIFS(RVN!F:F,RVN!A:A,B29,RVN!J:J,C29)</f>
        <v>4534087.8899999997</v>
      </c>
      <c r="K29" s="23" cm="1">
        <f t="array" ref="K29">IF(OR(C29={"Alt Rev Program","Blue Sky","Customer Bill Credits","DSM","Income Tax Defer Adj","Irr Demand Charge Accrual","Rev Adj Property Insur","Rev Adj"}),-J29,0)</f>
        <v>-4534087.8899999997</v>
      </c>
      <c r="L29" s="23">
        <f>-SUMIFS(RVN!F:F,RVN!A:A,B29,RVN!B:B,"B",RVN!J:J,C29)</f>
        <v>0</v>
      </c>
      <c r="M29" s="23">
        <v>0</v>
      </c>
      <c r="N29" s="23">
        <f>SUMIFS('Normalized Units'!I:I,'Normalized Units'!B:B,"Temperature $ Normalization",'Normalized Units'!D:D,B29,'Normalized Units'!C:C,C29)</f>
        <v>0</v>
      </c>
      <c r="O29" s="23">
        <f t="shared" si="8"/>
        <v>0</v>
      </c>
      <c r="P29" s="23">
        <f t="shared" si="9"/>
        <v>0</v>
      </c>
      <c r="Q29" s="23">
        <f t="shared" si="3"/>
        <v>0</v>
      </c>
      <c r="R29" s="23">
        <v>0</v>
      </c>
      <c r="T29" s="133"/>
      <c r="U29" s="133"/>
      <c r="W29" s="13"/>
    </row>
    <row r="30" spans="2:23" ht="15.75" customHeight="1">
      <c r="B30" s="13" t="s">
        <v>3</v>
      </c>
      <c r="C30" s="38" t="s">
        <v>209</v>
      </c>
      <c r="D30" s="47">
        <f>SUMIFS(RVN!H:H,RVN!A:A,B30,RVN!J:J,C30)/12</f>
        <v>0</v>
      </c>
      <c r="E30" s="38" cm="1">
        <f t="array" ref="E30">IF(OR(C30={"Schedule 15","Schedule 51","Schedule 53"}),D30,SUMIFS('Normalized Units'!I:I,'Normalized Units'!H:H,"Bill",'Normalized Units'!C:C,C30,'Normalized Units'!D:D,B30)/12+SUM(SUMIFS('Normalized Units'!I:I,'Normalized Units'!H:H,{"Annual Bill","Load Size","Load Size Minimum"},'Normalized Units'!C:C,C30,'Normalized Units'!D:D,B30)))</f>
        <v>0</v>
      </c>
      <c r="F30" s="23">
        <f>SUMIFS(RVN!I:I,RVN!A:A,B30,RVN!J:J,C30)</f>
        <v>0</v>
      </c>
      <c r="G30" s="23">
        <f>SUMIFS('Normalized Units'!I:I,'Normalized Units'!B:B,"Temperature kWh Normalization",'Normalized Units'!C:C,C30,'Normalized Units'!D:D,B30)</f>
        <v>0</v>
      </c>
      <c r="H30" s="23">
        <f t="shared" si="10"/>
        <v>0</v>
      </c>
      <c r="I30" s="23">
        <f>SUMIFS('Normalized Units'!I:I,'Normalized Units'!B:B,"Normalized Billing Units",'Normalized Units'!C:C,C30,'Normalized Units'!D:D,B30,'Normalized Units'!H:H,"kWh*")</f>
        <v>0</v>
      </c>
      <c r="J30" s="23">
        <f>SUMIFS(RVN!F:F,RVN!A:A,B30,RVN!J:J,C30)</f>
        <v>789363.18</v>
      </c>
      <c r="K30" s="23" cm="1">
        <f t="array" ref="K30">IF(OR(C30={"Alt Rev Program","Blue Sky","Customer Bill Credits","DSM","Income Tax Defer Adj","Irr Demand Charge Accrual","Rev Adj Property Insur","Rev Adj"}),-J30,0)</f>
        <v>-789363.18</v>
      </c>
      <c r="L30" s="23">
        <f>-SUMIFS(RVN!F:F,RVN!A:A,B30,RVN!B:B,"B",RVN!J:J,C30)</f>
        <v>0</v>
      </c>
      <c r="M30" s="23">
        <v>0</v>
      </c>
      <c r="N30" s="23">
        <f>SUMIFS('Normalized Units'!I:I,'Normalized Units'!B:B,"Temperature $ Normalization",'Normalized Units'!D:D,B30,'Normalized Units'!C:C,C30)</f>
        <v>0</v>
      </c>
      <c r="O30" s="23">
        <f t="shared" si="8"/>
        <v>0</v>
      </c>
      <c r="P30" s="23">
        <f t="shared" si="9"/>
        <v>0</v>
      </c>
      <c r="Q30" s="23">
        <f t="shared" si="3"/>
        <v>0</v>
      </c>
      <c r="R30" s="23">
        <v>0</v>
      </c>
      <c r="T30" s="133"/>
      <c r="U30" s="133"/>
      <c r="W30" s="13"/>
    </row>
    <row r="31" spans="2:23" ht="15.75" customHeight="1">
      <c r="B31" s="13" t="s">
        <v>3</v>
      </c>
      <c r="C31" s="38" t="s">
        <v>127</v>
      </c>
      <c r="D31" s="47">
        <f>SUMIFS(RVN!H:H,RVN!A:A,B31,RVN!J:J,C31)/12</f>
        <v>0</v>
      </c>
      <c r="E31" s="38" cm="1">
        <f t="array" ref="E31">IF(OR(C31={"Schedule 15","Schedule 51","Schedule 53"}),D31,SUMIFS('Normalized Units'!I:I,'Normalized Units'!H:H,"Bill",'Normalized Units'!C:C,C31,'Normalized Units'!D:D,B31)/12+SUM(SUMIFS('Normalized Units'!I:I,'Normalized Units'!H:H,{"Annual Bill","Load Size","Load Size Minimum"},'Normalized Units'!C:C,C31,'Normalized Units'!D:D,B31)))</f>
        <v>0</v>
      </c>
      <c r="F31" s="23">
        <f>SUMIFS(RVN!I:I,RVN!A:A,B31,RVN!J:J,C31)</f>
        <v>0</v>
      </c>
      <c r="G31" s="23">
        <f>SUMIFS('Normalized Units'!I:I,'Normalized Units'!B:B,"Temperature kWh Normalization",'Normalized Units'!C:C,C31,'Normalized Units'!D:D,B31)</f>
        <v>0</v>
      </c>
      <c r="H31" s="23">
        <f t="shared" si="10"/>
        <v>0</v>
      </c>
      <c r="I31" s="23">
        <f>SUMIFS('Normalized Units'!I:I,'Normalized Units'!B:B,"Normalized Billing Units",'Normalized Units'!C:C,C31,'Normalized Units'!D:D,B31,'Normalized Units'!H:H,"kWh*")</f>
        <v>0</v>
      </c>
      <c r="J31" s="23">
        <f>SUMIFS(RVN!F:F,RVN!A:A,B31,RVN!J:J,C31)</f>
        <v>44874.79</v>
      </c>
      <c r="K31" s="23" cm="1">
        <f t="array" ref="K31">IF(OR(C31={"Alt Rev Program","Blue Sky","Customer Bill Credits","DSM","Income Tax Defer Adj","Irr Demand Charge Accrual","Rev Adj Property Insur","Rev Adj"}),-J31,0)</f>
        <v>-44874.79</v>
      </c>
      <c r="L31" s="23">
        <f>-SUMIFS(RVN!F:F,RVN!A:A,B31,RVN!B:B,"B",RVN!J:J,C31)</f>
        <v>0</v>
      </c>
      <c r="M31" s="23">
        <v>0</v>
      </c>
      <c r="N31" s="23">
        <f>SUMIFS('Normalized Units'!I:I,'Normalized Units'!B:B,"Temperature $ Normalization",'Normalized Units'!D:D,B31,'Normalized Units'!C:C,C31)</f>
        <v>0</v>
      </c>
      <c r="O31" s="23">
        <f t="shared" si="8"/>
        <v>0</v>
      </c>
      <c r="P31" s="23">
        <f t="shared" si="9"/>
        <v>0</v>
      </c>
      <c r="Q31" s="23">
        <f t="shared" si="3"/>
        <v>0</v>
      </c>
      <c r="R31" s="23">
        <v>0</v>
      </c>
      <c r="T31" s="133"/>
      <c r="U31" s="133"/>
      <c r="W31" s="13"/>
    </row>
    <row r="32" spans="2:23" ht="15.75" customHeight="1">
      <c r="B32" s="13" t="s">
        <v>3</v>
      </c>
      <c r="C32" s="38" t="s">
        <v>110</v>
      </c>
      <c r="D32" s="47">
        <f>SUMIFS(RVN!H:H,RVN!A:A,B32,RVN!J:J,C32)/12</f>
        <v>0</v>
      </c>
      <c r="E32" s="38" cm="1">
        <f t="array" ref="E32">IF(OR(C32={"Schedule 15","Schedule 51","Schedule 53"}),D32,SUMIFS('Normalized Units'!I:I,'Normalized Units'!H:H,"Bill",'Normalized Units'!C:C,C32,'Normalized Units'!D:D,B32)/12+SUM(SUMIFS('Normalized Units'!I:I,'Normalized Units'!H:H,{"Annual Bill","Load Size","Load Size Minimum"},'Normalized Units'!C:C,C32,'Normalized Units'!D:D,B32)))</f>
        <v>0</v>
      </c>
      <c r="F32" s="23">
        <f>SUMIFS(RVN!I:I,RVN!A:A,B32,RVN!J:J,C32)</f>
        <v>0</v>
      </c>
      <c r="G32" s="23">
        <f>SUMIFS('Normalized Units'!I:I,'Normalized Units'!B:B,"Temperature kWh Normalization",'Normalized Units'!C:C,C32,'Normalized Units'!D:D,B32)</f>
        <v>0</v>
      </c>
      <c r="H32" s="23">
        <f t="shared" si="10"/>
        <v>0</v>
      </c>
      <c r="I32" s="23">
        <f>SUMIFS('Normalized Units'!I:I,'Normalized Units'!B:B,"Normalized Billing Units",'Normalized Units'!C:C,C32,'Normalized Units'!D:D,B32,'Normalized Units'!H:H,"kWh*")</f>
        <v>0</v>
      </c>
      <c r="J32" s="23">
        <f>SUMIFS(RVN!F:F,RVN!A:A,B32,RVN!J:J,C32)</f>
        <v>-271170.24</v>
      </c>
      <c r="K32" s="23" cm="1">
        <f t="array" ref="K32">IF(OR(C32={"Alt Rev Program","Blue Sky","Customer Bill Credits","DSM","Income Tax Defer Adj","Irr Demand Charge Accrual","Rev Adj Property Insur","Rev Adj"}),-J32,0)</f>
        <v>271170.24</v>
      </c>
      <c r="L32" s="23">
        <f>-SUMIFS(RVN!F:F,RVN!A:A,B32,RVN!B:B,"B",RVN!J:J,C32)</f>
        <v>0</v>
      </c>
      <c r="M32" s="23">
        <v>0</v>
      </c>
      <c r="N32" s="23">
        <f>SUMIFS('Normalized Units'!I:I,'Normalized Units'!B:B,"Temperature $ Normalization",'Normalized Units'!D:D,B32,'Normalized Units'!C:C,C32)</f>
        <v>0</v>
      </c>
      <c r="O32" s="23">
        <f t="shared" si="8"/>
        <v>0</v>
      </c>
      <c r="P32" s="23">
        <f t="shared" si="9"/>
        <v>0</v>
      </c>
      <c r="Q32" s="23">
        <f t="shared" si="3"/>
        <v>0</v>
      </c>
      <c r="R32" s="23">
        <v>0</v>
      </c>
      <c r="T32" s="133"/>
      <c r="U32" s="133"/>
      <c r="W32" s="13"/>
    </row>
    <row r="33" spans="2:23" ht="15.75" customHeight="1">
      <c r="B33" s="13" t="s">
        <v>3</v>
      </c>
      <c r="C33" s="38" t="s">
        <v>208</v>
      </c>
      <c r="D33" s="47">
        <f>SUMIFS(RVN!H:H,RVN!A:A,B33,RVN!J:J,C33)/12</f>
        <v>0</v>
      </c>
      <c r="E33" s="38" cm="1">
        <f t="array" ref="E33">IF(OR(C33={"Schedule 15","Schedule 51","Schedule 53"}),D33,SUMIFS('Normalized Units'!I:I,'Normalized Units'!H:H,"Bill",'Normalized Units'!C:C,C33,'Normalized Units'!D:D,B33)/12+SUM(SUMIFS('Normalized Units'!I:I,'Normalized Units'!H:H,{"Annual Bill","Load Size","Load Size Minimum"},'Normalized Units'!C:C,C33,'Normalized Units'!D:D,B33)))</f>
        <v>0</v>
      </c>
      <c r="F33" s="23">
        <f>SUMIFS(RVN!I:I,RVN!A:A,B33,RVN!J:J,C33)</f>
        <v>0</v>
      </c>
      <c r="G33" s="23">
        <f>SUMIFS('Normalized Units'!I:I,'Normalized Units'!B:B,"Temperature kWh Normalization",'Normalized Units'!C:C,C33,'Normalized Units'!D:D,B33)</f>
        <v>0</v>
      </c>
      <c r="H33" s="23">
        <f t="shared" si="10"/>
        <v>0</v>
      </c>
      <c r="I33" s="23">
        <f>SUMIFS('Normalized Units'!I:I,'Normalized Units'!B:B,"Normalized Billing Units",'Normalized Units'!C:C,C33,'Normalized Units'!D:D,B33,'Normalized Units'!H:H,"kWh*")</f>
        <v>0</v>
      </c>
      <c r="J33" s="23">
        <f>SUMIFS(RVN!F:F,RVN!A:A,B33,RVN!J:J,C33)</f>
        <v>9184.99</v>
      </c>
      <c r="K33" s="23" cm="1">
        <f t="array" ref="K33">IF(OR(C33={"Alt Rev Program","Blue Sky","Customer Bill Credits","DSM","Income Tax Defer Adj","Irr Demand Charge Accrual","Rev Adj Property Insur","Rev Adj"}),-J33,0)</f>
        <v>0</v>
      </c>
      <c r="L33" s="23">
        <f>-SUMIFS(RVN!F:F,RVN!A:A,B33,RVN!B:B,"B",RVN!J:J,C33)</f>
        <v>-9184.99</v>
      </c>
      <c r="M33" s="23">
        <v>0</v>
      </c>
      <c r="N33" s="23">
        <f>SUMIFS('Normalized Units'!I:I,'Normalized Units'!B:B,"Temperature $ Normalization",'Normalized Units'!D:D,B33,'Normalized Units'!C:C,C33)</f>
        <v>0</v>
      </c>
      <c r="O33" s="23">
        <f t="shared" si="8"/>
        <v>0</v>
      </c>
      <c r="P33" s="23">
        <f t="shared" si="9"/>
        <v>0</v>
      </c>
      <c r="Q33" s="23">
        <f t="shared" si="3"/>
        <v>0</v>
      </c>
      <c r="R33" s="23">
        <v>0</v>
      </c>
      <c r="T33" s="133"/>
      <c r="U33" s="133"/>
      <c r="W33" s="13"/>
    </row>
    <row r="34" spans="2:23" ht="15.75" customHeight="1">
      <c r="B34" s="13" t="s">
        <v>3</v>
      </c>
      <c r="C34" s="47" t="s">
        <v>105</v>
      </c>
      <c r="D34" s="47">
        <f>SUMIFS(RVN!H:H,RVN!A:A,B34,RVN!J:J,C34)/12</f>
        <v>0</v>
      </c>
      <c r="E34" s="38" cm="1">
        <f t="array" ref="E34">IF(OR(C34={"Schedule 15","Schedule 51","Schedule 53"}),D34,SUMIFS('Normalized Units'!I:I,'Normalized Units'!H:H,"Bill",'Normalized Units'!C:C,C34,'Normalized Units'!D:D,B34)/12+SUM(SUMIFS('Normalized Units'!I:I,'Normalized Units'!H:H,{"Annual Bill","Load Size","Load Size Minimum"},'Normalized Units'!C:C,C34,'Normalized Units'!D:D,B34)))</f>
        <v>0</v>
      </c>
      <c r="F34" s="23">
        <f>SUMIFS(RVN!I:I,RVN!A:A,B34,RVN!J:J,C34)</f>
        <v>10073000</v>
      </c>
      <c r="G34" s="23">
        <f>SUMIFS('Normalized Units'!I:I,'Normalized Units'!B:B,"Temperature kWh Normalization",'Normalized Units'!C:C,C34,'Normalized Units'!D:D,B34)</f>
        <v>0</v>
      </c>
      <c r="H34" s="23">
        <f t="shared" si="10"/>
        <v>-10073000</v>
      </c>
      <c r="I34" s="23">
        <f>SUMIFS('Normalized Units'!I:I,'Normalized Units'!B:B,"Normalized Billing Units",'Normalized Units'!C:C,C34,'Normalized Units'!D:D,B34,'Normalized Units'!H:H,"kWh*")</f>
        <v>0</v>
      </c>
      <c r="J34" s="23">
        <f>SUMIFS(RVN!F:F,RVN!A:A,B34,RVN!J:J,C34)</f>
        <v>2041000</v>
      </c>
      <c r="K34" s="23" cm="1">
        <f t="array" ref="K34">IF(OR(C34={"Alt Rev Program","Blue Sky","Customer Bill Credits","DSM","Income Tax Defer Adj","Irr Demand Charge Accrual","Rev Adj Property Insur","Rev Adj"}),-J34,0)</f>
        <v>0</v>
      </c>
      <c r="L34" s="23">
        <f>-SUMIFS(RVN!F:F,RVN!A:A,B34,RVN!B:B,"B",RVN!J:J,C34)</f>
        <v>0</v>
      </c>
      <c r="M34" s="23">
        <v>0</v>
      </c>
      <c r="N34" s="23">
        <f>SUMIFS('Normalized Units'!I:I,'Normalized Units'!B:B,"Temperature $ Normalization",'Normalized Units'!D:D,B34,'Normalized Units'!C:C,C34)</f>
        <v>0</v>
      </c>
      <c r="O34" s="23">
        <f t="shared" si="8"/>
        <v>0</v>
      </c>
      <c r="P34" s="23">
        <f t="shared" si="9"/>
        <v>0</v>
      </c>
      <c r="Q34" s="23">
        <f t="shared" si="3"/>
        <v>-2041000</v>
      </c>
      <c r="R34" s="23">
        <v>0</v>
      </c>
      <c r="T34" s="133"/>
      <c r="U34" s="133"/>
      <c r="W34" s="13"/>
    </row>
    <row r="35" spans="2:23" ht="15.75" customHeight="1">
      <c r="B35" s="13" t="s">
        <v>3</v>
      </c>
      <c r="C35" s="40" t="s">
        <v>106</v>
      </c>
      <c r="D35" s="47">
        <f>SUMIFS(RVN!H:H,RVN!A:A,B35,RVN!J:J,C35)/12</f>
        <v>1190.9166666666667</v>
      </c>
      <c r="E35" s="38" cm="1">
        <f t="array" ref="E35">IF(OR(C35={"Schedule 15","Schedule 51","Schedule 53"}),D35,SUMIFS('Normalized Units'!I:I,'Normalized Units'!H:H,"Bill",'Normalized Units'!C:C,C35,'Normalized Units'!D:D,B35)/12+SUM(SUMIFS('Normalized Units'!I:I,'Normalized Units'!H:H,{"Annual Bill","Load Size","Load Size Minimum"},'Normalized Units'!C:C,C35,'Normalized Units'!D:D,B35)))</f>
        <v>1190.9166666666667</v>
      </c>
      <c r="F35" s="23">
        <f>SUMIFS(RVN!I:I,RVN!A:A,B35,RVN!J:J,C35)</f>
        <v>1841785</v>
      </c>
      <c r="G35" s="23">
        <f>SUMIFS('Normalized Units'!I:I,'Normalized Units'!B:B,"Temperature kWh Normalization",'Normalized Units'!C:C,C35,'Normalized Units'!D:D,B35)</f>
        <v>0</v>
      </c>
      <c r="H35" s="23">
        <f t="shared" si="10"/>
        <v>7355.4231953695416</v>
      </c>
      <c r="I35" s="23">
        <f>SUMIFS('Normalized Units'!I:I,'Normalized Units'!B:B,"Normalized Billing Units",'Normalized Units'!C:C,C35,'Normalized Units'!D:D,B35,'Normalized Units'!H:H,"kWh*")</f>
        <v>1849140.4231953695</v>
      </c>
      <c r="J35" s="23">
        <f>SUMIFS(RVN!F:F,RVN!A:A,B35,RVN!J:J,C35)</f>
        <v>156208.76</v>
      </c>
      <c r="K35" s="23" cm="1">
        <f t="array" ref="K35">IF(OR(C35={"Alt Rev Program","Blue Sky","Customer Bill Credits","DSM","Income Tax Defer Adj","Irr Demand Charge Accrual","Rev Adj Property Insur","Rev Adj"}),-J35,0)</f>
        <v>0</v>
      </c>
      <c r="L35" s="23">
        <f>-SUMIFS(RVN!F:F,RVN!A:A,B35,RVN!B:B,"B",RVN!J:J,C35)</f>
        <v>1217.43</v>
      </c>
      <c r="M35" s="23">
        <v>739.09446605734399</v>
      </c>
      <c r="N35" s="23">
        <f>SUMIFS('Normalized Units'!I:I,'Normalized Units'!B:B,"Temperature $ Normalization",'Normalized Units'!D:D,B35,'Normalized Units'!C:C,C35)</f>
        <v>0</v>
      </c>
      <c r="O35" s="23">
        <f t="shared" si="8"/>
        <v>-251.36724422649115</v>
      </c>
      <c r="P35" s="23">
        <f t="shared" si="9"/>
        <v>15201.342144099626</v>
      </c>
      <c r="Q35" s="23">
        <f t="shared" si="3"/>
        <v>4332.912654076581</v>
      </c>
      <c r="R35" s="23">
        <f>SUM('Sch.15,51,53,54'!G55:G57,'Sch.15,51,53,54'!G58)</f>
        <v>177448.17202000707</v>
      </c>
      <c r="T35" s="134">
        <f>T18</f>
        <v>-0.27244618012830585</v>
      </c>
      <c r="U35" s="134">
        <f>U18</f>
        <v>11.533258157439882</v>
      </c>
      <c r="W35" s="13"/>
    </row>
    <row r="36" spans="2:23" ht="15.75" customHeight="1">
      <c r="B36" s="13" t="s">
        <v>3</v>
      </c>
      <c r="C36" s="40" t="s">
        <v>165</v>
      </c>
      <c r="D36" s="47">
        <f>SUMIFS(RVN!H:H,RVN!A:A,B36,RVN!J:J,C36)/12</f>
        <v>16738.333333333332</v>
      </c>
      <c r="E36" s="38" cm="1">
        <f t="array" ref="E36">IF(OR(C36={"Schedule 15","Schedule 51","Schedule 53"}),D36,SUMIFS('Normalized Units'!I:I,'Normalized Units'!H:H,"Bill",'Normalized Units'!C:C,C36,'Normalized Units'!D:D,B36)/12+SUM(SUMIFS('Normalized Units'!I:I,'Normalized Units'!H:H,{"Annual Bill","Load Size","Load Size Minimum"},'Normalized Units'!C:C,C36,'Normalized Units'!D:D,B36)))</f>
        <v>16907.901369863011</v>
      </c>
      <c r="F36" s="23">
        <f>SUMIFS(RVN!I:I,RVN!A:A,B36,RVN!J:J,C36)</f>
        <v>509089942</v>
      </c>
      <c r="G36" s="23">
        <f>SUMIFS('Normalized Units'!I:I,'Normalized Units'!B:B,"Temperature kWh Normalization",'Normalized Units'!C:C,C36,'Normalized Units'!D:D,B36)</f>
        <v>-858022.95925769093</v>
      </c>
      <c r="H36" s="23">
        <f t="shared" ref="H36:H42" si="11">I36-G36-F36</f>
        <v>2531192.2603287101</v>
      </c>
      <c r="I36" s="23">
        <f>SUMIFS('Normalized Units'!I:I,'Normalized Units'!B:B,"Normalized Billing Units",'Normalized Units'!C:C,C36,'Normalized Units'!D:D,B36,'Normalized Units'!H:H,"kWh*")</f>
        <v>510763111.30107105</v>
      </c>
      <c r="J36" s="23">
        <f>SUMIFS(RVN!F:F,RVN!A:A,B36,RVN!J:J,C36)</f>
        <v>48599864.07</v>
      </c>
      <c r="K36" s="23" cm="1">
        <f t="array" ref="K36">IF(OR(C36={"Alt Rev Program","Blue Sky","Customer Bill Credits","DSM","Income Tax Defer Adj","Irr Demand Charge Accrual","Rev Adj Property Insur","Rev Adj"}),-J36,0)</f>
        <v>0</v>
      </c>
      <c r="L36" s="23">
        <f>-SUMIFS(RVN!F:F,RVN!A:A,B36,RVN!B:B,"B",RVN!J:J,C36)</f>
        <v>258298.80999999997</v>
      </c>
      <c r="M36" s="23">
        <v>-715075.40416127024</v>
      </c>
      <c r="N36" s="23">
        <f>SUMIFS('Normalized Units'!I:I,'Normalized Units'!B:B,"Temperature $ Normalization",'Normalized Units'!D:D,B36,'Normalized Units'!C:C,C36)</f>
        <v>-69725.541098391186</v>
      </c>
      <c r="O36" s="23">
        <f t="shared" si="8"/>
        <v>-132047.41863413798</v>
      </c>
      <c r="P36" s="23">
        <f t="shared" si="9"/>
        <v>4430864.9801826533</v>
      </c>
      <c r="Q36" s="23">
        <f t="shared" si="3"/>
        <v>1115173.3215261446</v>
      </c>
      <c r="R36" s="23">
        <f>SUM(Sch.24!S75:S88,Sch.24!S89)</f>
        <v>53487352.817814998</v>
      </c>
      <c r="T36" s="134">
        <f>T20</f>
        <v>-0.47087824579462839</v>
      </c>
      <c r="U36" s="134">
        <f>U20</f>
        <v>11.060258243301291</v>
      </c>
      <c r="W36" s="13"/>
    </row>
    <row r="37" spans="2:23" ht="15.75" customHeight="1">
      <c r="B37" s="13" t="s">
        <v>3</v>
      </c>
      <c r="C37" s="40" t="s">
        <v>215</v>
      </c>
      <c r="D37" s="47">
        <f>SUMIFS(RVN!H:H,RVN!A:A,B37,RVN!J:J,C37)/12</f>
        <v>973.75</v>
      </c>
      <c r="E37" s="38" cm="1">
        <f t="array" ref="E37">IF(OR(C37={"Schedule 15","Schedule 51","Schedule 53"}),D37,SUMIFS('Normalized Units'!I:I,'Normalized Units'!H:H,"Bill",'Normalized Units'!C:C,C37,'Normalized Units'!D:D,B37)/12+SUM(SUMIFS('Normalized Units'!I:I,'Normalized Units'!H:H,{"Annual Bill","Load Size","Load Size Minimum"},'Normalized Units'!C:C,C37,'Normalized Units'!D:D,B37)))</f>
        <v>971.03888888888889</v>
      </c>
      <c r="F37" s="23">
        <f>SUMIFS(RVN!I:I,RVN!A:A,B37,RVN!J:J,C37)</f>
        <v>836855092</v>
      </c>
      <c r="G37" s="23">
        <f>SUMIFS('Normalized Units'!I:I,'Normalized Units'!B:B,"Temperature kWh Normalization",'Normalized Units'!C:C,C37,'Normalized Units'!D:D,B37)</f>
        <v>-127447.37919797213</v>
      </c>
      <c r="H37" s="23">
        <f t="shared" si="11"/>
        <v>5492733.4147775173</v>
      </c>
      <c r="I37" s="23">
        <f>SUMIFS('Normalized Units'!I:I,'Normalized Units'!B:B,"Normalized Billing Units",'Normalized Units'!C:C,C37,'Normalized Units'!D:D,B37,'Normalized Units'!H:H,"kWh*")</f>
        <v>842220378.03557956</v>
      </c>
      <c r="J37" s="23">
        <f>SUMIFS(RVN!F:F,RVN!A:A,B37,RVN!J:J,C37)</f>
        <v>66763710.619999997</v>
      </c>
      <c r="K37" s="23" cm="1">
        <f t="array" ref="K37">IF(OR(C37={"Alt Rev Program","Blue Sky","Customer Bill Credits","DSM","Income Tax Defer Adj","Irr Demand Charge Accrual","Rev Adj Property Insur","Rev Adj"}),-J37,0)</f>
        <v>0</v>
      </c>
      <c r="L37" s="23">
        <f>-SUMIFS(RVN!F:F,RVN!A:A,B37,RVN!B:B,"B",RVN!J:J,C37)</f>
        <v>386437.13</v>
      </c>
      <c r="M37" s="23">
        <v>263226.35618000012</v>
      </c>
      <c r="N37" s="23">
        <f>SUMIFS('Normalized Units'!I:I,'Normalized Units'!B:B,"Temperature $ Normalization",'Normalized Units'!D:D,B37,'Normalized Units'!C:C,C37)</f>
        <v>-7224.5542701902741</v>
      </c>
      <c r="O37" s="23">
        <f t="shared" si="8"/>
        <v>-213305.3286352524</v>
      </c>
      <c r="P37" s="23">
        <f t="shared" si="9"/>
        <v>7325370.3451133752</v>
      </c>
      <c r="Q37" s="23">
        <f t="shared" si="3"/>
        <v>1635450.1592634888</v>
      </c>
      <c r="R37" s="23">
        <f>SUM('Sch.29,36'!S64:S75,'Sch.29,36'!S76)</f>
        <v>76153664.727651417</v>
      </c>
      <c r="T37" s="134">
        <f>T21</f>
        <v>-0.54248207335865006</v>
      </c>
      <c r="U37" s="134">
        <f>U21</f>
        <v>13.041012537537819</v>
      </c>
      <c r="W37" s="13"/>
    </row>
    <row r="38" spans="2:23" ht="15.75" customHeight="1">
      <c r="B38" s="13" t="s">
        <v>3</v>
      </c>
      <c r="C38" s="40" t="s">
        <v>109</v>
      </c>
      <c r="D38" s="47">
        <f>SUMIFS(RVN!H:H,RVN!A:A,B38,RVN!J:J,C38)/12</f>
        <v>37.5</v>
      </c>
      <c r="E38" s="38" cm="1">
        <f t="array" ref="E38">IF(OR(C38={"Schedule 15","Schedule 51","Schedule 53"}),D38,SUMIFS('Normalized Units'!I:I,'Normalized Units'!H:H,"Bill",'Normalized Units'!C:C,C38,'Normalized Units'!D:D,B38)/12+SUM(SUMIFS('Normalized Units'!I:I,'Normalized Units'!H:H,{"Annual Bill","Load Size","Load Size Minimum"},'Normalized Units'!C:C,C38,'Normalized Units'!D:D,B38)))</f>
        <v>37.444444444444443</v>
      </c>
      <c r="F38" s="23">
        <f>SUMIFS(RVN!I:I,RVN!A:A,B38,RVN!J:J,C38)</f>
        <v>174870280</v>
      </c>
      <c r="G38" s="23">
        <f>SUMIFS('Normalized Units'!I:I,'Normalized Units'!B:B,"Temperature kWh Normalization",'Normalized Units'!C:C,C38,'Normalized Units'!D:D,B38)</f>
        <v>-223992.30364433755</v>
      </c>
      <c r="H38" s="23">
        <f t="shared" si="11"/>
        <v>1374885.2425872386</v>
      </c>
      <c r="I38" s="23">
        <f>SUMIFS('Normalized Units'!I:I,'Normalized Units'!B:B,"Normalized Billing Units",'Normalized Units'!C:C,C38,'Normalized Units'!D:D,B38,'Normalized Units'!H:H,"kWh*")</f>
        <v>176021172.93894291</v>
      </c>
      <c r="J38" s="23">
        <f>SUMIFS(RVN!F:F,RVN!A:A,B38,RVN!J:J,C38)</f>
        <v>13160322.98</v>
      </c>
      <c r="K38" s="23" cm="1">
        <f t="array" ref="K38">IF(OR(C38={"Alt Rev Program","Blue Sky","Customer Bill Credits","DSM","Income Tax Defer Adj","Irr Demand Charge Accrual","Rev Adj Property Insur","Rev Adj"}),-J38,0)</f>
        <v>0</v>
      </c>
      <c r="L38" s="23">
        <f>-SUMIFS(RVN!F:F,RVN!A:A,B38,RVN!B:B,"B",RVN!J:J,C38)</f>
        <v>0</v>
      </c>
      <c r="M38" s="23">
        <v>43415.567280000134</v>
      </c>
      <c r="N38" s="23">
        <f>SUMIFS('Normalized Units'!I:I,'Normalized Units'!B:B,"Temperature $ Normalization",'Normalized Units'!D:D,B38,'Normalized Units'!C:C,C38)</f>
        <v>-12376.945380394933</v>
      </c>
      <c r="O38" s="23">
        <f t="shared" si="8"/>
        <v>-43691.087104975537</v>
      </c>
      <c r="P38" s="23">
        <f t="shared" si="9"/>
        <v>1572292.2681268963</v>
      </c>
      <c r="Q38" s="23">
        <f t="shared" si="3"/>
        <v>315797.13946319581</v>
      </c>
      <c r="R38" s="23">
        <f>SUM(Sch.48T!T52:T65,Sch.48T!T66)</f>
        <v>15035759.922384722</v>
      </c>
      <c r="T38" s="133">
        <v>-0.56778828998885622</v>
      </c>
      <c r="U38" s="133">
        <v>14.302926253500445</v>
      </c>
      <c r="W38" s="13"/>
    </row>
    <row r="39" spans="2:23" ht="15.75" customHeight="1">
      <c r="B39" s="13" t="s">
        <v>3</v>
      </c>
      <c r="C39" s="40" t="s">
        <v>108</v>
      </c>
      <c r="D39" s="47">
        <f>SUMIFS(RVN!H:H,RVN!A:A,B39,RVN!J:J,C39)/12</f>
        <v>25.5</v>
      </c>
      <c r="E39" s="38" cm="1">
        <f t="array" ref="E39">IF(OR(C39={"Schedule 15","Schedule 51","Schedule 53"}),D39,SUMIFS('Normalized Units'!I:I,'Normalized Units'!H:H,"Bill",'Normalized Units'!C:C,C39,'Normalized Units'!D:D,B39)/12+SUM(SUMIFS('Normalized Units'!I:I,'Normalized Units'!H:H,{"Annual Bill","Load Size","Load Size Minimum"},'Normalized Units'!C:C,C39,'Normalized Units'!D:D,B39)))</f>
        <v>25.575035561877666</v>
      </c>
      <c r="F39" s="23">
        <f>SUMIFS(RVN!I:I,RVN!A:A,B39,RVN!J:J,C39)</f>
        <v>312417</v>
      </c>
      <c r="G39" s="23">
        <f>SUMIFS('Normalized Units'!I:I,'Normalized Units'!B:B,"Temperature kWh Normalization",'Normalized Units'!C:C,C39,'Normalized Units'!D:D,B39)</f>
        <v>0</v>
      </c>
      <c r="H39" s="23">
        <f t="shared" si="11"/>
        <v>2066.408096320054</v>
      </c>
      <c r="I39" s="23">
        <f>SUMIFS('Normalized Units'!I:I,'Normalized Units'!B:B,"Normalized Billing Units",'Normalized Units'!C:C,C39,'Normalized Units'!D:D,B39,'Normalized Units'!H:H,"kWh*")</f>
        <v>314483.40809632005</v>
      </c>
      <c r="J39" s="23">
        <f>SUMIFS(RVN!F:F,RVN!A:A,B39,RVN!J:J,C39)</f>
        <v>17642.8</v>
      </c>
      <c r="K39" s="23" cm="1">
        <f t="array" ref="K39">IF(OR(C39={"Alt Rev Program","Blue Sky","Customer Bill Credits","DSM","Income Tax Defer Adj","Irr Demand Charge Accrual","Rev Adj Property Insur","Rev Adj"}),-J39,0)</f>
        <v>0</v>
      </c>
      <c r="L39" s="23">
        <f>-SUMIFS(RVN!F:F,RVN!A:A,B39,RVN!B:B,"B",RVN!J:J,C39)</f>
        <v>0</v>
      </c>
      <c r="M39" s="23">
        <v>341.5608699999998</v>
      </c>
      <c r="N39" s="23">
        <f>SUMIFS('Normalized Units'!I:I,'Normalized Units'!B:B,"Temperature $ Normalization",'Normalized Units'!D:D,B39,'Normalized Units'!C:C,C39)</f>
        <v>0</v>
      </c>
      <c r="O39" s="23">
        <f t="shared" si="8"/>
        <v>-37.265793662573245</v>
      </c>
      <c r="P39" s="23">
        <f t="shared" si="9"/>
        <v>2648.1799937880182</v>
      </c>
      <c r="Q39" s="23">
        <f t="shared" si="3"/>
        <v>676.17773373359205</v>
      </c>
      <c r="R39" s="23">
        <f>SUM('Sch.15,51,53,54'!G78:G81)</f>
        <v>21271.452803859036</v>
      </c>
      <c r="T39" s="133">
        <v>-0.35522095096431644</v>
      </c>
      <c r="U39" s="133">
        <v>17.6698856051459</v>
      </c>
      <c r="W39" s="13"/>
    </row>
    <row r="40" spans="2:23" ht="15.75" customHeight="1">
      <c r="B40" s="13" t="s">
        <v>3</v>
      </c>
      <c r="C40" s="49" t="s">
        <v>305</v>
      </c>
      <c r="D40" s="47">
        <f>SUMIFS(RVN!H:H,RVN!A:A,B40,RVN!J:J,C40)/12</f>
        <v>0</v>
      </c>
      <c r="E40" s="38" cm="1">
        <f t="array" ref="E40">IF(OR(C40={"Schedule 15","Schedule 51","Schedule 53"}),D40,SUMIFS('Normalized Units'!I:I,'Normalized Units'!H:H,"Bill",'Normalized Units'!C:C,C40,'Normalized Units'!D:D,B40)/12+SUM(SUMIFS('Normalized Units'!I:I,'Normalized Units'!H:H,{"Annual Bill","Load Size","Load Size Minimum"},'Normalized Units'!C:C,C40,'Normalized Units'!D:D,B40)))</f>
        <v>0</v>
      </c>
      <c r="F40" s="23">
        <f>SUMIFS(RVN!I:I,RVN!A:A,B40,RVN!J:J,C40)</f>
        <v>0</v>
      </c>
      <c r="G40" s="23">
        <f>SUMIFS('Normalized Units'!I:I,'Normalized Units'!B:B,"Temperature kWh Normalization",'Normalized Units'!C:C,C40,'Normalized Units'!D:D,B40)</f>
        <v>0</v>
      </c>
      <c r="H40" s="23">
        <f t="shared" si="11"/>
        <v>0</v>
      </c>
      <c r="I40" s="23">
        <f>SUMIFS('Normalized Units'!I:I,'Normalized Units'!B:B,"Normalized Billing Units",'Normalized Units'!C:C,C40,'Normalized Units'!D:D,B40,'Normalized Units'!H:H,"kWh*")</f>
        <v>0</v>
      </c>
      <c r="J40" s="23">
        <f>SUMIFS(RVN!F:F,RVN!A:A,B40,RVN!J:J,C40)</f>
        <v>0</v>
      </c>
      <c r="K40" s="23" cm="1">
        <f t="array" ref="K40">IF(OR(C40={"Alt Rev Program","Blue Sky","Customer Bill Credits","DSM","Income Tax Defer Adj","Irr Demand Charge Accrual","Rev Adj Property Insur","Rev Adj"}),-J40,0)</f>
        <v>0</v>
      </c>
      <c r="L40" s="23">
        <f>-SUMIFS(RVN!F:F,RVN!A:A,B40,RVN!B:B,"B",RVN!J:J,C40)</f>
        <v>0</v>
      </c>
      <c r="M40" s="23">
        <v>0</v>
      </c>
      <c r="N40" s="23">
        <f>SUMIFS('Normalized Units'!I:I,'Normalized Units'!B:B,"Temperature $ Normalization",'Normalized Units'!D:D,B40,'Normalized Units'!C:C,C40)</f>
        <v>0</v>
      </c>
      <c r="O40" s="23">
        <f t="shared" si="8"/>
        <v>0</v>
      </c>
      <c r="P40" s="23">
        <f t="shared" si="9"/>
        <v>0</v>
      </c>
      <c r="Q40" s="23">
        <f t="shared" si="3"/>
        <v>-31087</v>
      </c>
      <c r="R40" s="23">
        <f>'AutoPay&amp;Paperless'!F17</f>
        <v>-31087</v>
      </c>
      <c r="T40" s="133"/>
      <c r="U40" s="133"/>
      <c r="W40" s="13"/>
    </row>
    <row r="41" spans="2:23" ht="15.75" customHeight="1">
      <c r="B41" s="13" t="s">
        <v>3</v>
      </c>
      <c r="C41" s="49" t="s">
        <v>306</v>
      </c>
      <c r="D41" s="47">
        <f>SUMIFS(RVN!H:H,RVN!A:A,B41,RVN!J:J,C41)/12</f>
        <v>0</v>
      </c>
      <c r="E41" s="38" cm="1">
        <f t="array" ref="E41">IF(OR(C41={"Schedule 15","Schedule 51","Schedule 53"}),D41,SUMIFS('Normalized Units'!I:I,'Normalized Units'!H:H,"Bill",'Normalized Units'!C:C,C41,'Normalized Units'!D:D,B41)/12+SUM(SUMIFS('Normalized Units'!I:I,'Normalized Units'!H:H,{"Annual Bill","Load Size","Load Size Minimum"},'Normalized Units'!C:C,C41,'Normalized Units'!D:D,B41)))</f>
        <v>0</v>
      </c>
      <c r="F41" s="23">
        <f>SUMIFS(RVN!I:I,RVN!A:A,B41,RVN!J:J,C41)</f>
        <v>0</v>
      </c>
      <c r="G41" s="23">
        <f>SUMIFS('Normalized Units'!I:I,'Normalized Units'!B:B,"Temperature kWh Normalization",'Normalized Units'!C:C,C41,'Normalized Units'!D:D,B41)</f>
        <v>0</v>
      </c>
      <c r="H41" s="23">
        <f t="shared" si="11"/>
        <v>0</v>
      </c>
      <c r="I41" s="23">
        <f>SUMIFS('Normalized Units'!I:I,'Normalized Units'!B:B,"Normalized Billing Units",'Normalized Units'!C:C,C41,'Normalized Units'!D:D,B41,'Normalized Units'!H:H,"kWh*")</f>
        <v>0</v>
      </c>
      <c r="J41" s="23">
        <f>SUMIFS(RVN!F:F,RVN!A:A,B41,RVN!J:J,C41)</f>
        <v>0</v>
      </c>
      <c r="K41" s="23" cm="1">
        <f t="array" ref="K41">IF(OR(C41={"Alt Rev Program","Blue Sky","Customer Bill Credits","DSM","Income Tax Defer Adj","Irr Demand Charge Accrual","Rev Adj Property Insur","Rev Adj"}),-J41,0)</f>
        <v>0</v>
      </c>
      <c r="L41" s="23">
        <f>-SUMIFS(RVN!F:F,RVN!A:A,B41,RVN!B:B,"B",RVN!J:J,C41)</f>
        <v>0</v>
      </c>
      <c r="M41" s="23">
        <v>0</v>
      </c>
      <c r="N41" s="23">
        <f>SUMIFS('Normalized Units'!I:I,'Normalized Units'!B:B,"Temperature $ Normalization",'Normalized Units'!D:D,B41,'Normalized Units'!C:C,C41)</f>
        <v>0</v>
      </c>
      <c r="O41" s="23">
        <f t="shared" si="8"/>
        <v>0</v>
      </c>
      <c r="P41" s="23">
        <f t="shared" si="9"/>
        <v>0</v>
      </c>
      <c r="Q41" s="23">
        <f t="shared" si="3"/>
        <v>-28762</v>
      </c>
      <c r="R41" s="23">
        <f>'AutoPay&amp;Paperless'!F18</f>
        <v>-28762</v>
      </c>
      <c r="T41" s="133"/>
      <c r="U41" s="133"/>
      <c r="W41" s="13"/>
    </row>
    <row r="42" spans="2:23" ht="15.75" customHeight="1">
      <c r="B42" s="13" t="s">
        <v>3</v>
      </c>
      <c r="C42" s="18" t="s">
        <v>288</v>
      </c>
      <c r="D42" s="47">
        <f>SUMIFS(RVN!H:H,RVN!A:A,B42,RVN!J:J,C42)/12</f>
        <v>0</v>
      </c>
      <c r="E42" s="38" cm="1">
        <f t="array" ref="E42">IF(OR(C42={"Schedule 15","Schedule 51","Schedule 53"}),D42,SUMIFS('Normalized Units'!I:I,'Normalized Units'!H:H,"Bill",'Normalized Units'!C:C,C42,'Normalized Units'!D:D,B42)/12+SUM(SUMIFS('Normalized Units'!I:I,'Normalized Units'!H:H,{"Annual Bill","Load Size","Load Size Minimum"},'Normalized Units'!C:C,C42,'Normalized Units'!D:D,B42)))</f>
        <v>0</v>
      </c>
      <c r="F42" s="23">
        <f>SUMIFS(RVN!I:I,RVN!A:A,B42,RVN!J:J,C42)</f>
        <v>0</v>
      </c>
      <c r="G42" s="23">
        <f>SUMIFS('Normalized Units'!I:I,'Normalized Units'!B:B,"Temperature kWh Normalization",'Normalized Units'!C:C,C42,'Normalized Units'!D:D,B42)</f>
        <v>0</v>
      </c>
      <c r="H42" s="23">
        <f t="shared" si="11"/>
        <v>0</v>
      </c>
      <c r="I42" s="23">
        <f>SUMIFS('Normalized Units'!I:I,'Normalized Units'!B:B,"Normalized Billing Units",'Normalized Units'!C:C,C42,'Normalized Units'!D:D,B42,'Normalized Units'!H:H,"kWh*")</f>
        <v>0</v>
      </c>
      <c r="J42" s="23">
        <f>SUMIFS(RVN!F:F,RVN!A:A,B42,RVN!J:J,C42)</f>
        <v>473089.67000000004</v>
      </c>
      <c r="K42" s="23" cm="1">
        <f t="array" ref="K42">IF(OR(C42={"Alt Rev Program","Blue Sky","Customer Bill Credits","DSM","Income Tax Defer Adj","Irr Demand Charge Accrual","Rev Adj Property Insur","Rev Adj"}),-J42,0)</f>
        <v>0</v>
      </c>
      <c r="L42" s="23">
        <f>-SUMIFS(RVN!F:F,RVN!A:A,B42,RVN!B:B,"B",RVN!J:J,C42)</f>
        <v>0</v>
      </c>
      <c r="M42" s="23">
        <v>0</v>
      </c>
      <c r="N42" s="23">
        <f>SUMIFS('Normalized Units'!I:I,'Normalized Units'!B:B,"Temperature $ Normalization",'Normalized Units'!D:D,B42,'Normalized Units'!C:C,C42)</f>
        <v>0</v>
      </c>
      <c r="O42" s="23">
        <f t="shared" si="8"/>
        <v>0</v>
      </c>
      <c r="P42" s="23">
        <f t="shared" si="9"/>
        <v>0</v>
      </c>
      <c r="Q42" s="23">
        <f t="shared" si="3"/>
        <v>0</v>
      </c>
      <c r="R42" s="23">
        <f>J42</f>
        <v>473089.67000000004</v>
      </c>
      <c r="T42" s="133"/>
      <c r="U42" s="133"/>
      <c r="W42" s="13"/>
    </row>
    <row r="43" spans="2:23" ht="15.75" customHeight="1">
      <c r="B43" s="20" t="s">
        <v>3</v>
      </c>
      <c r="C43" s="21" t="s">
        <v>0</v>
      </c>
      <c r="D43" s="24">
        <f t="shared" ref="D43:R43" si="12">SUM(D27:D42)</f>
        <v>18966</v>
      </c>
      <c r="E43" s="24">
        <f t="shared" si="12"/>
        <v>19132.87640542489</v>
      </c>
      <c r="F43" s="24">
        <f t="shared" si="12"/>
        <v>1533042516</v>
      </c>
      <c r="G43" s="24">
        <f t="shared" si="12"/>
        <v>-1209462.6421000005</v>
      </c>
      <c r="H43" s="24">
        <f t="shared" si="12"/>
        <v>-664767.25101484451</v>
      </c>
      <c r="I43" s="24">
        <f t="shared" si="12"/>
        <v>1531168286.1068852</v>
      </c>
      <c r="J43" s="24">
        <f t="shared" si="12"/>
        <v>135263573.94</v>
      </c>
      <c r="K43" s="24">
        <f t="shared" si="12"/>
        <v>-4042550.0499999989</v>
      </c>
      <c r="L43" s="24">
        <f t="shared" si="12"/>
        <v>636768.38</v>
      </c>
      <c r="M43" s="24">
        <f t="shared" si="12"/>
        <v>-407352.82536521263</v>
      </c>
      <c r="N43" s="24">
        <f t="shared" si="12"/>
        <v>-89327.040748976389</v>
      </c>
      <c r="O43" s="24">
        <f t="shared" si="12"/>
        <v>-389332.46741225501</v>
      </c>
      <c r="P43" s="24">
        <f t="shared" si="12"/>
        <v>13346377.115560811</v>
      </c>
      <c r="Q43" s="24">
        <f t="shared" si="12"/>
        <v>970580.7106406393</v>
      </c>
      <c r="R43" s="24">
        <f t="shared" si="12"/>
        <v>145288737.76267499</v>
      </c>
      <c r="T43" s="133"/>
      <c r="U43" s="133"/>
      <c r="W43" s="13"/>
    </row>
    <row r="44" spans="2:23" ht="15.75" customHeight="1">
      <c r="B44" s="12"/>
      <c r="C44" s="41"/>
      <c r="D44" s="19"/>
      <c r="E44" s="45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T44" s="133"/>
      <c r="U44" s="133"/>
      <c r="W44" s="13"/>
    </row>
    <row r="45" spans="2:23" ht="15.75" customHeight="1">
      <c r="B45" s="13" t="s">
        <v>5</v>
      </c>
      <c r="C45" s="38" t="s">
        <v>206</v>
      </c>
      <c r="D45" s="47">
        <f>SUMIFS(RVN!H:H,RVN!A:A,B45,RVN!J:J,C45)/12</f>
        <v>0</v>
      </c>
      <c r="E45" s="38" cm="1">
        <f t="array" ref="E45">IF(OR(C45={"Schedule 15","Schedule 51","Schedule 53"}),D45,SUMIFS('Normalized Units'!I:I,'Normalized Units'!H:H,"Bill",'Normalized Units'!C:C,C45,'Normalized Units'!D:D,B45)/12+SUM(SUMIFS('Normalized Units'!I:I,'Normalized Units'!H:H,{"Annual Bill","Load Size","Load Size Minimum"},'Normalized Units'!C:C,C45,'Normalized Units'!D:D,B45)))</f>
        <v>0</v>
      </c>
      <c r="F45" s="23">
        <f>SUMIFS(RVN!I:I,RVN!A:A,B45,RVN!J:J,C45)</f>
        <v>0</v>
      </c>
      <c r="G45" s="23">
        <f>SUMIFS('Normalized Units'!I:I,'Normalized Units'!B:B,"Temperature kWh Normalization",'Normalized Units'!C:C,C45,'Normalized Units'!D:D,B45)</f>
        <v>0</v>
      </c>
      <c r="H45" s="23">
        <f>I45-G45-F45</f>
        <v>0</v>
      </c>
      <c r="I45" s="23">
        <f>SUMIFS('Normalized Units'!I:I,'Normalized Units'!B:B,"Normalized Billing Units",'Normalized Units'!C:C,C45,'Normalized Units'!D:D,B45,'Normalized Units'!H:H,"kWh*")</f>
        <v>0</v>
      </c>
      <c r="J45" s="23">
        <f>SUMIFS(RVN!F:F,RVN!A:A,B45,RVN!J:J,C45)</f>
        <v>17513.25</v>
      </c>
      <c r="K45" s="23" cm="1">
        <f t="array" ref="K45">IF(OR(C45={"Alt Rev Program","Blue Sky","Customer Bill Credits","DSM","Income Tax Defer Adj","Irr Demand Charge Accrual","Rev Adj Property Insur","Rev Adj"}),-J45,0)</f>
        <v>-17513.25</v>
      </c>
      <c r="L45" s="23">
        <f>-SUMIFS(RVN!F:F,RVN!A:A,B45,RVN!B:B,"B",RVN!J:J,C45)</f>
        <v>0</v>
      </c>
      <c r="M45" s="23">
        <v>0</v>
      </c>
      <c r="N45" s="23">
        <f>SUMIFS('Normalized Units'!I:I,'Normalized Units'!B:B,"Temperature $ Normalization",'Normalized Units'!D:D,B45,'Normalized Units'!C:C,C45)</f>
        <v>0</v>
      </c>
      <c r="O45" s="23">
        <f t="shared" ref="O45:O61" si="13">(J45+K45+L45+M45+N45)*T45/100*7/12</f>
        <v>0</v>
      </c>
      <c r="P45" s="23">
        <f t="shared" ref="P45:P61" si="14">(J45+K45+L45+M45+N45)*U45/100*10/12</f>
        <v>0</v>
      </c>
      <c r="Q45" s="23">
        <f t="shared" si="3"/>
        <v>0</v>
      </c>
      <c r="R45" s="23">
        <v>0</v>
      </c>
      <c r="T45" s="133"/>
      <c r="U45" s="133"/>
      <c r="W45" s="13"/>
    </row>
    <row r="46" spans="2:23" ht="15.75" customHeight="1">
      <c r="B46" s="13" t="s">
        <v>5</v>
      </c>
      <c r="C46" s="38" t="s">
        <v>83</v>
      </c>
      <c r="D46" s="47">
        <f>SUMIFS(RVN!H:H,RVN!A:A,B46,RVN!J:J,C46)/12</f>
        <v>0</v>
      </c>
      <c r="E46" s="38" cm="1">
        <f t="array" ref="E46">IF(OR(C46={"Schedule 15","Schedule 51","Schedule 53"}),D46,SUMIFS('Normalized Units'!I:I,'Normalized Units'!H:H,"Bill",'Normalized Units'!C:C,C46,'Normalized Units'!D:D,B46)/12+SUM(SUMIFS('Normalized Units'!I:I,'Normalized Units'!H:H,{"Annual Bill","Load Size","Load Size Minimum"},'Normalized Units'!C:C,C46,'Normalized Units'!D:D,B46)))</f>
        <v>0</v>
      </c>
      <c r="F46" s="23">
        <f>SUMIFS(RVN!I:I,RVN!A:A,B46,RVN!J:J,C46)</f>
        <v>0</v>
      </c>
      <c r="G46" s="23">
        <f>SUMIFS('Normalized Units'!I:I,'Normalized Units'!B:B,"Temperature kWh Normalization",'Normalized Units'!C:C,C46,'Normalized Units'!D:D,B46)</f>
        <v>0</v>
      </c>
      <c r="H46" s="23">
        <f t="shared" ref="H46:H57" si="15">I46-G46-F46</f>
        <v>0</v>
      </c>
      <c r="I46" s="23">
        <f>SUMIFS('Normalized Units'!I:I,'Normalized Units'!B:B,"Normalized Billing Units",'Normalized Units'!C:C,C46,'Normalized Units'!D:D,B46,'Normalized Units'!H:H,"kWh*")</f>
        <v>0</v>
      </c>
      <c r="J46" s="23">
        <f>SUMIFS(RVN!F:F,RVN!A:A,B46,RVN!J:J,C46)</f>
        <v>26.44</v>
      </c>
      <c r="K46" s="23" cm="1">
        <f t="array" ref="K46">IF(OR(C46={"Alt Rev Program","Blue Sky","Customer Bill Credits","DSM","Income Tax Defer Adj","Irr Demand Charge Accrual","Rev Adj Property Insur","Rev Adj"}),-J46,0)</f>
        <v>-26.44</v>
      </c>
      <c r="L46" s="23">
        <f>-SUMIFS(RVN!F:F,RVN!A:A,B46,RVN!B:B,"B",RVN!J:J,C46)</f>
        <v>0</v>
      </c>
      <c r="M46" s="23">
        <v>0</v>
      </c>
      <c r="N46" s="23">
        <f>SUMIFS('Normalized Units'!I:I,'Normalized Units'!B:B,"Temperature $ Normalization",'Normalized Units'!D:D,B46,'Normalized Units'!C:C,C46)</f>
        <v>0</v>
      </c>
      <c r="O46" s="23">
        <f t="shared" si="13"/>
        <v>0</v>
      </c>
      <c r="P46" s="23">
        <f t="shared" si="14"/>
        <v>0</v>
      </c>
      <c r="Q46" s="23">
        <f t="shared" si="3"/>
        <v>0</v>
      </c>
      <c r="R46" s="23">
        <v>0</v>
      </c>
      <c r="T46" s="133"/>
      <c r="U46" s="133"/>
      <c r="W46" s="13"/>
    </row>
    <row r="47" spans="2:23" ht="15.75" customHeight="1">
      <c r="B47" s="13" t="s">
        <v>5</v>
      </c>
      <c r="C47" s="38" t="s">
        <v>87</v>
      </c>
      <c r="D47" s="47">
        <f>SUMIFS(RVN!H:H,RVN!A:A,B47,RVN!J:J,C47)/12</f>
        <v>0</v>
      </c>
      <c r="E47" s="38" cm="1">
        <f t="array" ref="E47">IF(OR(C47={"Schedule 15","Schedule 51","Schedule 53"}),D47,SUMIFS('Normalized Units'!I:I,'Normalized Units'!H:H,"Bill",'Normalized Units'!C:C,C47,'Normalized Units'!D:D,B47)/12+SUM(SUMIFS('Normalized Units'!I:I,'Normalized Units'!H:H,{"Annual Bill","Load Size","Load Size Minimum"},'Normalized Units'!C:C,C47,'Normalized Units'!D:D,B47)))</f>
        <v>0</v>
      </c>
      <c r="F47" s="23">
        <f>SUMIFS(RVN!I:I,RVN!A:A,B47,RVN!J:J,C47)</f>
        <v>0</v>
      </c>
      <c r="G47" s="23">
        <f>SUMIFS('Normalized Units'!I:I,'Normalized Units'!B:B,"Temperature kWh Normalization",'Normalized Units'!C:C,C47,'Normalized Units'!D:D,B47)</f>
        <v>0</v>
      </c>
      <c r="H47" s="23">
        <f t="shared" si="15"/>
        <v>0</v>
      </c>
      <c r="I47" s="23">
        <f>SUMIFS('Normalized Units'!I:I,'Normalized Units'!B:B,"Normalized Billing Units",'Normalized Units'!C:C,C47,'Normalized Units'!D:D,B47,'Normalized Units'!H:H,"kWh*")</f>
        <v>0</v>
      </c>
      <c r="J47" s="23">
        <f>SUMIFS(RVN!F:F,RVN!A:A,B47,RVN!J:J,C47)</f>
        <v>2206257.17</v>
      </c>
      <c r="K47" s="23" cm="1">
        <f t="array" ref="K47">IF(OR(C47={"Alt Rev Program","Blue Sky","Customer Bill Credits","DSM","Income Tax Defer Adj","Irr Demand Charge Accrual","Rev Adj Property Insur","Rev Adj"}),-J47,0)</f>
        <v>-2206257.17</v>
      </c>
      <c r="L47" s="23">
        <f>-SUMIFS(RVN!F:F,RVN!A:A,B47,RVN!B:B,"B",RVN!J:J,C47)</f>
        <v>0</v>
      </c>
      <c r="M47" s="23">
        <v>0</v>
      </c>
      <c r="N47" s="23">
        <f>SUMIFS('Normalized Units'!I:I,'Normalized Units'!B:B,"Temperature $ Normalization",'Normalized Units'!D:D,B47,'Normalized Units'!C:C,C47)</f>
        <v>0</v>
      </c>
      <c r="O47" s="23">
        <f t="shared" si="13"/>
        <v>0</v>
      </c>
      <c r="P47" s="23">
        <f t="shared" si="14"/>
        <v>0</v>
      </c>
      <c r="Q47" s="23">
        <f t="shared" si="3"/>
        <v>0</v>
      </c>
      <c r="R47" s="23">
        <v>0</v>
      </c>
      <c r="T47" s="133"/>
      <c r="U47" s="133"/>
      <c r="W47" s="13"/>
    </row>
    <row r="48" spans="2:23" ht="15.75" customHeight="1">
      <c r="B48" s="13" t="s">
        <v>5</v>
      </c>
      <c r="C48" s="38" t="s">
        <v>209</v>
      </c>
      <c r="D48" s="47">
        <f>SUMIFS(RVN!H:H,RVN!A:A,B48,RVN!J:J,C48)/12</f>
        <v>0</v>
      </c>
      <c r="E48" s="38" cm="1">
        <f t="array" ref="E48">IF(OR(C48={"Schedule 15","Schedule 51","Schedule 53"}),D48,SUMIFS('Normalized Units'!I:I,'Normalized Units'!H:H,"Bill",'Normalized Units'!C:C,C48,'Normalized Units'!D:D,B48)/12+SUM(SUMIFS('Normalized Units'!I:I,'Normalized Units'!H:H,{"Annual Bill","Load Size","Load Size Minimum"},'Normalized Units'!C:C,C48,'Normalized Units'!D:D,B48)))</f>
        <v>0</v>
      </c>
      <c r="F48" s="23">
        <f>SUMIFS(RVN!I:I,RVN!A:A,B48,RVN!J:J,C48)</f>
        <v>0</v>
      </c>
      <c r="G48" s="23">
        <f>SUMIFS('Normalized Units'!I:I,'Normalized Units'!B:B,"Temperature kWh Normalization",'Normalized Units'!C:C,C48,'Normalized Units'!D:D,B48)</f>
        <v>0</v>
      </c>
      <c r="H48" s="23">
        <f t="shared" si="15"/>
        <v>0</v>
      </c>
      <c r="I48" s="23">
        <f>SUMIFS('Normalized Units'!I:I,'Normalized Units'!B:B,"Normalized Billing Units",'Normalized Units'!C:C,C48,'Normalized Units'!D:D,B48,'Normalized Units'!H:H,"kWh*")</f>
        <v>0</v>
      </c>
      <c r="J48" s="23">
        <f>SUMIFS(RVN!F:F,RVN!A:A,B48,RVN!J:J,C48)</f>
        <v>324830.88</v>
      </c>
      <c r="K48" s="23" cm="1">
        <f t="array" ref="K48">IF(OR(C48={"Alt Rev Program","Blue Sky","Customer Bill Credits","DSM","Income Tax Defer Adj","Irr Demand Charge Accrual","Rev Adj Property Insur","Rev Adj"}),-J48,0)</f>
        <v>-324830.88</v>
      </c>
      <c r="L48" s="23">
        <f>-SUMIFS(RVN!F:F,RVN!A:A,B48,RVN!B:B,"B",RVN!J:J,C48)</f>
        <v>0</v>
      </c>
      <c r="M48" s="23">
        <v>0</v>
      </c>
      <c r="N48" s="23">
        <f>SUMIFS('Normalized Units'!I:I,'Normalized Units'!B:B,"Temperature $ Normalization",'Normalized Units'!D:D,B48,'Normalized Units'!C:C,C48)</f>
        <v>0</v>
      </c>
      <c r="O48" s="23">
        <f t="shared" si="13"/>
        <v>0</v>
      </c>
      <c r="P48" s="23">
        <f t="shared" si="14"/>
        <v>0</v>
      </c>
      <c r="Q48" s="23">
        <f t="shared" si="3"/>
        <v>0</v>
      </c>
      <c r="R48" s="23">
        <v>0</v>
      </c>
      <c r="T48" s="133"/>
      <c r="U48" s="133"/>
      <c r="W48" s="13"/>
    </row>
    <row r="49" spans="2:23" ht="15.75" customHeight="1">
      <c r="B49" s="13" t="s">
        <v>5</v>
      </c>
      <c r="C49" s="38" t="s">
        <v>127</v>
      </c>
      <c r="D49" s="47">
        <f>SUMIFS(RVN!H:H,RVN!A:A,B49,RVN!J:J,C49)/12</f>
        <v>0</v>
      </c>
      <c r="E49" s="38" cm="1">
        <f t="array" ref="E49">IF(OR(C49={"Schedule 15","Schedule 51","Schedule 53"}),D49,SUMIFS('Normalized Units'!I:I,'Normalized Units'!H:H,"Bill",'Normalized Units'!C:C,C49,'Normalized Units'!D:D,B49)/12+SUM(SUMIFS('Normalized Units'!I:I,'Normalized Units'!H:H,{"Annual Bill","Load Size","Load Size Minimum"},'Normalized Units'!C:C,C49,'Normalized Units'!D:D,B49)))</f>
        <v>0</v>
      </c>
      <c r="F49" s="23">
        <f>SUMIFS(RVN!I:I,RVN!A:A,B49,RVN!J:J,C49)</f>
        <v>0</v>
      </c>
      <c r="G49" s="23">
        <f>SUMIFS('Normalized Units'!I:I,'Normalized Units'!B:B,"Temperature kWh Normalization",'Normalized Units'!C:C,C49,'Normalized Units'!D:D,B49)</f>
        <v>0</v>
      </c>
      <c r="H49" s="23">
        <f t="shared" si="15"/>
        <v>0</v>
      </c>
      <c r="I49" s="23">
        <f>SUMIFS('Normalized Units'!I:I,'Normalized Units'!B:B,"Normalized Billing Units",'Normalized Units'!C:C,C49,'Normalized Units'!D:D,B49,'Normalized Units'!H:H,"kWh*")</f>
        <v>0</v>
      </c>
      <c r="J49" s="23">
        <f>SUMIFS(RVN!F:F,RVN!A:A,B49,RVN!J:J,C49)</f>
        <v>20010.68</v>
      </c>
      <c r="K49" s="23" cm="1">
        <f t="array" ref="K49">IF(OR(C49={"Alt Rev Program","Blue Sky","Customer Bill Credits","DSM","Income Tax Defer Adj","Irr Demand Charge Accrual","Rev Adj Property Insur","Rev Adj"}),-J49,0)</f>
        <v>-20010.68</v>
      </c>
      <c r="L49" s="23">
        <f>-SUMIFS(RVN!F:F,RVN!A:A,B49,RVN!B:B,"B",RVN!J:J,C49)</f>
        <v>0</v>
      </c>
      <c r="M49" s="23">
        <v>0</v>
      </c>
      <c r="N49" s="23">
        <f>SUMIFS('Normalized Units'!I:I,'Normalized Units'!B:B,"Temperature $ Normalization",'Normalized Units'!D:D,B49,'Normalized Units'!C:C,C49)</f>
        <v>0</v>
      </c>
      <c r="O49" s="23">
        <f t="shared" si="13"/>
        <v>0</v>
      </c>
      <c r="P49" s="23">
        <f t="shared" si="14"/>
        <v>0</v>
      </c>
      <c r="Q49" s="23">
        <f t="shared" si="3"/>
        <v>0</v>
      </c>
      <c r="R49" s="23">
        <v>0</v>
      </c>
      <c r="T49" s="133"/>
      <c r="U49" s="133"/>
      <c r="W49" s="13"/>
    </row>
    <row r="50" spans="2:23" ht="15.75" customHeight="1">
      <c r="B50" s="13" t="s">
        <v>5</v>
      </c>
      <c r="C50" s="38" t="s">
        <v>110</v>
      </c>
      <c r="D50" s="47">
        <f>SUMIFS(RVN!H:H,RVN!A:A,B50,RVN!J:J,C50)/12</f>
        <v>0</v>
      </c>
      <c r="E50" s="38" cm="1">
        <f t="array" ref="E50">IF(OR(C50={"Schedule 15","Schedule 51","Schedule 53"}),D50,SUMIFS('Normalized Units'!I:I,'Normalized Units'!H:H,"Bill",'Normalized Units'!C:C,C50,'Normalized Units'!D:D,B50)/12+SUM(SUMIFS('Normalized Units'!I:I,'Normalized Units'!H:H,{"Annual Bill","Load Size","Load Size Minimum"},'Normalized Units'!C:C,C50,'Normalized Units'!D:D,B50)))</f>
        <v>0</v>
      </c>
      <c r="F50" s="23">
        <f>SUMIFS(RVN!I:I,RVN!A:A,B50,RVN!J:J,C50)</f>
        <v>0</v>
      </c>
      <c r="G50" s="23">
        <f>SUMIFS('Normalized Units'!I:I,'Normalized Units'!B:B,"Temperature kWh Normalization",'Normalized Units'!C:C,C50,'Normalized Units'!D:D,B50)</f>
        <v>0</v>
      </c>
      <c r="H50" s="23">
        <f t="shared" si="15"/>
        <v>0</v>
      </c>
      <c r="I50" s="23">
        <f>SUMIFS('Normalized Units'!I:I,'Normalized Units'!B:B,"Normalized Billing Units",'Normalized Units'!C:C,C50,'Normalized Units'!D:D,B50,'Normalized Units'!H:H,"kWh*")</f>
        <v>0</v>
      </c>
      <c r="J50" s="23">
        <f>SUMIFS(RVN!F:F,RVN!A:A,B50,RVN!J:J,C50)</f>
        <v>629694.75</v>
      </c>
      <c r="K50" s="23" cm="1">
        <f t="array" ref="K50">IF(OR(C50={"Alt Rev Program","Blue Sky","Customer Bill Credits","DSM","Income Tax Defer Adj","Irr Demand Charge Accrual","Rev Adj Property Insur","Rev Adj"}),-J50,0)</f>
        <v>-629694.75</v>
      </c>
      <c r="L50" s="23">
        <f>-SUMIFS(RVN!F:F,RVN!A:A,B50,RVN!B:B,"B",RVN!J:J,C50)</f>
        <v>0</v>
      </c>
      <c r="M50" s="23">
        <v>0</v>
      </c>
      <c r="N50" s="23">
        <f>SUMIFS('Normalized Units'!I:I,'Normalized Units'!B:B,"Temperature $ Normalization",'Normalized Units'!D:D,B50,'Normalized Units'!C:C,C50)</f>
        <v>0</v>
      </c>
      <c r="O50" s="23">
        <f t="shared" si="13"/>
        <v>0</v>
      </c>
      <c r="P50" s="23">
        <f t="shared" si="14"/>
        <v>0</v>
      </c>
      <c r="Q50" s="23">
        <f t="shared" si="3"/>
        <v>0</v>
      </c>
      <c r="R50" s="23">
        <v>0</v>
      </c>
      <c r="T50" s="133"/>
      <c r="U50" s="133"/>
      <c r="W50" s="13"/>
    </row>
    <row r="51" spans="2:23" ht="15.75" customHeight="1">
      <c r="B51" s="13" t="s">
        <v>5</v>
      </c>
      <c r="C51" s="38" t="s">
        <v>208</v>
      </c>
      <c r="D51" s="47">
        <f>SUMIFS(RVN!H:H,RVN!A:A,B51,RVN!J:J,C51)/12</f>
        <v>0</v>
      </c>
      <c r="E51" s="38" cm="1">
        <f t="array" ref="E51">IF(OR(C51={"Schedule 15","Schedule 51","Schedule 53"}),D51,SUMIFS('Normalized Units'!I:I,'Normalized Units'!H:H,"Bill",'Normalized Units'!C:C,C51,'Normalized Units'!D:D,B51)/12+SUM(SUMIFS('Normalized Units'!I:I,'Normalized Units'!H:H,{"Annual Bill","Load Size","Load Size Minimum"},'Normalized Units'!C:C,C51,'Normalized Units'!D:D,B51)))</f>
        <v>0</v>
      </c>
      <c r="F51" s="23">
        <f>SUMIFS(RVN!I:I,RVN!A:A,B51,RVN!J:J,C51)</f>
        <v>0</v>
      </c>
      <c r="G51" s="23">
        <f>SUMIFS('Normalized Units'!I:I,'Normalized Units'!B:B,"Temperature kWh Normalization",'Normalized Units'!C:C,C51,'Normalized Units'!D:D,B51)</f>
        <v>0</v>
      </c>
      <c r="H51" s="23">
        <f t="shared" si="15"/>
        <v>0</v>
      </c>
      <c r="I51" s="23">
        <f>SUMIFS('Normalized Units'!I:I,'Normalized Units'!B:B,"Normalized Billing Units",'Normalized Units'!C:C,C51,'Normalized Units'!D:D,B51,'Normalized Units'!H:H,"kWh*")</f>
        <v>0</v>
      </c>
      <c r="J51" s="23">
        <f>SUMIFS(RVN!F:F,RVN!A:A,B51,RVN!J:J,C51)</f>
        <v>-477.25</v>
      </c>
      <c r="K51" s="23" cm="1">
        <f t="array" ref="K51">IF(OR(C51={"Alt Rev Program","Blue Sky","Customer Bill Credits","DSM","Income Tax Defer Adj","Irr Demand Charge Accrual","Rev Adj Property Insur","Rev Adj"}),-J51,0)</f>
        <v>0</v>
      </c>
      <c r="L51" s="23">
        <f>-SUMIFS(RVN!F:F,RVN!A:A,B51,RVN!B:B,"B",RVN!J:J,C51)</f>
        <v>477.25</v>
      </c>
      <c r="M51" s="23">
        <v>0</v>
      </c>
      <c r="N51" s="23">
        <f>SUMIFS('Normalized Units'!I:I,'Normalized Units'!B:B,"Temperature $ Normalization",'Normalized Units'!D:D,B51,'Normalized Units'!C:C,C51)</f>
        <v>0</v>
      </c>
      <c r="O51" s="23">
        <f t="shared" si="13"/>
        <v>0</v>
      </c>
      <c r="P51" s="23">
        <f t="shared" si="14"/>
        <v>0</v>
      </c>
      <c r="Q51" s="23">
        <f t="shared" si="3"/>
        <v>0</v>
      </c>
      <c r="R51" s="23">
        <v>0</v>
      </c>
      <c r="T51" s="133"/>
      <c r="U51" s="133"/>
      <c r="W51" s="13"/>
    </row>
    <row r="52" spans="2:23" ht="15.75" customHeight="1">
      <c r="B52" s="13" t="s">
        <v>5</v>
      </c>
      <c r="C52" s="47" t="s">
        <v>105</v>
      </c>
      <c r="D52" s="47">
        <f>SUMIFS(RVN!H:H,RVN!A:A,B52,RVN!J:J,C52)/12</f>
        <v>0</v>
      </c>
      <c r="E52" s="38" cm="1">
        <f t="array" ref="E52">IF(OR(C52={"Schedule 15","Schedule 51","Schedule 53"}),D52,SUMIFS('Normalized Units'!I:I,'Normalized Units'!H:H,"Bill",'Normalized Units'!C:C,C52,'Normalized Units'!D:D,B52)/12+SUM(SUMIFS('Normalized Units'!I:I,'Normalized Units'!H:H,{"Annual Bill","Load Size","Load Size Minimum"},'Normalized Units'!C:C,C52,'Normalized Units'!D:D,B52)))</f>
        <v>0</v>
      </c>
      <c r="F52" s="23">
        <f>SUMIFS(RVN!I:I,RVN!A:A,B52,RVN!J:J,C52)</f>
        <v>6151000</v>
      </c>
      <c r="G52" s="23">
        <f>SUMIFS('Normalized Units'!I:I,'Normalized Units'!B:B,"Temperature kWh Normalization",'Normalized Units'!C:C,C52,'Normalized Units'!D:D,B52)</f>
        <v>0</v>
      </c>
      <c r="H52" s="23">
        <f t="shared" si="15"/>
        <v>-6151000</v>
      </c>
      <c r="I52" s="23">
        <f>SUMIFS('Normalized Units'!I:I,'Normalized Units'!B:B,"Normalized Billing Units",'Normalized Units'!C:C,C52,'Normalized Units'!D:D,B52,'Normalized Units'!H:H,"kWh*")</f>
        <v>0</v>
      </c>
      <c r="J52" s="23">
        <f>SUMIFS(RVN!F:F,RVN!A:A,B52,RVN!J:J,C52)</f>
        <v>1243000</v>
      </c>
      <c r="K52" s="23" cm="1">
        <f t="array" ref="K52">IF(OR(C52={"Alt Rev Program","Blue Sky","Customer Bill Credits","DSM","Income Tax Defer Adj","Irr Demand Charge Accrual","Rev Adj Property Insur","Rev Adj"}),-J52,0)</f>
        <v>0</v>
      </c>
      <c r="L52" s="23">
        <f>-SUMIFS(RVN!F:F,RVN!A:A,B52,RVN!B:B,"B",RVN!J:J,C52)</f>
        <v>0</v>
      </c>
      <c r="M52" s="23">
        <v>0</v>
      </c>
      <c r="N52" s="23">
        <f>SUMIFS('Normalized Units'!I:I,'Normalized Units'!B:B,"Temperature $ Normalization",'Normalized Units'!D:D,B52,'Normalized Units'!C:C,C52)</f>
        <v>0</v>
      </c>
      <c r="O52" s="23">
        <f t="shared" si="13"/>
        <v>0</v>
      </c>
      <c r="P52" s="23">
        <f t="shared" si="14"/>
        <v>0</v>
      </c>
      <c r="Q52" s="23">
        <f t="shared" si="3"/>
        <v>-1243000</v>
      </c>
      <c r="R52" s="23">
        <v>0</v>
      </c>
      <c r="T52" s="133"/>
      <c r="U52" s="133"/>
      <c r="W52" s="13"/>
    </row>
    <row r="53" spans="2:23" ht="15.75" customHeight="1">
      <c r="B53" s="13" t="s">
        <v>5</v>
      </c>
      <c r="C53" s="40" t="s">
        <v>106</v>
      </c>
      <c r="D53" s="47">
        <f>SUMIFS(RVN!H:H,RVN!A:A,B53,RVN!J:J,C53)/12</f>
        <v>50.166666666666664</v>
      </c>
      <c r="E53" s="38" cm="1">
        <f t="array" ref="E53">IF(OR(C53={"Schedule 15","Schedule 51","Schedule 53"}),D53,SUMIFS('Normalized Units'!I:I,'Normalized Units'!H:H,"Bill",'Normalized Units'!C:C,C53,'Normalized Units'!D:D,B53)/12+SUM(SUMIFS('Normalized Units'!I:I,'Normalized Units'!H:H,{"Annual Bill","Load Size","Load Size Minimum"},'Normalized Units'!C:C,C53,'Normalized Units'!D:D,B53)))</f>
        <v>50.166666666666664</v>
      </c>
      <c r="F53" s="23">
        <f>SUMIFS(RVN!I:I,RVN!A:A,B53,RVN!J:J,C53)</f>
        <v>122247</v>
      </c>
      <c r="G53" s="23">
        <f>SUMIFS('Normalized Units'!I:I,'Normalized Units'!B:B,"Temperature kWh Normalization",'Normalized Units'!C:C,C53,'Normalized Units'!D:D,B53)</f>
        <v>0</v>
      </c>
      <c r="H53" s="23">
        <f t="shared" si="15"/>
        <v>540.4500167688966</v>
      </c>
      <c r="I53" s="23">
        <f>SUMIFS('Normalized Units'!I:I,'Normalized Units'!B:B,"Normalized Billing Units",'Normalized Units'!C:C,C53,'Normalized Units'!D:D,B53,'Normalized Units'!H:H,"kWh*")</f>
        <v>122787.4500167689</v>
      </c>
      <c r="J53" s="23">
        <f>SUMIFS(RVN!F:F,RVN!A:A,B53,RVN!J:J,C53)</f>
        <v>8633.64</v>
      </c>
      <c r="K53" s="23" cm="1">
        <f t="array" ref="K53">IF(OR(C53={"Alt Rev Program","Blue Sky","Customer Bill Credits","DSM","Income Tax Defer Adj","Irr Demand Charge Accrual","Rev Adj Property Insur","Rev Adj"}),-J53,0)</f>
        <v>0</v>
      </c>
      <c r="L53" s="23">
        <f>-SUMIFS(RVN!F:F,RVN!A:A,B53,RVN!B:B,"B",RVN!J:J,C53)</f>
        <v>62.64</v>
      </c>
      <c r="M53" s="23">
        <v>44.754958124539293</v>
      </c>
      <c r="N53" s="23">
        <f>SUMIFS('Normalized Units'!I:I,'Normalized Units'!B:B,"Temperature $ Normalization",'Normalized Units'!D:D,B53,'Normalized Units'!C:C,C53)</f>
        <v>0</v>
      </c>
      <c r="O53" s="23">
        <f t="shared" si="13"/>
        <v>-13.891859244135929</v>
      </c>
      <c r="P53" s="23">
        <f t="shared" si="14"/>
        <v>840.10510612714154</v>
      </c>
      <c r="Q53" s="23">
        <f t="shared" si="3"/>
        <v>353.57499669869196</v>
      </c>
      <c r="R53" s="23">
        <f>SUM('Sch.15,51,53,54'!G59:G61,'Sch.15,51,53,54'!G62)</f>
        <v>9920.8232017062364</v>
      </c>
      <c r="T53" s="134">
        <f>T18</f>
        <v>-0.27244618012830585</v>
      </c>
      <c r="U53" s="134">
        <f>U18</f>
        <v>11.533258157439882</v>
      </c>
      <c r="W53" s="13"/>
    </row>
    <row r="54" spans="2:23" ht="15.75" customHeight="1">
      <c r="B54" s="13" t="s">
        <v>5</v>
      </c>
      <c r="C54" s="40" t="s">
        <v>165</v>
      </c>
      <c r="D54" s="47">
        <f>SUMIFS(RVN!H:H,RVN!A:A,B54,RVN!J:J,C54)/12</f>
        <v>370.58333333333331</v>
      </c>
      <c r="E54" s="38" cm="1">
        <f t="array" ref="E54">IF(OR(C54={"Schedule 15","Schedule 51","Schedule 53"}),D54,SUMIFS('Normalized Units'!I:I,'Normalized Units'!H:H,"Bill",'Normalized Units'!C:C,C54,'Normalized Units'!D:D,B54)/12+SUM(SUMIFS('Normalized Units'!I:I,'Normalized Units'!H:H,{"Annual Bill","Load Size","Load Size Minimum"},'Normalized Units'!C:C,C54,'Normalized Units'!D:D,B54)))</f>
        <v>407.7166666666667</v>
      </c>
      <c r="F54" s="23">
        <f>SUMIFS(RVN!I:I,RVN!A:A,B54,RVN!J:J,C54)</f>
        <v>15038716</v>
      </c>
      <c r="G54" s="23">
        <f>SUMIFS('Normalized Units'!I:I,'Normalized Units'!B:B,"Temperature kWh Normalization",'Normalized Units'!C:C,C54,'Normalized Units'!D:D,B54)</f>
        <v>0</v>
      </c>
      <c r="H54" s="23">
        <f t="shared" si="15"/>
        <v>173641.59661523998</v>
      </c>
      <c r="I54" s="23">
        <f>SUMIFS('Normalized Units'!I:I,'Normalized Units'!B:B,"Normalized Billing Units",'Normalized Units'!C:C,C54,'Normalized Units'!D:D,B54,'Normalized Units'!H:H,"kWh*")</f>
        <v>15212357.59661524</v>
      </c>
      <c r="J54" s="23">
        <f>SUMIFS(RVN!F:F,RVN!A:A,B54,RVN!J:J,C54)</f>
        <v>1468678.6199999999</v>
      </c>
      <c r="K54" s="23" cm="1">
        <f t="array" ref="K54">IF(OR(C54={"Alt Rev Program","Blue Sky","Customer Bill Credits","DSM","Income Tax Defer Adj","Irr Demand Charge Accrual","Rev Adj Property Insur","Rev Adj"}),-J54,0)</f>
        <v>0</v>
      </c>
      <c r="L54" s="23">
        <f>-SUMIFS(RVN!F:F,RVN!A:A,B54,RVN!B:B,"B",RVN!J:J,C54)</f>
        <v>8414.2799999999988</v>
      </c>
      <c r="M54" s="23">
        <v>-21125.865000000005</v>
      </c>
      <c r="N54" s="23">
        <f>SUMIFS('Normalized Units'!I:I,'Normalized Units'!B:B,"Temperature $ Normalization",'Normalized Units'!D:D,B54,'Normalized Units'!C:C,C54)</f>
        <v>0</v>
      </c>
      <c r="O54" s="23">
        <f t="shared" si="13"/>
        <v>-3999.2353530243704</v>
      </c>
      <c r="P54" s="23">
        <f t="shared" si="14"/>
        <v>134194.76167361406</v>
      </c>
      <c r="Q54" s="23">
        <f t="shared" si="3"/>
        <v>45932.552945439063</v>
      </c>
      <c r="R54" s="23">
        <f>SUM(Sch.24!S90:S102,Sch.24!S103)</f>
        <v>1632095.1142660286</v>
      </c>
      <c r="T54" s="134">
        <f>T20</f>
        <v>-0.47087824579462839</v>
      </c>
      <c r="U54" s="134">
        <f>U20</f>
        <v>11.060258243301291</v>
      </c>
      <c r="W54" s="13"/>
    </row>
    <row r="55" spans="2:23" ht="15.75" customHeight="1">
      <c r="B55" s="13" t="s">
        <v>5</v>
      </c>
      <c r="C55" s="40" t="s">
        <v>215</v>
      </c>
      <c r="D55" s="47">
        <f>SUMIFS(RVN!H:H,RVN!A:A,B55,RVN!J:J,C55)/12</f>
        <v>96.083333333333329</v>
      </c>
      <c r="E55" s="38" cm="1">
        <f t="array" ref="E55">IF(OR(C55={"Schedule 15","Schedule 51","Schedule 53"}),D55,SUMIFS('Normalized Units'!I:I,'Normalized Units'!H:H,"Bill",'Normalized Units'!C:C,C55,'Normalized Units'!D:D,B55)/12+SUM(SUMIFS('Normalized Units'!I:I,'Normalized Units'!H:H,{"Annual Bill","Load Size","Load Size Minimum"},'Normalized Units'!C:C,C55,'Normalized Units'!D:D,B55)))</f>
        <v>95.697222222222237</v>
      </c>
      <c r="F55" s="23">
        <f>SUMIFS(RVN!I:I,RVN!A:A,B55,RVN!J:J,C55)</f>
        <v>87611331</v>
      </c>
      <c r="G55" s="23">
        <f>SUMIFS('Normalized Units'!I:I,'Normalized Units'!B:B,"Temperature kWh Normalization",'Normalized Units'!C:C,C55,'Normalized Units'!D:D,B55)</f>
        <v>0</v>
      </c>
      <c r="H55" s="23">
        <f t="shared" si="15"/>
        <v>454418.44772994518</v>
      </c>
      <c r="I55" s="23">
        <f>SUMIFS('Normalized Units'!I:I,'Normalized Units'!B:B,"Normalized Billing Units",'Normalized Units'!C:C,C55,'Normalized Units'!D:D,B55,'Normalized Units'!H:H,"kWh*")</f>
        <v>88065749.447729945</v>
      </c>
      <c r="J55" s="23">
        <f>SUMIFS(RVN!F:F,RVN!A:A,B55,RVN!J:J,C55)</f>
        <v>7426183.9900000002</v>
      </c>
      <c r="K55" s="23" cm="1">
        <f t="array" ref="K55">IF(OR(C55={"Alt Rev Program","Blue Sky","Customer Bill Credits","DSM","Income Tax Defer Adj","Irr Demand Charge Accrual","Rev Adj Property Insur","Rev Adj"}),-J55,0)</f>
        <v>0</v>
      </c>
      <c r="L55" s="23">
        <f>-SUMIFS(RVN!F:F,RVN!A:A,B55,RVN!B:B,"B",RVN!J:J,C55)</f>
        <v>8097.89</v>
      </c>
      <c r="M55" s="23">
        <v>28906.72317000007</v>
      </c>
      <c r="N55" s="23">
        <f>SUMIFS('Normalized Units'!I:I,'Normalized Units'!B:B,"Temperature $ Normalization",'Normalized Units'!D:D,B55,'Normalized Units'!C:C,C55)</f>
        <v>0</v>
      </c>
      <c r="O55" s="23">
        <f t="shared" si="13"/>
        <v>-23617.10182600014</v>
      </c>
      <c r="P55" s="23">
        <f t="shared" si="14"/>
        <v>811062.80119957775</v>
      </c>
      <c r="Q55" s="23">
        <f t="shared" si="3"/>
        <v>140475.57102261193</v>
      </c>
      <c r="R55" s="23">
        <f>SUM('Sch.29,36'!S77:S88,'Sch.29,36'!S89)</f>
        <v>8391109.8735661898</v>
      </c>
      <c r="T55" s="134">
        <f>T21</f>
        <v>-0.54248207335865006</v>
      </c>
      <c r="U55" s="134">
        <f>U21</f>
        <v>13.041012537537819</v>
      </c>
      <c r="W55" s="13"/>
    </row>
    <row r="56" spans="2:23" ht="15.75" customHeight="1">
      <c r="B56" s="13" t="s">
        <v>5</v>
      </c>
      <c r="C56" s="40" t="s">
        <v>109</v>
      </c>
      <c r="D56" s="47">
        <f>SUMIFS(RVN!H:H,RVN!A:A,B56,RVN!J:J,C56)/12</f>
        <v>29</v>
      </c>
      <c r="E56" s="38" cm="1">
        <f t="array" ref="E56">IF(OR(C56={"Schedule 15","Schedule 51","Schedule 53"}),D56,SUMIFS('Normalized Units'!I:I,'Normalized Units'!H:H,"Bill",'Normalized Units'!C:C,C56,'Normalized Units'!D:D,B56)/12+SUM(SUMIFS('Normalized Units'!I:I,'Normalized Units'!H:H,{"Annual Bill","Load Size","Load Size Minimum"},'Normalized Units'!C:C,C56,'Normalized Units'!D:D,B56)))</f>
        <v>29</v>
      </c>
      <c r="F56" s="23">
        <f>SUMIFS(RVN!I:I,RVN!A:A,B56,RVN!J:J,C56)</f>
        <v>196837800</v>
      </c>
      <c r="G56" s="23">
        <f>SUMIFS('Normalized Units'!I:I,'Normalized Units'!B:B,"Temperature kWh Normalization",'Normalized Units'!C:C,C56,'Normalized Units'!D:D,B56)</f>
        <v>0</v>
      </c>
      <c r="H56" s="23">
        <f t="shared" si="15"/>
        <v>3837597.2055466175</v>
      </c>
      <c r="I56" s="23">
        <f>SUMIFS('Normalized Units'!I:I,'Normalized Units'!B:B,"Normalized Billing Units",'Normalized Units'!C:C,C56,'Normalized Units'!D:D,B56,'Normalized Units'!H:H,"kWh*")</f>
        <v>200675397.20554662</v>
      </c>
      <c r="J56" s="23">
        <f>SUMIFS(RVN!F:F,RVN!A:A,B56,RVN!J:J,C56)</f>
        <v>14420276</v>
      </c>
      <c r="K56" s="23" cm="1">
        <f t="array" ref="K56">IF(OR(C56={"Alt Rev Program","Blue Sky","Customer Bill Credits","DSM","Income Tax Defer Adj","Irr Demand Charge Accrual","Rev Adj Property Insur","Rev Adj"}),-J56,0)</f>
        <v>0</v>
      </c>
      <c r="L56" s="23">
        <f>-SUMIFS(RVN!F:F,RVN!A:A,B56,RVN!B:B,"B",RVN!J:J,C56)</f>
        <v>0</v>
      </c>
      <c r="M56" s="23">
        <v>1181558.06504</v>
      </c>
      <c r="N56" s="23">
        <f>SUMIFS('Normalized Units'!I:I,'Normalized Units'!B:B,"Temperature $ Normalization",'Normalized Units'!D:D,B56,'Normalized Units'!C:C,C56)</f>
        <v>0</v>
      </c>
      <c r="O56" s="23">
        <f t="shared" si="13"/>
        <v>-51674.808992793849</v>
      </c>
      <c r="P56" s="23">
        <f t="shared" si="14"/>
        <v>1859599.0170968184</v>
      </c>
      <c r="Q56" s="23">
        <f t="shared" si="3"/>
        <v>-684919.80185682815</v>
      </c>
      <c r="R56" s="23">
        <f>SUM(Sch.48T!T67:T80,Sch.48T!T81)</f>
        <v>16724838.471287197</v>
      </c>
      <c r="T56" s="134">
        <f>T38</f>
        <v>-0.56778828998885622</v>
      </c>
      <c r="U56" s="134">
        <f>U38</f>
        <v>14.302926253500445</v>
      </c>
      <c r="W56" s="13"/>
    </row>
    <row r="57" spans="2:23" ht="15.75" customHeight="1">
      <c r="B57" s="13" t="s">
        <v>5</v>
      </c>
      <c r="C57" s="40" t="s">
        <v>223</v>
      </c>
      <c r="D57" s="47">
        <f>SUMIFS(RVN!H:H,RVN!A:A,B57,RVN!J:J,C57)/12</f>
        <v>1</v>
      </c>
      <c r="E57" s="38" cm="1">
        <f t="array" ref="E57">IF(OR(C57={"Schedule 15","Schedule 51","Schedule 53"}),D57,SUMIFS('Normalized Units'!I:I,'Normalized Units'!H:H,"Bill",'Normalized Units'!C:C,C57,'Normalized Units'!D:D,B57)/12+SUM(SUMIFS('Normalized Units'!I:I,'Normalized Units'!H:H,{"Annual Bill","Load Size","Load Size Minimum"},'Normalized Units'!C:C,C57,'Normalized Units'!D:D,B57)))</f>
        <v>1</v>
      </c>
      <c r="F57" s="23">
        <f>SUMIFS(RVN!I:I,RVN!A:A,B57,RVN!J:J,C57)</f>
        <v>540230400</v>
      </c>
      <c r="G57" s="23">
        <f>SUMIFS('Normalized Units'!I:I,'Normalized Units'!B:B,"Temperature kWh Normalization",'Normalized Units'!C:C,C57,'Normalized Units'!D:D,B57)</f>
        <v>0</v>
      </c>
      <c r="H57" s="23">
        <f t="shared" si="15"/>
        <v>3938165.2885745764</v>
      </c>
      <c r="I57" s="23">
        <f>SUMIFS('Normalized Units'!I:I,'Normalized Units'!B:B,"Normalized Billing Units",'Normalized Units'!C:C,C57,'Normalized Units'!D:D,B57,'Normalized Units'!H:H,"kWh*")</f>
        <v>544168565.28857458</v>
      </c>
      <c r="J57" s="23">
        <f>SUMIFS(RVN!F:F,RVN!A:A,B57,RVN!J:J,C57)</f>
        <v>32758440.510000002</v>
      </c>
      <c r="K57" s="23" cm="1">
        <f t="array" ref="K57">IF(OR(C57={"Alt Rev Program","Blue Sky","Customer Bill Credits","DSM","Income Tax Defer Adj","Irr Demand Charge Accrual","Rev Adj Property Insur","Rev Adj"}),-J57,0)</f>
        <v>0</v>
      </c>
      <c r="L57" s="23">
        <f>-SUMIFS(RVN!F:F,RVN!A:A,B57,RVN!B:B,"B",RVN!J:J,C57)</f>
        <v>0</v>
      </c>
      <c r="M57" s="23">
        <v>-1005576.192</v>
      </c>
      <c r="N57" s="23">
        <f>SUMIFS('Normalized Units'!I:I,'Normalized Units'!B:B,"Temperature $ Normalization",'Normalized Units'!D:D,B57,'Normalized Units'!C:C,C57)</f>
        <v>0</v>
      </c>
      <c r="O57" s="23">
        <f t="shared" si="13"/>
        <v>-107795.47164483044</v>
      </c>
      <c r="P57" s="23">
        <f t="shared" si="14"/>
        <v>4655693.2855571164</v>
      </c>
      <c r="Q57" s="23">
        <f t="shared" si="3"/>
        <v>2370543.1930042766</v>
      </c>
      <c r="R57" s="23">
        <f>SUM('Sch.48T-DF'!O17:O23)</f>
        <v>38671305.324916564</v>
      </c>
      <c r="T57" s="133">
        <v>-0.58197029173418213</v>
      </c>
      <c r="U57" s="133">
        <v>17.594733774935342</v>
      </c>
      <c r="W57" s="13"/>
    </row>
    <row r="58" spans="2:23" ht="15.75" customHeight="1">
      <c r="B58" s="13" t="s">
        <v>5</v>
      </c>
      <c r="C58" s="40" t="s">
        <v>188</v>
      </c>
      <c r="D58" s="47">
        <f>SUMIFS(RVN!H:H,RVN!A:A,B58,RVN!J:J,C58)/12</f>
        <v>1</v>
      </c>
      <c r="E58" s="38" cm="1">
        <f t="array" ref="E58">IF(OR(C58={"Schedule 15","Schedule 51","Schedule 53"}),D58,SUMIFS('Normalized Units'!I:I,'Normalized Units'!H:H,"Bill",'Normalized Units'!C:C,C58,'Normalized Units'!D:D,B58)/12+SUM(SUMIFS('Normalized Units'!I:I,'Normalized Units'!H:H,{"Annual Bill","Load Size","Load Size Minimum"},'Normalized Units'!C:C,C58,'Normalized Units'!D:D,B58)))</f>
        <v>1</v>
      </c>
      <c r="F58" s="23">
        <f>SUMIFS(RVN!I:I,RVN!A:A,B58,RVN!J:J,C58)</f>
        <v>1710000</v>
      </c>
      <c r="G58" s="23">
        <f>SUMIFS('Normalized Units'!I:I,'Normalized Units'!B:B,"Temperature kWh Normalization",'Normalized Units'!C:C,C58,'Normalized Units'!D:D,B58)</f>
        <v>0</v>
      </c>
      <c r="H58" s="23">
        <f>I58-G58-F58</f>
        <v>-20775.0250976854</v>
      </c>
      <c r="I58" s="23">
        <f>SUMIFS('Normalized Units'!I:I,'Normalized Units'!B:B,"Normalized Billing Units",'Normalized Units'!C:C,C58,'Normalized Units'!D:D,B58,'Normalized Units'!H:H,"kWh*")</f>
        <v>1689224.9749023146</v>
      </c>
      <c r="J58" s="23">
        <f>SUMIFS(RVN!F:F,RVN!A:A,B58,RVN!J:J,C58)</f>
        <v>312626.78000000003</v>
      </c>
      <c r="K58" s="23" cm="1">
        <f t="array" ref="K58">IF(OR(C58={"Alt Rev Program","Blue Sky","Customer Bill Credits","DSM","Income Tax Defer Adj","Irr Demand Charge Accrual","Rev Adj Property Insur","Rev Adj"}),-J58,0)</f>
        <v>0</v>
      </c>
      <c r="L58" s="23">
        <f>-SUMIFS(RVN!F:F,RVN!A:A,B58,RVN!B:B,"B",RVN!J:J,C58)</f>
        <v>0</v>
      </c>
      <c r="M58" s="23">
        <v>408.599999999999</v>
      </c>
      <c r="N58" s="23">
        <f>SUMIFS('Normalized Units'!I:I,'Normalized Units'!B:B,"Temperature $ Normalization",'Normalized Units'!D:D,B58,'Normalized Units'!C:C,C58)</f>
        <v>0</v>
      </c>
      <c r="O58" s="23">
        <f>(J58+K58+L58+M58+N58)*T58/100*7/12</f>
        <v>-1930.9752121659758</v>
      </c>
      <c r="P58" s="23">
        <f>(J58+K58+L58+M58+N58)*U58/100*10/12</f>
        <v>18310.150675638772</v>
      </c>
      <c r="Q58" s="23">
        <f>R58-J58-K58-L58-M58-N58-O58-P58</f>
        <v>2425.5326434356066</v>
      </c>
      <c r="R58" s="23">
        <f>SUM(Sch.47T!F17:F23)</f>
        <v>331840.08810690843</v>
      </c>
      <c r="T58" s="133">
        <v>-1.0574661627244686</v>
      </c>
      <c r="U58" s="133">
        <v>7.0190726718387317</v>
      </c>
      <c r="W58" s="13"/>
    </row>
    <row r="59" spans="2:23" ht="15.75" customHeight="1">
      <c r="B59" s="13" t="s">
        <v>5</v>
      </c>
      <c r="C59" s="49" t="s">
        <v>305</v>
      </c>
      <c r="D59" s="47">
        <f>SUMIFS(RVN!H:H,RVN!A:A,B59,RVN!J:J,C59)/12</f>
        <v>0</v>
      </c>
      <c r="E59" s="38" cm="1">
        <f t="array" ref="E59">IF(OR(C59={"Schedule 15","Schedule 51","Schedule 53"}),D59,SUMIFS('Normalized Units'!I:I,'Normalized Units'!H:H,"Bill",'Normalized Units'!C:C,C59,'Normalized Units'!D:D,B59)/12+SUM(SUMIFS('Normalized Units'!I:I,'Normalized Units'!H:H,{"Annual Bill","Load Size","Load Size Minimum"},'Normalized Units'!C:C,C59,'Normalized Units'!D:D,B59)))</f>
        <v>0</v>
      </c>
      <c r="F59" s="23">
        <f>SUMIFS(RVN!I:I,RVN!A:A,B59,RVN!J:J,C59)</f>
        <v>0</v>
      </c>
      <c r="G59" s="23">
        <f>SUMIFS('Normalized Units'!I:I,'Normalized Units'!B:B,"Temperature kWh Normalization",'Normalized Units'!C:C,C59,'Normalized Units'!D:D,B59)</f>
        <v>0</v>
      </c>
      <c r="H59" s="23">
        <f t="shared" ref="H59:H61" si="16">I59-G59-F59</f>
        <v>0</v>
      </c>
      <c r="I59" s="23">
        <f>SUMIFS('Normalized Units'!I:I,'Normalized Units'!B:B,"Normalized Billing Units",'Normalized Units'!C:C,C59,'Normalized Units'!D:D,B59,'Normalized Units'!H:H,"kWh*")</f>
        <v>0</v>
      </c>
      <c r="J59" s="23">
        <f>SUMIFS(RVN!F:F,RVN!A:A,B59,RVN!J:J,C59)</f>
        <v>0</v>
      </c>
      <c r="K59" s="23" cm="1">
        <f t="array" ref="K59">IF(OR(C59={"Alt Rev Program","Blue Sky","Customer Bill Credits","DSM","Income Tax Defer Adj","Irr Demand Charge Accrual","Rev Adj Property Insur","Rev Adj"}),-J59,0)</f>
        <v>0</v>
      </c>
      <c r="L59" s="23">
        <f>-SUMIFS(RVN!F:F,RVN!A:A,B59,RVN!B:B,"B",RVN!J:J,C59)</f>
        <v>0</v>
      </c>
      <c r="M59" s="23">
        <v>0</v>
      </c>
      <c r="N59" s="23">
        <f>SUMIFS('Normalized Units'!I:I,'Normalized Units'!B:B,"Temperature $ Normalization",'Normalized Units'!D:D,B59,'Normalized Units'!C:C,C59)</f>
        <v>0</v>
      </c>
      <c r="O59" s="23">
        <f t="shared" si="13"/>
        <v>0</v>
      </c>
      <c r="P59" s="23">
        <f t="shared" si="14"/>
        <v>0</v>
      </c>
      <c r="Q59" s="23">
        <f t="shared" si="3"/>
        <v>-426</v>
      </c>
      <c r="R59" s="23">
        <f>'AutoPay&amp;Paperless'!F19</f>
        <v>-426</v>
      </c>
      <c r="T59" s="133"/>
      <c r="U59" s="133"/>
      <c r="W59" s="13"/>
    </row>
    <row r="60" spans="2:23" ht="15.75" customHeight="1">
      <c r="B60" s="13" t="s">
        <v>5</v>
      </c>
      <c r="C60" s="49" t="s">
        <v>306</v>
      </c>
      <c r="D60" s="47">
        <f>SUMIFS(RVN!H:H,RVN!A:A,B60,RVN!J:J,C60)/12</f>
        <v>0</v>
      </c>
      <c r="E60" s="38" cm="1">
        <f t="array" ref="E60">IF(OR(C60={"Schedule 15","Schedule 51","Schedule 53"}),D60,SUMIFS('Normalized Units'!I:I,'Normalized Units'!H:H,"Bill",'Normalized Units'!C:C,C60,'Normalized Units'!D:D,B60)/12+SUM(SUMIFS('Normalized Units'!I:I,'Normalized Units'!H:H,{"Annual Bill","Load Size","Load Size Minimum"},'Normalized Units'!C:C,C60,'Normalized Units'!D:D,B60)))</f>
        <v>0</v>
      </c>
      <c r="F60" s="23">
        <f>SUMIFS(RVN!I:I,RVN!A:A,B60,RVN!J:J,C60)</f>
        <v>0</v>
      </c>
      <c r="G60" s="23">
        <f>SUMIFS('Normalized Units'!I:I,'Normalized Units'!B:B,"Temperature kWh Normalization",'Normalized Units'!C:C,C60,'Normalized Units'!D:D,B60)</f>
        <v>0</v>
      </c>
      <c r="H60" s="23">
        <f t="shared" si="16"/>
        <v>0</v>
      </c>
      <c r="I60" s="23">
        <f>SUMIFS('Normalized Units'!I:I,'Normalized Units'!B:B,"Normalized Billing Units",'Normalized Units'!C:C,C60,'Normalized Units'!D:D,B60,'Normalized Units'!H:H,"kWh*")</f>
        <v>0</v>
      </c>
      <c r="J60" s="23">
        <f>SUMIFS(RVN!F:F,RVN!A:A,B60,RVN!J:J,C60)</f>
        <v>0</v>
      </c>
      <c r="K60" s="23" cm="1">
        <f t="array" ref="K60">IF(OR(C60={"Alt Rev Program","Blue Sky","Customer Bill Credits","DSM","Income Tax Defer Adj","Irr Demand Charge Accrual","Rev Adj Property Insur","Rev Adj"}),-J60,0)</f>
        <v>0</v>
      </c>
      <c r="L60" s="23">
        <f>-SUMIFS(RVN!F:F,RVN!A:A,B60,RVN!B:B,"B",RVN!J:J,C60)</f>
        <v>0</v>
      </c>
      <c r="M60" s="23">
        <v>0</v>
      </c>
      <c r="N60" s="23">
        <f>SUMIFS('Normalized Units'!I:I,'Normalized Units'!B:B,"Temperature $ Normalization",'Normalized Units'!D:D,B60,'Normalized Units'!C:C,C60)</f>
        <v>0</v>
      </c>
      <c r="O60" s="23">
        <f t="shared" si="13"/>
        <v>0</v>
      </c>
      <c r="P60" s="23">
        <f t="shared" si="14"/>
        <v>0</v>
      </c>
      <c r="Q60" s="23">
        <f t="shared" si="3"/>
        <v>-748</v>
      </c>
      <c r="R60" s="23">
        <f>'AutoPay&amp;Paperless'!F20</f>
        <v>-748</v>
      </c>
      <c r="T60" s="133"/>
      <c r="U60" s="133"/>
      <c r="W60" s="13"/>
    </row>
    <row r="61" spans="2:23" ht="15.75" customHeight="1">
      <c r="B61" s="13" t="s">
        <v>5</v>
      </c>
      <c r="C61" s="18" t="s">
        <v>288</v>
      </c>
      <c r="D61" s="47">
        <f>SUMIFS(RVN!H:H,RVN!A:A,B61,RVN!J:J,C61)/12</f>
        <v>0</v>
      </c>
      <c r="E61" s="38" cm="1">
        <f t="array" ref="E61">IF(OR(C61={"Schedule 15","Schedule 51","Schedule 53"}),D61,SUMIFS('Normalized Units'!I:I,'Normalized Units'!H:H,"Bill",'Normalized Units'!C:C,C61,'Normalized Units'!D:D,B61)/12+SUM(SUMIFS('Normalized Units'!I:I,'Normalized Units'!H:H,{"Annual Bill","Load Size","Load Size Minimum"},'Normalized Units'!C:C,C61,'Normalized Units'!D:D,B61)))</f>
        <v>0</v>
      </c>
      <c r="F61" s="23">
        <f>SUMIFS(RVN!I:I,RVN!A:A,B61,RVN!J:J,C61)</f>
        <v>0</v>
      </c>
      <c r="G61" s="23">
        <f>SUMIFS('Normalized Units'!I:I,'Normalized Units'!B:B,"Temperature kWh Normalization",'Normalized Units'!C:C,C61,'Normalized Units'!D:D,B61)</f>
        <v>0</v>
      </c>
      <c r="H61" s="23">
        <f t="shared" si="16"/>
        <v>0</v>
      </c>
      <c r="I61" s="23">
        <f>SUMIFS('Normalized Units'!I:I,'Normalized Units'!B:B,"Normalized Billing Units",'Normalized Units'!C:C,C61,'Normalized Units'!D:D,B61,'Normalized Units'!H:H,"kWh*")</f>
        <v>0</v>
      </c>
      <c r="J61" s="23">
        <f>SUMIFS(RVN!F:F,RVN!A:A,B61,RVN!J:J,C61)</f>
        <v>11579.08</v>
      </c>
      <c r="K61" s="23" cm="1">
        <f t="array" ref="K61">IF(OR(C61={"Alt Rev Program","Blue Sky","Customer Bill Credits","DSM","Income Tax Defer Adj","Irr Demand Charge Accrual","Rev Adj Property Insur","Rev Adj"}),-J61,0)</f>
        <v>0</v>
      </c>
      <c r="L61" s="23">
        <f>-SUMIFS(RVN!F:F,RVN!A:A,B61,RVN!B:B,"B",RVN!J:J,C61)</f>
        <v>0</v>
      </c>
      <c r="M61" s="23">
        <v>0</v>
      </c>
      <c r="N61" s="23">
        <f>SUMIFS('Normalized Units'!I:I,'Normalized Units'!B:B,"Temperature $ Normalization",'Normalized Units'!D:D,B61,'Normalized Units'!C:C,C61)</f>
        <v>0</v>
      </c>
      <c r="O61" s="23">
        <f t="shared" si="13"/>
        <v>0</v>
      </c>
      <c r="P61" s="23">
        <f t="shared" si="14"/>
        <v>0</v>
      </c>
      <c r="Q61" s="23">
        <f t="shared" si="3"/>
        <v>0</v>
      </c>
      <c r="R61" s="23">
        <f>J61</f>
        <v>11579.08</v>
      </c>
      <c r="T61" s="133"/>
      <c r="U61" s="133"/>
      <c r="W61" s="13"/>
    </row>
    <row r="62" spans="2:23" ht="15.75" customHeight="1">
      <c r="B62" s="20" t="s">
        <v>5</v>
      </c>
      <c r="C62" s="21" t="s">
        <v>0</v>
      </c>
      <c r="D62" s="24">
        <f t="shared" ref="D62:R62" si="17">SUM(D45:D61)</f>
        <v>547.83333333333337</v>
      </c>
      <c r="E62" s="24">
        <f t="shared" si="17"/>
        <v>584.58055555555563</v>
      </c>
      <c r="F62" s="24">
        <f t="shared" si="17"/>
        <v>847701494</v>
      </c>
      <c r="G62" s="24">
        <f t="shared" si="17"/>
        <v>0</v>
      </c>
      <c r="H62" s="24">
        <f t="shared" si="17"/>
        <v>2232587.9633854623</v>
      </c>
      <c r="I62" s="24">
        <f t="shared" si="17"/>
        <v>849934081.96338546</v>
      </c>
      <c r="J62" s="24">
        <f t="shared" si="17"/>
        <v>60847274.540000007</v>
      </c>
      <c r="K62" s="24">
        <f t="shared" si="17"/>
        <v>-3198333.17</v>
      </c>
      <c r="L62" s="24">
        <f t="shared" si="17"/>
        <v>17052.059999999998</v>
      </c>
      <c r="M62" s="24">
        <f t="shared" si="17"/>
        <v>184216.08616812449</v>
      </c>
      <c r="N62" s="24">
        <f t="shared" si="17"/>
        <v>0</v>
      </c>
      <c r="O62" s="24">
        <f t="shared" si="17"/>
        <v>-189031.48488805891</v>
      </c>
      <c r="P62" s="24">
        <f t="shared" si="17"/>
        <v>7479700.121308892</v>
      </c>
      <c r="Q62" s="24">
        <f t="shared" si="17"/>
        <v>630636.62275563355</v>
      </c>
      <c r="R62" s="24">
        <f t="shared" si="17"/>
        <v>65771514.775344588</v>
      </c>
      <c r="T62" s="133"/>
      <c r="U62" s="133"/>
      <c r="W62" s="13"/>
    </row>
    <row r="63" spans="2:23" ht="15.75" customHeight="1">
      <c r="B63" s="12"/>
      <c r="C63" s="42"/>
      <c r="D63" s="33"/>
      <c r="E63" s="46"/>
      <c r="F63" s="34"/>
      <c r="G63" s="34"/>
      <c r="H63" s="34"/>
      <c r="I63" s="34"/>
      <c r="J63" s="23"/>
      <c r="K63" s="23"/>
      <c r="L63" s="23"/>
      <c r="M63" s="23"/>
      <c r="N63" s="23"/>
      <c r="O63" s="23"/>
      <c r="P63" s="23"/>
      <c r="Q63" s="23"/>
      <c r="R63" s="23"/>
      <c r="T63" s="133"/>
      <c r="U63" s="133"/>
      <c r="W63" s="13"/>
    </row>
    <row r="64" spans="2:23" ht="15.75" customHeight="1">
      <c r="B64" s="13" t="s">
        <v>116</v>
      </c>
      <c r="C64" s="38" t="s">
        <v>206</v>
      </c>
      <c r="D64" s="47">
        <f>SUMIFS(RVN!H:H,RVN!A:A,B64,RVN!J:J,C64)/12</f>
        <v>0</v>
      </c>
      <c r="E64" s="38" cm="1">
        <f t="array" ref="E64">IF(OR(C64={"Schedule 15","Schedule 51","Schedule 53"}),D64,SUMIFS('Normalized Units'!I:I,'Normalized Units'!H:H,"Bill",'Normalized Units'!C:C,C64,'Normalized Units'!D:D,B64)/12+SUM(SUMIFS('Normalized Units'!I:I,'Normalized Units'!H:H,{"Annual Bill","Load Size","Load Size Minimum"},'Normalized Units'!C:C,C64,'Normalized Units'!D:D,B64)))</f>
        <v>0</v>
      </c>
      <c r="F64" s="23">
        <f>SUMIFS(RVN!I:I,RVN!A:A,B64,RVN!J:J,C64)</f>
        <v>0</v>
      </c>
      <c r="G64" s="23">
        <f>SUMIFS('Normalized Units'!I:I,'Normalized Units'!B:B,"Temperature kWh Normalization",'Normalized Units'!C:C,C64,'Normalized Units'!D:D,B64)</f>
        <v>0</v>
      </c>
      <c r="H64" s="23">
        <f>I64-G64-F64</f>
        <v>0</v>
      </c>
      <c r="I64" s="23">
        <f>SUMIFS('Normalized Units'!I:I,'Normalized Units'!B:B,"Normalized Billing Units",'Normalized Units'!C:C,C64,'Normalized Units'!D:D,B64,'Normalized Units'!H:H,"kWh*")</f>
        <v>0</v>
      </c>
      <c r="J64" s="23">
        <f>SUMIFS(RVN!F:F,RVN!A:A,B64,RVN!J:J,C64)</f>
        <v>26769.200000000001</v>
      </c>
      <c r="K64" s="23" cm="1">
        <f t="array" ref="K64">IF(OR(C64={"Alt Rev Program","Blue Sky","Customer Bill Credits","DSM","Income Tax Defer Adj","Irr Demand Charge Accrual","Rev Adj Property Insur","Rev Adj"}),-J64,0)</f>
        <v>-26769.200000000001</v>
      </c>
      <c r="L64" s="23">
        <f>-SUMIFS(RVN!F:F,RVN!A:A,B64,RVN!B:B,"B",RVN!J:J,C64)</f>
        <v>0</v>
      </c>
      <c r="M64" s="23">
        <v>0</v>
      </c>
      <c r="N64" s="23">
        <f>SUMIFS('Normalized Units'!I:I,'Normalized Units'!B:B,"Temperature $ Normalization",'Normalized Units'!D:D,B64,'Normalized Units'!C:C,C64)</f>
        <v>0</v>
      </c>
      <c r="O64" s="23">
        <f t="shared" ref="O64:O77" si="18">(J64+K64+L64+M64+N64)*T64/100*7/12</f>
        <v>0</v>
      </c>
      <c r="P64" s="23">
        <f t="shared" ref="P64:P77" si="19">(J64+K64+L64+M64+N64)*U64/100*10/12</f>
        <v>0</v>
      </c>
      <c r="Q64" s="23">
        <f t="shared" si="3"/>
        <v>0</v>
      </c>
      <c r="R64" s="23">
        <v>0</v>
      </c>
      <c r="T64" s="133"/>
      <c r="U64" s="133"/>
      <c r="W64" s="13"/>
    </row>
    <row r="65" spans="2:23" ht="15.75" customHeight="1">
      <c r="B65" s="13" t="s">
        <v>116</v>
      </c>
      <c r="C65" s="38" t="s">
        <v>83</v>
      </c>
      <c r="D65" s="47">
        <f>SUMIFS(RVN!H:H,RVN!A:A,B65,RVN!J:J,C65)/12</f>
        <v>0</v>
      </c>
      <c r="E65" s="38" cm="1">
        <f t="array" ref="E65">IF(OR(C65={"Schedule 15","Schedule 51","Schedule 53"}),D65,SUMIFS('Normalized Units'!I:I,'Normalized Units'!H:H,"Bill",'Normalized Units'!C:C,C65,'Normalized Units'!D:D,B65)/12+SUM(SUMIFS('Normalized Units'!I:I,'Normalized Units'!H:H,{"Annual Bill","Load Size","Load Size Minimum"},'Normalized Units'!C:C,C65,'Normalized Units'!D:D,B65)))</f>
        <v>0</v>
      </c>
      <c r="F65" s="23">
        <f>SUMIFS(RVN!I:I,RVN!A:A,B65,RVN!J:J,C65)</f>
        <v>0</v>
      </c>
      <c r="G65" s="23">
        <f>SUMIFS('Normalized Units'!I:I,'Normalized Units'!B:B,"Temperature kWh Normalization",'Normalized Units'!C:C,C65,'Normalized Units'!D:D,B65)</f>
        <v>0</v>
      </c>
      <c r="H65" s="23">
        <f t="shared" ref="H65:H74" si="20">I65-G65-F65</f>
        <v>0</v>
      </c>
      <c r="I65" s="23">
        <f>SUMIFS('Normalized Units'!I:I,'Normalized Units'!B:B,"Normalized Billing Units",'Normalized Units'!C:C,C65,'Normalized Units'!D:D,B65,'Normalized Units'!H:H,"kWh*")</f>
        <v>0</v>
      </c>
      <c r="J65" s="23">
        <f>SUMIFS(RVN!F:F,RVN!A:A,B65,RVN!J:J,C65)</f>
        <v>2235.14</v>
      </c>
      <c r="K65" s="23" cm="1">
        <f t="array" ref="K65">IF(OR(C65={"Alt Rev Program","Blue Sky","Customer Bill Credits","DSM","Income Tax Defer Adj","Irr Demand Charge Accrual","Rev Adj Property Insur","Rev Adj"}),-J65,0)</f>
        <v>-2235.14</v>
      </c>
      <c r="L65" s="23">
        <f>-SUMIFS(RVN!F:F,RVN!A:A,B65,RVN!B:B,"B",RVN!J:J,C65)</f>
        <v>0</v>
      </c>
      <c r="M65" s="23">
        <v>0</v>
      </c>
      <c r="N65" s="23">
        <f>SUMIFS('Normalized Units'!I:I,'Normalized Units'!B:B,"Temperature $ Normalization",'Normalized Units'!D:D,B65,'Normalized Units'!C:C,C65)</f>
        <v>0</v>
      </c>
      <c r="O65" s="23">
        <f t="shared" si="18"/>
        <v>0</v>
      </c>
      <c r="P65" s="23">
        <f t="shared" si="19"/>
        <v>0</v>
      </c>
      <c r="Q65" s="23">
        <f t="shared" si="3"/>
        <v>0</v>
      </c>
      <c r="R65" s="23">
        <v>0</v>
      </c>
      <c r="T65" s="133"/>
      <c r="U65" s="133"/>
      <c r="W65" s="13"/>
    </row>
    <row r="66" spans="2:23" ht="15.75" customHeight="1">
      <c r="B66" s="13" t="s">
        <v>116</v>
      </c>
      <c r="C66" s="38" t="s">
        <v>87</v>
      </c>
      <c r="D66" s="47">
        <f>SUMIFS(RVN!H:H,RVN!A:A,B66,RVN!J:J,C66)/12</f>
        <v>0</v>
      </c>
      <c r="E66" s="38" cm="1">
        <f t="array" ref="E66">IF(OR(C66={"Schedule 15","Schedule 51","Schedule 53"}),D66,SUMIFS('Normalized Units'!I:I,'Normalized Units'!H:H,"Bill",'Normalized Units'!C:C,C66,'Normalized Units'!D:D,B66)/12+SUM(SUMIFS('Normalized Units'!I:I,'Normalized Units'!H:H,{"Annual Bill","Load Size","Load Size Minimum"},'Normalized Units'!C:C,C66,'Normalized Units'!D:D,B66)))</f>
        <v>0</v>
      </c>
      <c r="F66" s="23">
        <f>SUMIFS(RVN!I:I,RVN!A:A,B66,RVN!J:J,C66)</f>
        <v>0</v>
      </c>
      <c r="G66" s="23">
        <f>SUMIFS('Normalized Units'!I:I,'Normalized Units'!B:B,"Temperature kWh Normalization",'Normalized Units'!C:C,C66,'Normalized Units'!D:D,B66)</f>
        <v>0</v>
      </c>
      <c r="H66" s="23">
        <f t="shared" si="20"/>
        <v>0</v>
      </c>
      <c r="I66" s="23">
        <f>SUMIFS('Normalized Units'!I:I,'Normalized Units'!B:B,"Normalized Billing Units",'Normalized Units'!C:C,C66,'Normalized Units'!D:D,B66,'Normalized Units'!H:H,"kWh*")</f>
        <v>0</v>
      </c>
      <c r="J66" s="23">
        <f>SUMIFS(RVN!F:F,RVN!A:A,B66,RVN!J:J,C66)</f>
        <v>536487.11</v>
      </c>
      <c r="K66" s="23" cm="1">
        <f t="array" ref="K66">IF(OR(C66={"Alt Rev Program","Blue Sky","Customer Bill Credits","DSM","Income Tax Defer Adj","Irr Demand Charge Accrual","Rev Adj Property Insur","Rev Adj"}),-J66,0)</f>
        <v>-536487.11</v>
      </c>
      <c r="L66" s="23">
        <f>-SUMIFS(RVN!F:F,RVN!A:A,B66,RVN!B:B,"B",RVN!J:J,C66)</f>
        <v>0</v>
      </c>
      <c r="M66" s="23">
        <v>0</v>
      </c>
      <c r="N66" s="23">
        <f>SUMIFS('Normalized Units'!I:I,'Normalized Units'!B:B,"Temperature $ Normalization",'Normalized Units'!D:D,B66,'Normalized Units'!C:C,C66)</f>
        <v>0</v>
      </c>
      <c r="O66" s="23">
        <f t="shared" si="18"/>
        <v>0</v>
      </c>
      <c r="P66" s="23">
        <f t="shared" si="19"/>
        <v>0</v>
      </c>
      <c r="Q66" s="23">
        <f t="shared" si="3"/>
        <v>0</v>
      </c>
      <c r="R66" s="23">
        <v>0</v>
      </c>
      <c r="T66" s="133"/>
      <c r="U66" s="133"/>
      <c r="W66" s="13"/>
    </row>
    <row r="67" spans="2:23" ht="15.75" customHeight="1">
      <c r="B67" s="13" t="s">
        <v>116</v>
      </c>
      <c r="C67" s="38" t="s">
        <v>209</v>
      </c>
      <c r="D67" s="47">
        <f>SUMIFS(RVN!H:H,RVN!A:A,B67,RVN!J:J,C67)/12</f>
        <v>0</v>
      </c>
      <c r="E67" s="38" cm="1">
        <f t="array" ref="E67">IF(OR(C67={"Schedule 15","Schedule 51","Schedule 53"}),D67,SUMIFS('Normalized Units'!I:I,'Normalized Units'!H:H,"Bill",'Normalized Units'!C:C,C67,'Normalized Units'!D:D,B67)/12+SUM(SUMIFS('Normalized Units'!I:I,'Normalized Units'!H:H,{"Annual Bill","Load Size","Load Size Minimum"},'Normalized Units'!C:C,C67,'Normalized Units'!D:D,B67)))</f>
        <v>0</v>
      </c>
      <c r="F67" s="23">
        <f>SUMIFS(RVN!I:I,RVN!A:A,B67,RVN!J:J,C67)</f>
        <v>0</v>
      </c>
      <c r="G67" s="23">
        <f>SUMIFS('Normalized Units'!I:I,'Normalized Units'!B:B,"Temperature kWh Normalization",'Normalized Units'!C:C,C67,'Normalized Units'!D:D,B67)</f>
        <v>0</v>
      </c>
      <c r="H67" s="23">
        <f t="shared" si="20"/>
        <v>0</v>
      </c>
      <c r="I67" s="23">
        <f>SUMIFS('Normalized Units'!I:I,'Normalized Units'!B:B,"Normalized Billing Units",'Normalized Units'!C:C,C67,'Normalized Units'!D:D,B67,'Normalized Units'!H:H,"kWh*")</f>
        <v>0</v>
      </c>
      <c r="J67" s="23">
        <f>SUMIFS(RVN!F:F,RVN!A:A,B67,RVN!J:J,C67)</f>
        <v>61977.3</v>
      </c>
      <c r="K67" s="23" cm="1">
        <f t="array" ref="K67">IF(OR(C67={"Alt Rev Program","Blue Sky","Customer Bill Credits","DSM","Income Tax Defer Adj","Irr Demand Charge Accrual","Rev Adj Property Insur","Rev Adj"}),-J67,0)</f>
        <v>-61977.3</v>
      </c>
      <c r="L67" s="23">
        <f>-SUMIFS(RVN!F:F,RVN!A:A,B67,RVN!B:B,"B",RVN!J:J,C67)</f>
        <v>0</v>
      </c>
      <c r="M67" s="23">
        <v>0</v>
      </c>
      <c r="N67" s="23">
        <f>SUMIFS('Normalized Units'!I:I,'Normalized Units'!B:B,"Temperature $ Normalization",'Normalized Units'!D:D,B67,'Normalized Units'!C:C,C67)</f>
        <v>0</v>
      </c>
      <c r="O67" s="23">
        <f t="shared" si="18"/>
        <v>0</v>
      </c>
      <c r="P67" s="23">
        <f t="shared" si="19"/>
        <v>0</v>
      </c>
      <c r="Q67" s="23">
        <f t="shared" si="3"/>
        <v>0</v>
      </c>
      <c r="R67" s="23">
        <v>0</v>
      </c>
      <c r="T67" s="133"/>
      <c r="U67" s="133"/>
      <c r="W67" s="13"/>
    </row>
    <row r="68" spans="2:23" ht="15.75" customHeight="1">
      <c r="B68" s="13" t="s">
        <v>116</v>
      </c>
      <c r="C68" s="38" t="s">
        <v>258</v>
      </c>
      <c r="D68" s="47">
        <f>SUMIFS(RVN!H:H,RVN!A:A,B68,RVN!J:J,C68)/12</f>
        <v>0</v>
      </c>
      <c r="E68" s="38" cm="1">
        <f t="array" ref="E68">IF(OR(C68={"Schedule 15","Schedule 51","Schedule 53"}),D68,SUMIFS('Normalized Units'!I:I,'Normalized Units'!H:H,"Bill",'Normalized Units'!C:C,C68,'Normalized Units'!D:D,B68)/12+SUM(SUMIFS('Normalized Units'!I:I,'Normalized Units'!H:H,{"Annual Bill","Load Size","Load Size Minimum"},'Normalized Units'!C:C,C68,'Normalized Units'!D:D,B68)))</f>
        <v>0</v>
      </c>
      <c r="F68" s="23">
        <f>SUMIFS(RVN!I:I,RVN!A:A,B68,RVN!J:J,C68)</f>
        <v>0</v>
      </c>
      <c r="G68" s="23">
        <f>SUMIFS('Normalized Units'!I:I,'Normalized Units'!B:B,"Temperature kWh Normalization",'Normalized Units'!C:C,C68,'Normalized Units'!D:D,B68)</f>
        <v>0</v>
      </c>
      <c r="H68" s="23">
        <f t="shared" si="20"/>
        <v>0</v>
      </c>
      <c r="I68" s="23">
        <f>SUMIFS('Normalized Units'!I:I,'Normalized Units'!B:B,"Normalized Billing Units",'Normalized Units'!C:C,C68,'Normalized Units'!D:D,B68,'Normalized Units'!H:H,"kWh*")</f>
        <v>0</v>
      </c>
      <c r="J68" s="23">
        <f>SUMIFS(RVN!F:F,RVN!A:A,B68,RVN!J:J,C68)</f>
        <v>275000</v>
      </c>
      <c r="K68" s="23" cm="1">
        <f t="array" ref="K68">IF(OR(C68={"Alt Rev Program","Blue Sky","Customer Bill Credits","DSM","Income Tax Defer Adj","Irr Demand Charge Accrual","Rev Adj Property Insur","Rev Adj"}),-J68,0)</f>
        <v>-275000</v>
      </c>
      <c r="L68" s="23">
        <f>-SUMIFS(RVN!F:F,RVN!A:A,B68,RVN!B:B,"B",RVN!J:J,C68)</f>
        <v>0</v>
      </c>
      <c r="M68" s="23">
        <v>0</v>
      </c>
      <c r="N68" s="23">
        <f>SUMIFS('Normalized Units'!I:I,'Normalized Units'!B:B,"Temperature $ Normalization",'Normalized Units'!D:D,B68,'Normalized Units'!C:C,C68)</f>
        <v>0</v>
      </c>
      <c r="O68" s="23">
        <f t="shared" si="18"/>
        <v>0</v>
      </c>
      <c r="P68" s="23">
        <f t="shared" si="19"/>
        <v>0</v>
      </c>
      <c r="Q68" s="23">
        <f t="shared" si="3"/>
        <v>0</v>
      </c>
      <c r="R68" s="23">
        <v>0</v>
      </c>
      <c r="T68" s="133"/>
      <c r="U68" s="133"/>
      <c r="W68" s="13"/>
    </row>
    <row r="69" spans="2:23" ht="15.75" customHeight="1">
      <c r="B69" s="13" t="s">
        <v>116</v>
      </c>
      <c r="C69" s="38" t="s">
        <v>127</v>
      </c>
      <c r="D69" s="47">
        <f>SUMIFS(RVN!H:H,RVN!A:A,B69,RVN!J:J,C69)/12</f>
        <v>0</v>
      </c>
      <c r="E69" s="38" cm="1">
        <f t="array" ref="E69">IF(OR(C69={"Schedule 15","Schedule 51","Schedule 53"}),D69,SUMIFS('Normalized Units'!I:I,'Normalized Units'!H:H,"Bill",'Normalized Units'!C:C,C69,'Normalized Units'!D:D,B69)/12+SUM(SUMIFS('Normalized Units'!I:I,'Normalized Units'!H:H,{"Annual Bill","Load Size","Load Size Minimum"},'Normalized Units'!C:C,C69,'Normalized Units'!D:D,B69)))</f>
        <v>0</v>
      </c>
      <c r="F69" s="23">
        <f>SUMIFS(RVN!I:I,RVN!A:A,B69,RVN!J:J,C69)</f>
        <v>0</v>
      </c>
      <c r="G69" s="23">
        <f>SUMIFS('Normalized Units'!I:I,'Normalized Units'!B:B,"Temperature kWh Normalization",'Normalized Units'!C:C,C69,'Normalized Units'!D:D,B69)</f>
        <v>0</v>
      </c>
      <c r="H69" s="23">
        <f t="shared" si="20"/>
        <v>0</v>
      </c>
      <c r="I69" s="23">
        <f>SUMIFS('Normalized Units'!I:I,'Normalized Units'!B:B,"Normalized Billing Units",'Normalized Units'!C:C,C69,'Normalized Units'!D:D,B69,'Normalized Units'!H:H,"kWh*")</f>
        <v>0</v>
      </c>
      <c r="J69" s="23">
        <f>SUMIFS(RVN!F:F,RVN!A:A,B69,RVN!J:J,C69)</f>
        <v>5509.44</v>
      </c>
      <c r="K69" s="23" cm="1">
        <f t="array" ref="K69">IF(OR(C69={"Alt Rev Program","Blue Sky","Customer Bill Credits","DSM","Income Tax Defer Adj","Irr Demand Charge Accrual","Rev Adj Property Insur","Rev Adj"}),-J69,0)</f>
        <v>-5509.44</v>
      </c>
      <c r="L69" s="23">
        <f>-SUMIFS(RVN!F:F,RVN!A:A,B69,RVN!B:B,"B",RVN!J:J,C69)</f>
        <v>0</v>
      </c>
      <c r="M69" s="23">
        <v>0</v>
      </c>
      <c r="N69" s="23">
        <f>SUMIFS('Normalized Units'!I:I,'Normalized Units'!B:B,"Temperature $ Normalization",'Normalized Units'!D:D,B69,'Normalized Units'!C:C,C69)</f>
        <v>0</v>
      </c>
      <c r="O69" s="23">
        <f t="shared" si="18"/>
        <v>0</v>
      </c>
      <c r="P69" s="23">
        <f t="shared" si="19"/>
        <v>0</v>
      </c>
      <c r="Q69" s="23">
        <f t="shared" si="3"/>
        <v>0</v>
      </c>
      <c r="R69" s="23">
        <v>0</v>
      </c>
      <c r="T69" s="133"/>
      <c r="U69" s="133"/>
      <c r="W69" s="13"/>
    </row>
    <row r="70" spans="2:23" ht="15.75" customHeight="1">
      <c r="B70" s="13" t="s">
        <v>116</v>
      </c>
      <c r="C70" s="38" t="s">
        <v>110</v>
      </c>
      <c r="D70" s="47">
        <f>SUMIFS(RVN!H:H,RVN!A:A,B70,RVN!J:J,C70)/12</f>
        <v>0</v>
      </c>
      <c r="E70" s="38" cm="1">
        <f t="array" ref="E70">IF(OR(C70={"Schedule 15","Schedule 51","Schedule 53"}),D70,SUMIFS('Normalized Units'!I:I,'Normalized Units'!H:H,"Bill",'Normalized Units'!C:C,C70,'Normalized Units'!D:D,B70)/12+SUM(SUMIFS('Normalized Units'!I:I,'Normalized Units'!H:H,{"Annual Bill","Load Size","Load Size Minimum"},'Normalized Units'!C:C,C70,'Normalized Units'!D:D,B70)))</f>
        <v>0</v>
      </c>
      <c r="F70" s="23">
        <f>SUMIFS(RVN!I:I,RVN!A:A,B70,RVN!J:J,C70)</f>
        <v>0</v>
      </c>
      <c r="G70" s="23">
        <f>SUMIFS('Normalized Units'!I:I,'Normalized Units'!B:B,"Temperature kWh Normalization",'Normalized Units'!C:C,C70,'Normalized Units'!D:D,B70)</f>
        <v>0</v>
      </c>
      <c r="H70" s="23">
        <f t="shared" si="20"/>
        <v>0</v>
      </c>
      <c r="I70" s="23">
        <f>SUMIFS('Normalized Units'!I:I,'Normalized Units'!B:B,"Normalized Billing Units",'Normalized Units'!C:C,C70,'Normalized Units'!D:D,B70,'Normalized Units'!H:H,"kWh*")</f>
        <v>0</v>
      </c>
      <c r="J70" s="23">
        <f>SUMIFS(RVN!F:F,RVN!A:A,B70,RVN!J:J,C70)</f>
        <v>549518.66</v>
      </c>
      <c r="K70" s="23" cm="1">
        <f t="array" ref="K70">IF(OR(C70={"Alt Rev Program","Blue Sky","Customer Bill Credits","DSM","Income Tax Defer Adj","Irr Demand Charge Accrual","Rev Adj Property Insur","Rev Adj"}),-J70,0)</f>
        <v>-549518.66</v>
      </c>
      <c r="L70" s="23">
        <f>-SUMIFS(RVN!F:F,RVN!A:A,B70,RVN!B:B,"B",RVN!J:J,C70)</f>
        <v>0</v>
      </c>
      <c r="M70" s="23">
        <v>0</v>
      </c>
      <c r="N70" s="23">
        <f>SUMIFS('Normalized Units'!I:I,'Normalized Units'!B:B,"Temperature $ Normalization",'Normalized Units'!D:D,B70,'Normalized Units'!C:C,C70)</f>
        <v>0</v>
      </c>
      <c r="O70" s="23">
        <f t="shared" si="18"/>
        <v>0</v>
      </c>
      <c r="P70" s="23">
        <f t="shared" si="19"/>
        <v>0</v>
      </c>
      <c r="Q70" s="23">
        <f t="shared" si="3"/>
        <v>0</v>
      </c>
      <c r="R70" s="23">
        <v>0</v>
      </c>
      <c r="T70" s="133"/>
      <c r="U70" s="133"/>
      <c r="W70" s="13"/>
    </row>
    <row r="71" spans="2:23" ht="15.75" customHeight="1">
      <c r="B71" s="13" t="s">
        <v>116</v>
      </c>
      <c r="C71" s="38" t="s">
        <v>208</v>
      </c>
      <c r="D71" s="47">
        <f>SUMIFS(RVN!H:H,RVN!A:A,B71,RVN!J:J,C71)/12</f>
        <v>0</v>
      </c>
      <c r="E71" s="38" cm="1">
        <f t="array" ref="E71">IF(OR(C71={"Schedule 15","Schedule 51","Schedule 53"}),D71,SUMIFS('Normalized Units'!I:I,'Normalized Units'!H:H,"Bill",'Normalized Units'!C:C,C71,'Normalized Units'!D:D,B71)/12+SUM(SUMIFS('Normalized Units'!I:I,'Normalized Units'!H:H,{"Annual Bill","Load Size","Load Size Minimum"},'Normalized Units'!C:C,C71,'Normalized Units'!D:D,B71)))</f>
        <v>0</v>
      </c>
      <c r="F71" s="23">
        <f>SUMIFS(RVN!I:I,RVN!A:A,B71,RVN!J:J,C71)</f>
        <v>0</v>
      </c>
      <c r="G71" s="23">
        <f>SUMIFS('Normalized Units'!I:I,'Normalized Units'!B:B,"Temperature kWh Normalization",'Normalized Units'!C:C,C71,'Normalized Units'!D:D,B71)</f>
        <v>0</v>
      </c>
      <c r="H71" s="23">
        <f t="shared" si="20"/>
        <v>0</v>
      </c>
      <c r="I71" s="23">
        <f>SUMIFS('Normalized Units'!I:I,'Normalized Units'!B:B,"Normalized Billing Units",'Normalized Units'!C:C,C71,'Normalized Units'!D:D,B71,'Normalized Units'!H:H,"kWh*")</f>
        <v>0</v>
      </c>
      <c r="J71" s="23">
        <f>SUMIFS(RVN!F:F,RVN!A:A,B71,RVN!J:J,C71)</f>
        <v>16810.400000000001</v>
      </c>
      <c r="K71" s="23" cm="1">
        <f t="array" ref="K71">IF(OR(C71={"Alt Rev Program","Blue Sky","Customer Bill Credits","DSM","Income Tax Defer Adj","Irr Demand Charge Accrual","Rev Adj Property Insur","Rev Adj"}),-J71,0)</f>
        <v>0</v>
      </c>
      <c r="L71" s="23">
        <f>-SUMIFS(RVN!F:F,RVN!A:A,B71,RVN!B:B,"B",RVN!J:J,C71)</f>
        <v>-16810.400000000001</v>
      </c>
      <c r="M71" s="23">
        <v>0</v>
      </c>
      <c r="N71" s="23">
        <f>SUMIFS('Normalized Units'!I:I,'Normalized Units'!B:B,"Temperature $ Normalization",'Normalized Units'!D:D,B71,'Normalized Units'!C:C,C71)</f>
        <v>0</v>
      </c>
      <c r="O71" s="23">
        <f t="shared" si="18"/>
        <v>0</v>
      </c>
      <c r="P71" s="23">
        <f t="shared" si="19"/>
        <v>0</v>
      </c>
      <c r="Q71" s="23">
        <f t="shared" si="3"/>
        <v>0</v>
      </c>
      <c r="R71" s="23">
        <v>0</v>
      </c>
      <c r="T71" s="133"/>
      <c r="U71" s="133"/>
      <c r="W71" s="13"/>
    </row>
    <row r="72" spans="2:23" ht="15.75" customHeight="1">
      <c r="B72" s="13" t="s">
        <v>116</v>
      </c>
      <c r="C72" s="38" t="s">
        <v>161</v>
      </c>
      <c r="D72" s="47">
        <f>SUMIFS(RVN!H:H,RVN!A:A,B72,RVN!J:J,C72)/12</f>
        <v>0</v>
      </c>
      <c r="E72" s="38" cm="1">
        <f t="array" ref="E72">IF(OR(C72={"Schedule 15","Schedule 51","Schedule 53"}),D72,SUMIFS('Normalized Units'!I:I,'Normalized Units'!H:H,"Bill",'Normalized Units'!C:C,C72,'Normalized Units'!D:D,B72)/12+SUM(SUMIFS('Normalized Units'!I:I,'Normalized Units'!H:H,{"Annual Bill","Load Size","Load Size Minimum"},'Normalized Units'!C:C,C72,'Normalized Units'!D:D,B72)))</f>
        <v>0</v>
      </c>
      <c r="F72" s="23">
        <f>SUMIFS(RVN!I:I,RVN!A:A,B72,RVN!J:J,C72)</f>
        <v>0</v>
      </c>
      <c r="G72" s="23">
        <f>SUMIFS('Normalized Units'!I:I,'Normalized Units'!B:B,"Temperature kWh Normalization",'Normalized Units'!C:C,C72,'Normalized Units'!D:D,B72)</f>
        <v>0</v>
      </c>
      <c r="H72" s="23">
        <f t="shared" si="20"/>
        <v>0</v>
      </c>
      <c r="I72" s="23">
        <f>SUMIFS('Normalized Units'!I:I,'Normalized Units'!B:B,"Normalized Billing Units",'Normalized Units'!C:C,C72,'Normalized Units'!D:D,B72,'Normalized Units'!H:H,"kWh*")</f>
        <v>0</v>
      </c>
      <c r="J72" s="23">
        <f>SUMIFS(RVN!F:F,RVN!A:A,B72,RVN!J:J,C72)</f>
        <v>83580.22</v>
      </c>
      <c r="K72" s="23" cm="1">
        <f t="array" ref="K72">IF(OR(C72={"Alt Rev Program","Blue Sky","Customer Bill Credits","DSM","Income Tax Defer Adj","Irr Demand Charge Accrual","Rev Adj Property Insur","Rev Adj"}),-J72,0)</f>
        <v>0</v>
      </c>
      <c r="L72" s="23">
        <f>-SUMIFS(RVN!F:F,RVN!A:A,B72,RVN!B:B,"B",RVN!J:J,C72)</f>
        <v>-83580.22</v>
      </c>
      <c r="M72" s="23">
        <v>0</v>
      </c>
      <c r="N72" s="23">
        <f>SUMIFS('Normalized Units'!I:I,'Normalized Units'!B:B,"Temperature $ Normalization",'Normalized Units'!D:D,B72,'Normalized Units'!C:C,C72)</f>
        <v>0</v>
      </c>
      <c r="O72" s="23">
        <f t="shared" si="18"/>
        <v>0</v>
      </c>
      <c r="P72" s="23">
        <f t="shared" si="19"/>
        <v>0</v>
      </c>
      <c r="Q72" s="23">
        <f t="shared" si="3"/>
        <v>0</v>
      </c>
      <c r="R72" s="23">
        <v>0</v>
      </c>
      <c r="T72" s="133"/>
      <c r="U72" s="133"/>
      <c r="W72" s="13"/>
    </row>
    <row r="73" spans="2:23" ht="15.75" customHeight="1">
      <c r="B73" s="13" t="s">
        <v>116</v>
      </c>
      <c r="C73" s="47" t="s">
        <v>105</v>
      </c>
      <c r="D73" s="47">
        <f>SUMIFS(RVN!H:H,RVN!A:A,B73,RVN!J:J,C73)/12</f>
        <v>0</v>
      </c>
      <c r="E73" s="38" cm="1">
        <f t="array" ref="E73">IF(OR(C73={"Schedule 15","Schedule 51","Schedule 53"}),D73,SUMIFS('Normalized Units'!I:I,'Normalized Units'!H:H,"Bill",'Normalized Units'!C:C,C73,'Normalized Units'!D:D,B73)/12+SUM(SUMIFS('Normalized Units'!I:I,'Normalized Units'!H:H,{"Annual Bill","Load Size","Load Size Minimum"},'Normalized Units'!C:C,C73,'Normalized Units'!D:D,B73)))</f>
        <v>0</v>
      </c>
      <c r="F73" s="23">
        <f>SUMIFS(RVN!I:I,RVN!A:A,B73,RVN!J:J,C73)</f>
        <v>-10577000</v>
      </c>
      <c r="G73" s="23">
        <f>SUMIFS('Normalized Units'!I:I,'Normalized Units'!B:B,"Temperature kWh Normalization",'Normalized Units'!C:C,C73,'Normalized Units'!D:D,B73)</f>
        <v>0</v>
      </c>
      <c r="H73" s="23">
        <f t="shared" si="20"/>
        <v>10577000</v>
      </c>
      <c r="I73" s="23">
        <f>SUMIFS('Normalized Units'!I:I,'Normalized Units'!B:B,"Normalized Billing Units",'Normalized Units'!C:C,C73,'Normalized Units'!D:D,B73,'Normalized Units'!H:H,"kWh*")</f>
        <v>0</v>
      </c>
      <c r="J73" s="23">
        <f>SUMIFS(RVN!F:F,RVN!A:A,B73,RVN!J:J,C73)</f>
        <v>-1729000</v>
      </c>
      <c r="K73" s="23" cm="1">
        <f t="array" ref="K73">IF(OR(C73={"Alt Rev Program","Blue Sky","Customer Bill Credits","DSM","Income Tax Defer Adj","Irr Demand Charge Accrual","Rev Adj Property Insur","Rev Adj"}),-J73,0)</f>
        <v>0</v>
      </c>
      <c r="L73" s="23">
        <f>-SUMIFS(RVN!F:F,RVN!A:A,B73,RVN!B:B,"B",RVN!J:J,C73)</f>
        <v>0</v>
      </c>
      <c r="M73" s="23">
        <v>0</v>
      </c>
      <c r="N73" s="23">
        <f>SUMIFS('Normalized Units'!I:I,'Normalized Units'!B:B,"Temperature $ Normalization",'Normalized Units'!D:D,B73,'Normalized Units'!C:C,C73)</f>
        <v>0</v>
      </c>
      <c r="O73" s="23">
        <f t="shared" si="18"/>
        <v>0</v>
      </c>
      <c r="P73" s="23">
        <f t="shared" si="19"/>
        <v>0</v>
      </c>
      <c r="Q73" s="23">
        <f t="shared" si="3"/>
        <v>1729000</v>
      </c>
      <c r="R73" s="23">
        <v>0</v>
      </c>
      <c r="T73" s="133"/>
      <c r="U73" s="133"/>
      <c r="W73" s="13"/>
    </row>
    <row r="74" spans="2:23" ht="15.75" customHeight="1">
      <c r="B74" s="13" t="s">
        <v>116</v>
      </c>
      <c r="C74" s="40" t="s">
        <v>89</v>
      </c>
      <c r="D74" s="47">
        <f>SUMIFS(RVN!H:H,RVN!A:A,B74,RVN!J:J,C74)/12</f>
        <v>5129.416666666667</v>
      </c>
      <c r="E74" s="38" cm="1">
        <f t="array" ref="E74">IF(OR(C74={"Schedule 15","Schedule 51","Schedule 53"}),D74,SUMIFS('Normalized Units'!I:I,'Normalized Units'!H:H,"Bill",'Normalized Units'!C:C,C74,'Normalized Units'!D:D,B74)/12+SUM(SUMIFS('Normalized Units'!I:I,'Normalized Units'!H:H,{"Annual Bill","Load Size","Load Size Minimum"},'Normalized Units'!C:C,C74,'Normalized Units'!D:D,B74)))</f>
        <v>5140.8634747118504</v>
      </c>
      <c r="F74" s="23">
        <f>SUMIFS(RVN!I:I,RVN!A:A,B74,RVN!J:J,C74)</f>
        <v>166117899</v>
      </c>
      <c r="G74" s="23">
        <f>SUMIFS('Normalized Units'!I:I,'Normalized Units'!B:B,"Temperature kWh Normalization",'Normalized Units'!C:C,C74,'Normalized Units'!D:D,B74)</f>
        <v>-889650.20250000036</v>
      </c>
      <c r="H74" s="23">
        <f t="shared" si="20"/>
        <v>-12386761.63176176</v>
      </c>
      <c r="I74" s="23">
        <f>SUMIFS('Normalized Units'!I:I,'Normalized Units'!B:B,"Normalized Billing Units",'Normalized Units'!C:C,C74,'Normalized Units'!D:D,B74,'Normalized Units'!H:H,"kWh*")</f>
        <v>152841487.16573825</v>
      </c>
      <c r="J74" s="23">
        <f>SUMIFS(RVN!F:F,RVN!A:A,B74,RVN!J:J,C74)</f>
        <v>13636607.049999999</v>
      </c>
      <c r="K74" s="23" cm="1">
        <f t="array" ref="K74">IF(OR(C74={"Alt Rev Program","Blue Sky","Customer Bill Credits","DSM","Income Tax Defer Adj","Irr Demand Charge Accrual","Rev Adj Property Insur","Rev Adj"}),-J74,0)</f>
        <v>0</v>
      </c>
      <c r="L74" s="23">
        <f>-SUMIFS(RVN!F:F,RVN!A:A,B74,RVN!B:B,"B",RVN!J:J,C74)</f>
        <v>746154.2</v>
      </c>
      <c r="M74" s="23">
        <v>502807.73305000004</v>
      </c>
      <c r="N74" s="23">
        <f>SUMIFS('Normalized Units'!I:I,'Normalized Units'!B:B,"Temperature $ Normalization",'Normalized Units'!D:D,B74,'Normalized Units'!C:C,C74)</f>
        <v>-70255.676491425198</v>
      </c>
      <c r="O74" s="23">
        <f t="shared" si="18"/>
        <v>-40862.198104646144</v>
      </c>
      <c r="P74" s="23">
        <f t="shared" si="19"/>
        <v>1341367.5253418365</v>
      </c>
      <c r="Q74" s="23">
        <f t="shared" ref="Q74:Q86" si="21">R74-J74-K74-L74-M74-N74-O74-P74</f>
        <v>-1640802.2334989028</v>
      </c>
      <c r="R74" s="23">
        <f>SUM(Sch.40!S33:S47)</f>
        <v>14475016.400296861</v>
      </c>
      <c r="T74" s="133">
        <v>-0.47281809716502959</v>
      </c>
      <c r="U74" s="133">
        <v>10.864711377366778</v>
      </c>
      <c r="W74" s="13"/>
    </row>
    <row r="75" spans="2:23" ht="15.75" customHeight="1">
      <c r="B75" s="13" t="s">
        <v>116</v>
      </c>
      <c r="C75" s="49" t="s">
        <v>305</v>
      </c>
      <c r="D75" s="47">
        <f>SUMIFS(RVN!H:H,RVN!A:A,B75,RVN!J:J,C75)/12</f>
        <v>0</v>
      </c>
      <c r="E75" s="38" cm="1">
        <f t="array" ref="E75">IF(OR(C75={"Schedule 15","Schedule 51","Schedule 53"}),D75,SUMIFS('Normalized Units'!I:I,'Normalized Units'!H:H,"Bill",'Normalized Units'!C:C,C75,'Normalized Units'!D:D,B75)/12+SUM(SUMIFS('Normalized Units'!I:I,'Normalized Units'!H:H,{"Annual Bill","Load Size","Load Size Minimum"},'Normalized Units'!C:C,C75,'Normalized Units'!D:D,B75)))</f>
        <v>0</v>
      </c>
      <c r="F75" s="23">
        <f>SUMIFS(RVN!I:I,RVN!A:A,B75,RVN!J:J,C75)</f>
        <v>0</v>
      </c>
      <c r="G75" s="23">
        <f>SUMIFS('Normalized Units'!I:I,'Normalized Units'!B:B,"Temperature kWh Normalization",'Normalized Units'!C:C,C75,'Normalized Units'!D:D,B75)</f>
        <v>0</v>
      </c>
      <c r="H75" s="23">
        <f t="shared" ref="H75:H77" si="22">I75-G75-F75</f>
        <v>0</v>
      </c>
      <c r="I75" s="23">
        <f>SUMIFS('Normalized Units'!I:I,'Normalized Units'!B:B,"Normalized Billing Units",'Normalized Units'!C:C,C75,'Normalized Units'!D:D,B75,'Normalized Units'!H:H,"kWh*")</f>
        <v>0</v>
      </c>
      <c r="J75" s="23">
        <f>SUMIFS(RVN!F:F,RVN!A:A,B75,RVN!J:J,C75)</f>
        <v>0</v>
      </c>
      <c r="K75" s="23" cm="1">
        <f t="array" ref="K75">IF(OR(C75={"Alt Rev Program","Blue Sky","Customer Bill Credits","DSM","Income Tax Defer Adj","Irr Demand Charge Accrual","Rev Adj Property Insur","Rev Adj"}),-J75,0)</f>
        <v>0</v>
      </c>
      <c r="L75" s="23">
        <f>-SUMIFS(RVN!F:F,RVN!A:A,B75,RVN!B:B,"B",RVN!J:J,C75)</f>
        <v>0</v>
      </c>
      <c r="M75" s="23">
        <v>0</v>
      </c>
      <c r="N75" s="23">
        <f>SUMIFS('Normalized Units'!I:I,'Normalized Units'!B:B,"Temperature $ Normalization",'Normalized Units'!D:D,B75,'Normalized Units'!C:C,C75)</f>
        <v>0</v>
      </c>
      <c r="O75" s="23">
        <f t="shared" si="18"/>
        <v>0</v>
      </c>
      <c r="P75" s="23">
        <f t="shared" si="19"/>
        <v>0</v>
      </c>
      <c r="Q75" s="23">
        <f t="shared" si="21"/>
        <v>-7254</v>
      </c>
      <c r="R75" s="23">
        <f>'AutoPay&amp;Paperless'!F21</f>
        <v>-7254</v>
      </c>
      <c r="T75" s="133"/>
      <c r="U75" s="133"/>
      <c r="W75" s="13"/>
    </row>
    <row r="76" spans="2:23" ht="15.75" customHeight="1">
      <c r="B76" s="13" t="s">
        <v>116</v>
      </c>
      <c r="C76" s="49" t="s">
        <v>306</v>
      </c>
      <c r="D76" s="47">
        <f>SUMIFS(RVN!H:H,RVN!A:A,B76,RVN!J:J,C76)/12</f>
        <v>0</v>
      </c>
      <c r="E76" s="38" cm="1">
        <f t="array" ref="E76">IF(OR(C76={"Schedule 15","Schedule 51","Schedule 53"}),D76,SUMIFS('Normalized Units'!I:I,'Normalized Units'!H:H,"Bill",'Normalized Units'!C:C,C76,'Normalized Units'!D:D,B76)/12+SUM(SUMIFS('Normalized Units'!I:I,'Normalized Units'!H:H,{"Annual Bill","Load Size","Load Size Minimum"},'Normalized Units'!C:C,C76,'Normalized Units'!D:D,B76)))</f>
        <v>0</v>
      </c>
      <c r="F76" s="23">
        <f>SUMIFS(RVN!I:I,RVN!A:A,B76,RVN!J:J,C76)</f>
        <v>0</v>
      </c>
      <c r="G76" s="23">
        <f>SUMIFS('Normalized Units'!I:I,'Normalized Units'!B:B,"Temperature kWh Normalization",'Normalized Units'!C:C,C76,'Normalized Units'!D:D,B76)</f>
        <v>0</v>
      </c>
      <c r="H76" s="23">
        <f t="shared" si="22"/>
        <v>0</v>
      </c>
      <c r="I76" s="23">
        <f>SUMIFS('Normalized Units'!I:I,'Normalized Units'!B:B,"Normalized Billing Units",'Normalized Units'!C:C,C76,'Normalized Units'!D:D,B76,'Normalized Units'!H:H,"kWh*")</f>
        <v>0</v>
      </c>
      <c r="J76" s="23">
        <f>SUMIFS(RVN!F:F,RVN!A:A,B76,RVN!J:J,C76)</f>
        <v>0</v>
      </c>
      <c r="K76" s="23" cm="1">
        <f t="array" ref="K76">IF(OR(C76={"Alt Rev Program","Blue Sky","Customer Bill Credits","DSM","Income Tax Defer Adj","Irr Demand Charge Accrual","Rev Adj Property Insur","Rev Adj"}),-J76,0)</f>
        <v>0</v>
      </c>
      <c r="L76" s="23">
        <f>-SUMIFS(RVN!F:F,RVN!A:A,B76,RVN!B:B,"B",RVN!J:J,C76)</f>
        <v>0</v>
      </c>
      <c r="M76" s="23">
        <v>0</v>
      </c>
      <c r="N76" s="23">
        <f>SUMIFS('Normalized Units'!I:I,'Normalized Units'!B:B,"Temperature $ Normalization",'Normalized Units'!D:D,B76,'Normalized Units'!C:C,C76)</f>
        <v>0</v>
      </c>
      <c r="O76" s="23">
        <f t="shared" si="18"/>
        <v>0</v>
      </c>
      <c r="P76" s="23">
        <f t="shared" si="19"/>
        <v>0</v>
      </c>
      <c r="Q76" s="23">
        <f t="shared" si="21"/>
        <v>-6384.5</v>
      </c>
      <c r="R76" s="23">
        <f>'AutoPay&amp;Paperless'!F22</f>
        <v>-6384.5</v>
      </c>
      <c r="T76" s="133"/>
      <c r="U76" s="133"/>
      <c r="W76" s="13"/>
    </row>
    <row r="77" spans="2:23" ht="15.75" customHeight="1">
      <c r="B77" s="13" t="s">
        <v>116</v>
      </c>
      <c r="C77" s="18" t="s">
        <v>288</v>
      </c>
      <c r="D77" s="47">
        <f>SUMIFS(RVN!H:H,RVN!A:A,B77,RVN!J:J,C77)/12</f>
        <v>0</v>
      </c>
      <c r="E77" s="38" cm="1">
        <f t="array" ref="E77">IF(OR(C77={"Schedule 15","Schedule 51","Schedule 53"}),D77,SUMIFS('Normalized Units'!I:I,'Normalized Units'!H:H,"Bill",'Normalized Units'!C:C,C77,'Normalized Units'!D:D,B77)/12+SUM(SUMIFS('Normalized Units'!I:I,'Normalized Units'!H:H,{"Annual Bill","Load Size","Load Size Minimum"},'Normalized Units'!C:C,C77,'Normalized Units'!D:D,B77)))</f>
        <v>0</v>
      </c>
      <c r="F77" s="23">
        <f>SUMIFS(RVN!I:I,RVN!A:A,B77,RVN!J:J,C77)</f>
        <v>0</v>
      </c>
      <c r="G77" s="23">
        <f>SUMIFS('Normalized Units'!I:I,'Normalized Units'!B:B,"Temperature kWh Normalization",'Normalized Units'!C:C,C77,'Normalized Units'!D:D,B77)</f>
        <v>0</v>
      </c>
      <c r="H77" s="23">
        <f t="shared" si="22"/>
        <v>0</v>
      </c>
      <c r="I77" s="23">
        <f>SUMIFS('Normalized Units'!I:I,'Normalized Units'!B:B,"Normalized Billing Units",'Normalized Units'!C:C,C77,'Normalized Units'!D:D,B77,'Normalized Units'!H:H,"kWh*")</f>
        <v>0</v>
      </c>
      <c r="J77" s="23">
        <f>SUMIFS(RVN!F:F,RVN!A:A,B77,RVN!J:J,C77)</f>
        <v>140318.37</v>
      </c>
      <c r="K77" s="23" cm="1">
        <f t="array" ref="K77">IF(OR(C77={"Alt Rev Program","Blue Sky","Customer Bill Credits","DSM","Income Tax Defer Adj","Irr Demand Charge Accrual","Rev Adj Property Insur","Rev Adj"}),-J77,0)</f>
        <v>0</v>
      </c>
      <c r="L77" s="23">
        <f>-SUMIFS(RVN!F:F,RVN!A:A,B77,RVN!B:B,"B",RVN!J:J,C77)</f>
        <v>0</v>
      </c>
      <c r="M77" s="23">
        <v>0</v>
      </c>
      <c r="N77" s="23">
        <f>SUMIFS('Normalized Units'!I:I,'Normalized Units'!B:B,"Temperature $ Normalization",'Normalized Units'!D:D,B77,'Normalized Units'!C:C,C77)</f>
        <v>0</v>
      </c>
      <c r="O77" s="23">
        <f t="shared" si="18"/>
        <v>0</v>
      </c>
      <c r="P77" s="23">
        <f t="shared" si="19"/>
        <v>0</v>
      </c>
      <c r="Q77" s="23">
        <f t="shared" si="21"/>
        <v>0</v>
      </c>
      <c r="R77" s="23">
        <f>J77</f>
        <v>140318.37</v>
      </c>
      <c r="T77" s="133"/>
      <c r="U77" s="133"/>
      <c r="W77" s="13"/>
    </row>
    <row r="78" spans="2:23" ht="15.75" customHeight="1">
      <c r="B78" s="20" t="s">
        <v>116</v>
      </c>
      <c r="C78" s="21" t="s">
        <v>0</v>
      </c>
      <c r="D78" s="24">
        <f t="shared" ref="D78:R78" si="23">SUM(D64:D77)</f>
        <v>5129.416666666667</v>
      </c>
      <c r="E78" s="24">
        <f t="shared" si="23"/>
        <v>5140.8634747118504</v>
      </c>
      <c r="F78" s="24">
        <f t="shared" si="23"/>
        <v>155540899</v>
      </c>
      <c r="G78" s="24">
        <f t="shared" si="23"/>
        <v>-889650.20250000036</v>
      </c>
      <c r="H78" s="24">
        <f t="shared" si="23"/>
        <v>-1809761.6317617595</v>
      </c>
      <c r="I78" s="24">
        <f t="shared" si="23"/>
        <v>152841487.16573825</v>
      </c>
      <c r="J78" s="24">
        <f t="shared" si="23"/>
        <v>13605812.889999999</v>
      </c>
      <c r="K78" s="24">
        <f t="shared" si="23"/>
        <v>-1457496.85</v>
      </c>
      <c r="L78" s="24">
        <f t="shared" si="23"/>
        <v>645763.57999999996</v>
      </c>
      <c r="M78" s="24">
        <f t="shared" si="23"/>
        <v>502807.73305000004</v>
      </c>
      <c r="N78" s="24">
        <f t="shared" si="23"/>
        <v>-70255.676491425198</v>
      </c>
      <c r="O78" s="24">
        <f t="shared" si="23"/>
        <v>-40862.198104646144</v>
      </c>
      <c r="P78" s="24">
        <f t="shared" si="23"/>
        <v>1341367.5253418365</v>
      </c>
      <c r="Q78" s="24">
        <f t="shared" si="23"/>
        <v>74559.266501097241</v>
      </c>
      <c r="R78" s="24">
        <f t="shared" si="23"/>
        <v>14601696.27029686</v>
      </c>
      <c r="T78" s="133"/>
      <c r="U78" s="133"/>
      <c r="W78" s="13"/>
    </row>
    <row r="79" spans="2:23" ht="15.75" customHeight="1">
      <c r="B79" s="13"/>
      <c r="C79" s="41"/>
      <c r="D79" s="19"/>
      <c r="E79" s="45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T79" s="133"/>
      <c r="U79" s="133"/>
      <c r="W79" s="13"/>
    </row>
    <row r="80" spans="2:23" ht="15.75" customHeight="1">
      <c r="B80" s="13" t="s">
        <v>104</v>
      </c>
      <c r="C80" s="38" t="s">
        <v>87</v>
      </c>
      <c r="D80" s="47">
        <f>SUMIFS(RVN!H:H,RVN!A:A,B80,RVN!J:J,C80)/12</f>
        <v>0</v>
      </c>
      <c r="E80" s="38" cm="1">
        <f t="array" ref="E80">IF(OR(C80={"Schedule 15","Schedule 51","Schedule 53"}),D80,SUMIFS('Normalized Units'!I:I,'Normalized Units'!H:H,"Bill",'Normalized Units'!C:C,C80,'Normalized Units'!D:D,B80)/12+SUM(SUMIFS('Normalized Units'!I:I,'Normalized Units'!H:H,{"Annual Bill","Load Size","Load Size Minimum"},'Normalized Units'!C:C,C80,'Normalized Units'!D:D,B80)))</f>
        <v>0</v>
      </c>
      <c r="F80" s="23">
        <f>SUMIFS(RVN!I:I,RVN!A:A,B80,RVN!J:J,C80)</f>
        <v>0</v>
      </c>
      <c r="G80" s="23">
        <f>SUMIFS('Normalized Units'!I:I,'Normalized Units'!B:B,"Temperature kWh Normalization",'Normalized Units'!C:C,C80,'Normalized Units'!D:D,B80)</f>
        <v>0</v>
      </c>
      <c r="H80" s="23">
        <f>I80-G80-F80</f>
        <v>0</v>
      </c>
      <c r="I80" s="23">
        <f>SUMIFS('Normalized Units'!I:I,'Normalized Units'!B:B,"Normalized Billing Units",'Normalized Units'!C:C,C80,'Normalized Units'!D:D,B80,'Normalized Units'!H:H,"kWh*")</f>
        <v>0</v>
      </c>
      <c r="J80" s="23">
        <f>SUMIFS(RVN!F:F,RVN!A:A,B80,RVN!J:J,C80)</f>
        <v>11595.93</v>
      </c>
      <c r="K80" s="23" cm="1">
        <f t="array" ref="K80">IF(OR(C80={"Alt Rev Program","Blue Sky","Customer Bill Credits","DSM","Income Tax Defer Adj","Irr Demand Charge Accrual","Rev Adj Property Insur","Rev Adj"}),-J80,0)</f>
        <v>-11595.93</v>
      </c>
      <c r="L80" s="23">
        <f>-SUMIFS(RVN!F:F,RVN!A:A,B80,RVN!B:B,"B",RVN!J:J,C80)</f>
        <v>0</v>
      </c>
      <c r="M80" s="23">
        <v>0</v>
      </c>
      <c r="N80" s="23">
        <f>SUMIFS('Normalized Units'!I:I,'Normalized Units'!B:B,"Temperature $ Normalization",'Normalized Units'!D:D,B80,'Normalized Units'!C:C,C80)</f>
        <v>0</v>
      </c>
      <c r="O80" s="23">
        <f t="shared" ref="O80:O86" si="24">(J80+K80+L80+M80+N80)*T80/100*7/12</f>
        <v>0</v>
      </c>
      <c r="P80" s="23">
        <f t="shared" ref="P80:P86" si="25">(J80+K80+L80+M80+N80)*U80/100*10/12</f>
        <v>0</v>
      </c>
      <c r="Q80" s="23">
        <f t="shared" si="21"/>
        <v>0</v>
      </c>
      <c r="R80" s="23">
        <v>0</v>
      </c>
      <c r="T80" s="133"/>
      <c r="U80" s="133"/>
      <c r="W80" s="13"/>
    </row>
    <row r="81" spans="1:23" ht="15.75" customHeight="1">
      <c r="B81" s="13" t="s">
        <v>104</v>
      </c>
      <c r="C81" s="38" t="s">
        <v>209</v>
      </c>
      <c r="D81" s="47">
        <f>SUMIFS(RVN!H:H,RVN!A:A,B81,RVN!J:J,C81)/12</f>
        <v>0</v>
      </c>
      <c r="E81" s="38" cm="1">
        <f t="array" ref="E81">IF(OR(C81={"Schedule 15","Schedule 51","Schedule 53"}),D81,SUMIFS('Normalized Units'!I:I,'Normalized Units'!H:H,"Bill",'Normalized Units'!C:C,C81,'Normalized Units'!D:D,B81)/12+SUM(SUMIFS('Normalized Units'!I:I,'Normalized Units'!H:H,{"Annual Bill","Load Size","Load Size Minimum"},'Normalized Units'!C:C,C81,'Normalized Units'!D:D,B81)))</f>
        <v>0</v>
      </c>
      <c r="F81" s="23">
        <f>SUMIFS(RVN!I:I,RVN!A:A,B81,RVN!J:J,C81)</f>
        <v>0</v>
      </c>
      <c r="G81" s="23">
        <f>SUMIFS('Normalized Units'!I:I,'Normalized Units'!B:B,"Temperature kWh Normalization",'Normalized Units'!C:C,C81,'Normalized Units'!D:D,B81)</f>
        <v>0</v>
      </c>
      <c r="H81" s="23">
        <f t="shared" ref="H81:H86" si="26">I81-G81-F81</f>
        <v>0</v>
      </c>
      <c r="I81" s="23">
        <f>SUMIFS('Normalized Units'!I:I,'Normalized Units'!B:B,"Normalized Billing Units",'Normalized Units'!C:C,C81,'Normalized Units'!D:D,B81,'Normalized Units'!H:H,"kWh*")</f>
        <v>0</v>
      </c>
      <c r="J81" s="23">
        <f>SUMIFS(RVN!F:F,RVN!A:A,B81,RVN!J:J,C81)</f>
        <v>3821.16</v>
      </c>
      <c r="K81" s="23" cm="1">
        <f t="array" ref="K81">IF(OR(C81={"Alt Rev Program","Blue Sky","Customer Bill Credits","DSM","Income Tax Defer Adj","Irr Demand Charge Accrual","Rev Adj Property Insur","Rev Adj"}),-J81,0)</f>
        <v>-3821.16</v>
      </c>
      <c r="L81" s="23">
        <f>-SUMIFS(RVN!F:F,RVN!A:A,B81,RVN!B:B,"B",RVN!J:J,C81)</f>
        <v>0</v>
      </c>
      <c r="M81" s="23">
        <v>0</v>
      </c>
      <c r="N81" s="23">
        <f>SUMIFS('Normalized Units'!I:I,'Normalized Units'!B:B,"Temperature $ Normalization",'Normalized Units'!D:D,B81,'Normalized Units'!C:C,C81)</f>
        <v>0</v>
      </c>
      <c r="O81" s="23">
        <f t="shared" si="24"/>
        <v>0</v>
      </c>
      <c r="P81" s="23">
        <f t="shared" si="25"/>
        <v>0</v>
      </c>
      <c r="Q81" s="23">
        <f t="shared" si="21"/>
        <v>0</v>
      </c>
      <c r="R81" s="23">
        <v>0</v>
      </c>
      <c r="T81" s="133"/>
      <c r="U81" s="133"/>
      <c r="W81" s="13"/>
    </row>
    <row r="82" spans="1:23" ht="15.75" customHeight="1">
      <c r="B82" s="13" t="s">
        <v>104</v>
      </c>
      <c r="C82" s="38" t="s">
        <v>110</v>
      </c>
      <c r="D82" s="47">
        <f>SUMIFS(RVN!H:H,RVN!A:A,B82,RVN!J:J,C82)/12</f>
        <v>0</v>
      </c>
      <c r="E82" s="38" cm="1">
        <f t="array" ref="E82">IF(OR(C82={"Schedule 15","Schedule 51","Schedule 53"}),D82,SUMIFS('Normalized Units'!I:I,'Normalized Units'!H:H,"Bill",'Normalized Units'!C:C,C82,'Normalized Units'!D:D,B82)/12+SUM(SUMIFS('Normalized Units'!I:I,'Normalized Units'!H:H,{"Annual Bill","Load Size","Load Size Minimum"},'Normalized Units'!C:C,C82,'Normalized Units'!D:D,B82)))</f>
        <v>0</v>
      </c>
      <c r="F82" s="23">
        <f>SUMIFS(RVN!I:I,RVN!A:A,B82,RVN!J:J,C82)</f>
        <v>0</v>
      </c>
      <c r="G82" s="23">
        <f>SUMIFS('Normalized Units'!I:I,'Normalized Units'!B:B,"Temperature kWh Normalization",'Normalized Units'!C:C,C82,'Normalized Units'!D:D,B82)</f>
        <v>0</v>
      </c>
      <c r="H82" s="23">
        <f t="shared" si="26"/>
        <v>0</v>
      </c>
      <c r="I82" s="23">
        <f>SUMIFS('Normalized Units'!I:I,'Normalized Units'!B:B,"Normalized Billing Units",'Normalized Units'!C:C,C82,'Normalized Units'!D:D,B82,'Normalized Units'!H:H,"kWh*")</f>
        <v>0</v>
      </c>
      <c r="J82" s="23">
        <f>SUMIFS(RVN!F:F,RVN!A:A,B82,RVN!J:J,C82)</f>
        <v>2413.6799999999998</v>
      </c>
      <c r="K82" s="23" cm="1">
        <f t="array" ref="K82">IF(OR(C82={"Alt Rev Program","Blue Sky","Customer Bill Credits","DSM","Income Tax Defer Adj","Irr Demand Charge Accrual","Rev Adj Property Insur","Rev Adj"}),-J82,0)</f>
        <v>-2413.6799999999998</v>
      </c>
      <c r="L82" s="23">
        <f>-SUMIFS(RVN!F:F,RVN!A:A,B82,RVN!B:B,"B",RVN!J:J,C82)</f>
        <v>0</v>
      </c>
      <c r="M82" s="23">
        <v>0</v>
      </c>
      <c r="N82" s="23">
        <f>SUMIFS('Normalized Units'!I:I,'Normalized Units'!B:B,"Temperature $ Normalization",'Normalized Units'!D:D,B82,'Normalized Units'!C:C,C82)</f>
        <v>0</v>
      </c>
      <c r="O82" s="23">
        <f t="shared" si="24"/>
        <v>0</v>
      </c>
      <c r="P82" s="23">
        <f t="shared" si="25"/>
        <v>0</v>
      </c>
      <c r="Q82" s="23">
        <f t="shared" si="21"/>
        <v>0</v>
      </c>
      <c r="R82" s="23">
        <v>0</v>
      </c>
      <c r="T82" s="133"/>
      <c r="U82" s="133"/>
      <c r="W82" s="13"/>
    </row>
    <row r="83" spans="1:23" ht="15.75" customHeight="1">
      <c r="B83" s="13" t="s">
        <v>104</v>
      </c>
      <c r="C83" s="47" t="s">
        <v>105</v>
      </c>
      <c r="D83" s="47">
        <f>SUMIFS(RVN!H:H,RVN!A:A,B83,RVN!J:J,C83)/12</f>
        <v>0</v>
      </c>
      <c r="E83" s="38" cm="1">
        <f t="array" ref="E83">IF(OR(C83={"Schedule 15","Schedule 51","Schedule 53"}),D83,SUMIFS('Normalized Units'!I:I,'Normalized Units'!H:H,"Bill",'Normalized Units'!C:C,C83,'Normalized Units'!D:D,B83)/12+SUM(SUMIFS('Normalized Units'!I:I,'Normalized Units'!H:H,{"Annual Bill","Load Size","Load Size Minimum"},'Normalized Units'!C:C,C83,'Normalized Units'!D:D,B83)))</f>
        <v>0</v>
      </c>
      <c r="F83" s="23">
        <f>SUMIFS(RVN!I:I,RVN!A:A,B83,RVN!J:J,C83)</f>
        <v>-290000</v>
      </c>
      <c r="G83" s="23">
        <f>SUMIFS('Normalized Units'!I:I,'Normalized Units'!B:B,"Temperature kWh Normalization",'Normalized Units'!C:C,C83,'Normalized Units'!D:D,B83)</f>
        <v>0</v>
      </c>
      <c r="H83" s="23">
        <f t="shared" si="26"/>
        <v>290000</v>
      </c>
      <c r="I83" s="23">
        <f>SUMIFS('Normalized Units'!I:I,'Normalized Units'!B:B,"Normalized Billing Units",'Normalized Units'!C:C,C83,'Normalized Units'!D:D,B83,'Normalized Units'!H:H,"kWh*")</f>
        <v>0</v>
      </c>
      <c r="J83" s="23">
        <f>SUMIFS(RVN!F:F,RVN!A:A,B83,RVN!J:J,C83)</f>
        <v>-41000</v>
      </c>
      <c r="K83" s="23" cm="1">
        <f t="array" ref="K83">IF(OR(C83={"Alt Rev Program","Blue Sky","Customer Bill Credits","DSM","Income Tax Defer Adj","Irr Demand Charge Accrual","Rev Adj Property Insur","Rev Adj"}),-J83,0)</f>
        <v>0</v>
      </c>
      <c r="L83" s="23">
        <f>-SUMIFS(RVN!F:F,RVN!A:A,B83,RVN!B:B,"B",RVN!J:J,C83)</f>
        <v>0</v>
      </c>
      <c r="M83" s="23">
        <v>0</v>
      </c>
      <c r="N83" s="23">
        <f>SUMIFS('Normalized Units'!I:I,'Normalized Units'!B:B,"Temperature $ Normalization",'Normalized Units'!D:D,B83,'Normalized Units'!C:C,C83)</f>
        <v>0</v>
      </c>
      <c r="O83" s="23">
        <f t="shared" si="24"/>
        <v>0</v>
      </c>
      <c r="P83" s="23">
        <f t="shared" si="25"/>
        <v>0</v>
      </c>
      <c r="Q83" s="23">
        <f t="shared" si="21"/>
        <v>41000</v>
      </c>
      <c r="R83" s="23">
        <v>0</v>
      </c>
      <c r="T83" s="133"/>
      <c r="U83" s="133"/>
      <c r="W83" s="13"/>
    </row>
    <row r="84" spans="1:23" ht="15.75" customHeight="1">
      <c r="B84" s="13" t="s">
        <v>104</v>
      </c>
      <c r="C84" s="40" t="s">
        <v>107</v>
      </c>
      <c r="D84" s="47">
        <f>SUMIFS(RVN!H:H,RVN!A:A,B84,RVN!J:J,C84)/12</f>
        <v>225.91666666666666</v>
      </c>
      <c r="E84" s="38" cm="1">
        <f t="array" ref="E84">IF(OR(C84={"Schedule 15","Schedule 51","Schedule 53"}),D84,SUMIFS('Normalized Units'!I:I,'Normalized Units'!H:H,"Bill",'Normalized Units'!C:C,C84,'Normalized Units'!D:D,B84)/12+SUM(SUMIFS('Normalized Units'!I:I,'Normalized Units'!H:H,{"Annual Bill","Load Size","Load Size Minimum"},'Normalized Units'!C:C,C84,'Normalized Units'!D:D,B84)))</f>
        <v>225.91666666666666</v>
      </c>
      <c r="F84" s="23">
        <f>SUMIFS(RVN!I:I,RVN!A:A,B84,RVN!J:J,C84)</f>
        <v>1962495</v>
      </c>
      <c r="G84" s="23">
        <f>SUMIFS('Normalized Units'!I:I,'Normalized Units'!B:B,"Temperature kWh Normalization",'Normalized Units'!C:C,C84,'Normalized Units'!D:D,B84)</f>
        <v>0</v>
      </c>
      <c r="H84" s="23">
        <f t="shared" si="26"/>
        <v>-142277.62306893896</v>
      </c>
      <c r="I84" s="23">
        <f>SUMIFS('Normalized Units'!I:I,'Normalized Units'!B:B,"Normalized Billing Units",'Normalized Units'!C:C,C84,'Normalized Units'!D:D,B84,'Normalized Units'!H:H,"kWh*")</f>
        <v>1820217.376931061</v>
      </c>
      <c r="J84" s="23">
        <f>SUMIFS(RVN!F:F,RVN!A:A,B84,RVN!J:J,C84)</f>
        <v>444222.36</v>
      </c>
      <c r="K84" s="23" cm="1">
        <f t="array" ref="K84">IF(OR(C84={"Alt Rev Program","Blue Sky","Customer Bill Credits","DSM","Income Tax Defer Adj","Irr Demand Charge Accrual","Rev Adj Property Insur","Rev Adj"}),-J84,0)</f>
        <v>0</v>
      </c>
      <c r="L84" s="23">
        <f>-SUMIFS(RVN!F:F,RVN!A:A,B84,RVN!B:B,"B",RVN!J:J,C84)</f>
        <v>0</v>
      </c>
      <c r="M84" s="23">
        <v>2801.9686094780027</v>
      </c>
      <c r="N84" s="23">
        <f>SUMIFS('Normalized Units'!I:I,'Normalized Units'!B:B,"Temperature $ Normalization",'Normalized Units'!D:D,B84,'Normalized Units'!C:C,C84)</f>
        <v>0</v>
      </c>
      <c r="O84" s="23">
        <f t="shared" si="24"/>
        <v>-441.68222203751748</v>
      </c>
      <c r="P84" s="23">
        <f t="shared" si="25"/>
        <v>27989.117417954447</v>
      </c>
      <c r="Q84" s="23">
        <f t="shared" si="21"/>
        <v>-10300.802474574288</v>
      </c>
      <c r="R84" s="23">
        <f>SUM('Sch.15,51,53,54'!G63:G75)</f>
        <v>464270.96133082063</v>
      </c>
      <c r="T84" s="133">
        <v>-0.16937993640036381</v>
      </c>
      <c r="U84" s="133">
        <v>7.5134480948769582</v>
      </c>
      <c r="W84" s="13"/>
    </row>
    <row r="85" spans="1:23" ht="15.75" customHeight="1">
      <c r="B85" s="13" t="s">
        <v>104</v>
      </c>
      <c r="C85" s="40" t="s">
        <v>163</v>
      </c>
      <c r="D85" s="47">
        <f>SUMIFS(RVN!H:H,RVN!A:A,B85,RVN!J:J,C85)/12</f>
        <v>232.58333333333334</v>
      </c>
      <c r="E85" s="38" cm="1">
        <f t="array" ref="E85">IF(OR(C85={"Schedule 15","Schedule 51","Schedule 53"}),D85,SUMIFS('Normalized Units'!I:I,'Normalized Units'!H:H,"Bill",'Normalized Units'!C:C,C85,'Normalized Units'!D:D,B85)/12+SUM(SUMIFS('Normalized Units'!I:I,'Normalized Units'!H:H,{"Annual Bill","Load Size","Load Size Minimum"},'Normalized Units'!C:C,C85,'Normalized Units'!D:D,B85)))</f>
        <v>232.58333333333334</v>
      </c>
      <c r="F85" s="23">
        <f>SUMIFS(RVN!I:I,RVN!A:A,B85,RVN!J:J,C85)</f>
        <v>2111852</v>
      </c>
      <c r="G85" s="23">
        <f>SUMIFS('Normalized Units'!I:I,'Normalized Units'!B:B,"Temperature kWh Normalization",'Normalized Units'!C:C,C85,'Normalized Units'!D:D,B85)</f>
        <v>0</v>
      </c>
      <c r="H85" s="23">
        <f t="shared" si="26"/>
        <v>-150379.09512371384</v>
      </c>
      <c r="I85" s="23">
        <f>SUMIFS('Normalized Units'!I:I,'Normalized Units'!B:B,"Normalized Billing Units",'Normalized Units'!C:C,C85,'Normalized Units'!D:D,B85,'Normalized Units'!H:H,"kWh*")</f>
        <v>1961472.9048762862</v>
      </c>
      <c r="J85" s="23">
        <f>SUMIFS(RVN!F:F,RVN!A:A,B85,RVN!J:J,C85)</f>
        <v>93649.87</v>
      </c>
      <c r="K85" s="23" cm="1">
        <f t="array" ref="K85">IF(OR(C85={"Alt Rev Program","Blue Sky","Customer Bill Credits","DSM","Income Tax Defer Adj","Irr Demand Charge Accrual","Rev Adj Property Insur","Rev Adj"}),-J85,0)</f>
        <v>0</v>
      </c>
      <c r="L85" s="23">
        <f>-SUMIFS(RVN!F:F,RVN!A:A,B85,RVN!B:B,"B",RVN!J:J,C85)</f>
        <v>0</v>
      </c>
      <c r="M85" s="23">
        <v>2726.2280064087818</v>
      </c>
      <c r="N85" s="23">
        <f>SUMIFS('Normalized Units'!I:I,'Normalized Units'!B:B,"Temperature $ Normalization",'Normalized Units'!D:D,B85,'Normalized Units'!C:C,C85)</f>
        <v>0</v>
      </c>
      <c r="O85" s="23">
        <f t="shared" si="24"/>
        <v>-334.61766828109091</v>
      </c>
      <c r="P85" s="23">
        <f t="shared" si="25"/>
        <v>18672.842300806904</v>
      </c>
      <c r="Q85" s="23">
        <f t="shared" si="21"/>
        <v>-7039.395129714434</v>
      </c>
      <c r="R85" s="23">
        <f>SUM('Sch.15,51,53,54'!G76:G77)</f>
        <v>107674.92750922016</v>
      </c>
      <c r="T85" s="133">
        <v>-0.59519974386566787</v>
      </c>
      <c r="U85" s="133">
        <v>23.249966770265225</v>
      </c>
      <c r="W85" s="13"/>
    </row>
    <row r="86" spans="1:23" ht="15.75" customHeight="1">
      <c r="B86" s="13" t="s">
        <v>104</v>
      </c>
      <c r="C86" s="18" t="s">
        <v>288</v>
      </c>
      <c r="D86" s="47">
        <f>SUMIFS(RVN!H:H,RVN!A:A,B86,RVN!J:J,C86)/12</f>
        <v>0</v>
      </c>
      <c r="E86" s="38" cm="1">
        <f t="array" ref="E86">IF(OR(C86={"Schedule 15","Schedule 51","Schedule 53"}),D86,SUMIFS('Normalized Units'!I:I,'Normalized Units'!H:H,"Bill",'Normalized Units'!C:C,C86,'Normalized Units'!D:D,B86)/12+SUM(SUMIFS('Normalized Units'!I:I,'Normalized Units'!H:H,{"Annual Bill","Load Size","Load Size Minimum"},'Normalized Units'!C:C,C86,'Normalized Units'!D:D,B86)))</f>
        <v>0</v>
      </c>
      <c r="F86" s="23">
        <f>SUMIFS(RVN!I:I,RVN!A:A,B86,RVN!J:J,C86)</f>
        <v>0</v>
      </c>
      <c r="G86" s="23">
        <f>SUMIFS('Normalized Units'!I:I,'Normalized Units'!B:B,"Temperature kWh Normalization",'Normalized Units'!C:C,C86,'Normalized Units'!D:D,B86)</f>
        <v>0</v>
      </c>
      <c r="H86" s="23">
        <f t="shared" si="26"/>
        <v>0</v>
      </c>
      <c r="I86" s="23">
        <f>SUMIFS('Normalized Units'!I:I,'Normalized Units'!B:B,"Normalized Billing Units",'Normalized Units'!C:C,C86,'Normalized Units'!D:D,B86,'Normalized Units'!H:H,"kWh*")</f>
        <v>0</v>
      </c>
      <c r="J86" s="23">
        <f>SUMIFS(RVN!F:F,RVN!A:A,B86,RVN!J:J,C86)</f>
        <v>90.84</v>
      </c>
      <c r="K86" s="23" cm="1">
        <f t="array" ref="K86">IF(OR(C86={"Alt Rev Program","Blue Sky","Customer Bill Credits","DSM","Income Tax Defer Adj","Irr Demand Charge Accrual","Rev Adj Property Insur","Rev Adj"}),-J86,0)</f>
        <v>0</v>
      </c>
      <c r="L86" s="23">
        <f>-SUMIFS(RVN!F:F,RVN!A:A,B86,RVN!B:B,"B",RVN!J:J,C86)</f>
        <v>0</v>
      </c>
      <c r="M86" s="23">
        <v>0</v>
      </c>
      <c r="N86" s="23">
        <f>SUMIFS('Normalized Units'!I:I,'Normalized Units'!B:B,"Temperature $ Normalization",'Normalized Units'!D:D,B86,'Normalized Units'!C:C,C86)</f>
        <v>0</v>
      </c>
      <c r="O86" s="23">
        <f t="shared" si="24"/>
        <v>0</v>
      </c>
      <c r="P86" s="23">
        <f t="shared" si="25"/>
        <v>0</v>
      </c>
      <c r="Q86" s="23">
        <f t="shared" si="21"/>
        <v>0</v>
      </c>
      <c r="R86" s="23">
        <f>J86</f>
        <v>90.84</v>
      </c>
      <c r="T86" s="131"/>
      <c r="U86" s="131"/>
      <c r="W86" s="13"/>
    </row>
    <row r="87" spans="1:23" ht="15.75" customHeight="1">
      <c r="B87" s="20" t="s">
        <v>104</v>
      </c>
      <c r="C87" s="21" t="s">
        <v>0</v>
      </c>
      <c r="D87" s="24">
        <f>SUM(D80:D86)</f>
        <v>458.5</v>
      </c>
      <c r="E87" s="24">
        <f t="shared" ref="E87:R87" si="27">SUM(E80:E86)</f>
        <v>458.5</v>
      </c>
      <c r="F87" s="24">
        <f t="shared" si="27"/>
        <v>3784347</v>
      </c>
      <c r="G87" s="24">
        <f t="shared" si="27"/>
        <v>0</v>
      </c>
      <c r="H87" s="24">
        <f t="shared" si="27"/>
        <v>-2656.7181926527992</v>
      </c>
      <c r="I87" s="24">
        <f t="shared" si="27"/>
        <v>3781690.2818073472</v>
      </c>
      <c r="J87" s="24">
        <f t="shared" si="27"/>
        <v>514793.84</v>
      </c>
      <c r="K87" s="24">
        <f t="shared" si="27"/>
        <v>-17830.77</v>
      </c>
      <c r="L87" s="24">
        <f t="shared" si="27"/>
        <v>0</v>
      </c>
      <c r="M87" s="24">
        <f t="shared" si="27"/>
        <v>5528.1966158867845</v>
      </c>
      <c r="N87" s="24">
        <f t="shared" si="27"/>
        <v>0</v>
      </c>
      <c r="O87" s="24">
        <f t="shared" si="27"/>
        <v>-776.29989031860839</v>
      </c>
      <c r="P87" s="24">
        <f t="shared" si="27"/>
        <v>46661.959718761354</v>
      </c>
      <c r="Q87" s="24">
        <f t="shared" si="27"/>
        <v>23659.802395711278</v>
      </c>
      <c r="R87" s="24">
        <f t="shared" si="27"/>
        <v>572036.72884004074</v>
      </c>
      <c r="T87" s="131"/>
      <c r="U87" s="131"/>
      <c r="W87" s="13"/>
    </row>
    <row r="88" spans="1:23" ht="15.75" customHeight="1">
      <c r="B88" s="26"/>
      <c r="C88" s="43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T88" s="131"/>
      <c r="U88" s="131"/>
      <c r="W88" s="13"/>
    </row>
    <row r="89" spans="1:23" ht="15.75" customHeight="1">
      <c r="B89" s="20" t="s">
        <v>257</v>
      </c>
      <c r="C89" s="21" t="s">
        <v>0</v>
      </c>
      <c r="D89" s="34">
        <f t="shared" ref="D89:R89" si="28">D25+D43+D62+D78+D87</f>
        <v>140534.33333333331</v>
      </c>
      <c r="E89" s="34">
        <f t="shared" si="28"/>
        <v>140527.93088372098</v>
      </c>
      <c r="F89" s="34">
        <f t="shared" si="28"/>
        <v>4215927681</v>
      </c>
      <c r="G89" s="34">
        <f t="shared" si="28"/>
        <v>-21584677.015499998</v>
      </c>
      <c r="H89" s="34">
        <f t="shared" si="28"/>
        <v>-165625.04667415097</v>
      </c>
      <c r="I89" s="34">
        <f t="shared" si="28"/>
        <v>4194177378.9378257</v>
      </c>
      <c r="J89" s="34">
        <f t="shared" si="28"/>
        <v>370457281.33999997</v>
      </c>
      <c r="K89" s="34">
        <f t="shared" si="28"/>
        <v>-17957628.640000001</v>
      </c>
      <c r="L89" s="34">
        <f t="shared" si="28"/>
        <v>16540951.610000001</v>
      </c>
      <c r="M89" s="34">
        <f t="shared" si="28"/>
        <v>-543604.89671070105</v>
      </c>
      <c r="N89" s="34">
        <f t="shared" si="28"/>
        <v>-2240536.6973766158</v>
      </c>
      <c r="O89" s="34">
        <f t="shared" si="28"/>
        <v>-1116263.2978495776</v>
      </c>
      <c r="P89" s="34">
        <f t="shared" si="28"/>
        <v>36674333.914721645</v>
      </c>
      <c r="Q89" s="34">
        <f t="shared" si="28"/>
        <v>3209782.5679518194</v>
      </c>
      <c r="R89" s="34">
        <f t="shared" si="28"/>
        <v>405024315.90073657</v>
      </c>
      <c r="T89" s="132"/>
      <c r="U89" s="132"/>
      <c r="W89" s="215">
        <f>Summary!D25+(Summary!E25+Summary!F25)*1000-E89-I89-R89</f>
        <v>7.152557373046875E-7</v>
      </c>
    </row>
    <row r="90" spans="1:23"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1:23" ht="18.75">
      <c r="A91" s="61" t="s">
        <v>328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23"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23" ht="18.75">
      <c r="A93" s="60" t="s">
        <v>316</v>
      </c>
    </row>
    <row r="95" spans="1:23" s="36" customFormat="1" ht="18.75">
      <c r="A95" s="60" t="s">
        <v>318</v>
      </c>
    </row>
    <row r="96" spans="1:23" s="36" customFormat="1">
      <c r="A96" s="38" t="s">
        <v>259</v>
      </c>
    </row>
    <row r="97" spans="1:1" s="36" customFormat="1">
      <c r="A97" s="38" t="s">
        <v>112</v>
      </c>
    </row>
    <row r="98" spans="1:1" s="36" customFormat="1">
      <c r="A98" s="38" t="s">
        <v>260</v>
      </c>
    </row>
    <row r="99" spans="1:1" s="36" customFormat="1">
      <c r="A99" s="38" t="s">
        <v>111</v>
      </c>
    </row>
    <row r="100" spans="1:1" s="36" customFormat="1">
      <c r="A100" s="38" t="s">
        <v>261</v>
      </c>
    </row>
    <row r="101" spans="1:1">
      <c r="A101" s="38" t="s">
        <v>262</v>
      </c>
    </row>
    <row r="102" spans="1:1" s="36" customFormat="1">
      <c r="A102" s="38" t="s">
        <v>129</v>
      </c>
    </row>
    <row r="103" spans="1:1">
      <c r="A103" s="38" t="s">
        <v>128</v>
      </c>
    </row>
    <row r="104" spans="1:1" s="36" customFormat="1"/>
    <row r="105" spans="1:1" s="36" customFormat="1" ht="18.75">
      <c r="A105" s="60" t="s">
        <v>321</v>
      </c>
    </row>
    <row r="106" spans="1:1" s="36" customFormat="1">
      <c r="A106" s="38" t="s">
        <v>297</v>
      </c>
    </row>
    <row r="107" spans="1:1" s="36" customFormat="1">
      <c r="A107" s="38" t="s">
        <v>298</v>
      </c>
    </row>
    <row r="108" spans="1:1" s="36" customFormat="1">
      <c r="A108" s="38" t="s">
        <v>299</v>
      </c>
    </row>
    <row r="109" spans="1:1" s="36" customFormat="1">
      <c r="A109" s="38" t="s">
        <v>300</v>
      </c>
    </row>
    <row r="110" spans="1:1">
      <c r="A110" s="38" t="s">
        <v>301</v>
      </c>
    </row>
    <row r="111" spans="1:1" s="35" customFormat="1" ht="15.75" customHeight="1">
      <c r="A111" s="36"/>
    </row>
    <row r="112" spans="1:1" ht="18.75">
      <c r="A112" s="60" t="s">
        <v>322</v>
      </c>
    </row>
    <row r="113" spans="1:1" ht="18.75">
      <c r="A113" s="60" t="s">
        <v>323</v>
      </c>
    </row>
    <row r="114" spans="1:1" ht="18.75">
      <c r="A114" s="61"/>
    </row>
    <row r="115" spans="1:1" ht="18.75">
      <c r="A115" s="61" t="s">
        <v>324</v>
      </c>
    </row>
    <row r="116" spans="1:1">
      <c r="A116" s="35" t="s">
        <v>310</v>
      </c>
    </row>
    <row r="117" spans="1:1">
      <c r="A117" s="35" t="s">
        <v>307</v>
      </c>
    </row>
    <row r="118" spans="1:1">
      <c r="A118" s="35" t="s">
        <v>308</v>
      </c>
    </row>
  </sheetData>
  <printOptions horizontalCentered="1"/>
  <pageMargins left="0.25" right="0.25" top="0.75" bottom="0.75" header="0.3" footer="0.3"/>
  <pageSetup scale="46" fitToHeight="0" orientation="landscape" r:id="rId1"/>
  <headerFooter alignWithMargins="0"/>
  <rowBreaks count="1" manualBreakCount="1">
    <brk id="62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6133-7B53-461F-AABC-DB2347A9D048}">
  <sheetPr>
    <pageSetUpPr autoPageBreaks="0" fitToPage="1"/>
  </sheetPr>
  <dimension ref="A2:V69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ColWidth="9" defaultRowHeight="15.75"/>
  <cols>
    <col min="1" max="1" width="0.875" style="67" customWidth="1"/>
    <col min="2" max="2" width="15.125" style="67" customWidth="1"/>
    <col min="3" max="3" width="11" style="67" bestFit="1" customWidth="1"/>
    <col min="4" max="4" width="7.625" style="67" bestFit="1" customWidth="1"/>
    <col min="5" max="5" width="12.625" style="67" bestFit="1" customWidth="1"/>
    <col min="6" max="6" width="13.75" style="68" customWidth="1"/>
    <col min="7" max="19" width="15.125" style="68" customWidth="1"/>
    <col min="20" max="21" width="0.875" style="68" customWidth="1"/>
    <col min="22" max="23" width="15.125" style="68" customWidth="1"/>
    <col min="24" max="16384" width="9" style="68"/>
  </cols>
  <sheetData>
    <row r="2" spans="2:22">
      <c r="B2" s="69" t="s">
        <v>576</v>
      </c>
      <c r="C2" s="70"/>
      <c r="D2" s="70"/>
      <c r="E2" s="70"/>
      <c r="F2" s="70"/>
      <c r="G2" s="127"/>
      <c r="H2" s="69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V2" s="72"/>
    </row>
    <row r="3" spans="2:22">
      <c r="B3" s="72" t="s">
        <v>146</v>
      </c>
      <c r="C3" s="72" t="s">
        <v>115</v>
      </c>
      <c r="D3" s="72" t="s">
        <v>130</v>
      </c>
      <c r="E3" s="125" t="s">
        <v>142</v>
      </c>
      <c r="F3" s="73" t="s">
        <v>153</v>
      </c>
      <c r="G3" s="74" t="s">
        <v>154</v>
      </c>
      <c r="H3" s="75">
        <v>44378</v>
      </c>
      <c r="I3" s="75">
        <v>44409</v>
      </c>
      <c r="J3" s="75">
        <v>44440</v>
      </c>
      <c r="K3" s="75">
        <v>44470</v>
      </c>
      <c r="L3" s="75">
        <v>44501</v>
      </c>
      <c r="M3" s="75">
        <v>44531</v>
      </c>
      <c r="N3" s="75">
        <v>44562</v>
      </c>
      <c r="O3" s="75">
        <v>44593</v>
      </c>
      <c r="P3" s="75">
        <v>44621</v>
      </c>
      <c r="Q3" s="75">
        <v>44652</v>
      </c>
      <c r="R3" s="75">
        <v>44682</v>
      </c>
      <c r="S3" s="75">
        <v>44713</v>
      </c>
      <c r="V3" s="76" t="s">
        <v>152</v>
      </c>
    </row>
    <row r="4" spans="2:22">
      <c r="B4" s="77"/>
      <c r="C4" s="77"/>
      <c r="D4" s="72"/>
      <c r="E4" s="73"/>
      <c r="F4" s="73"/>
      <c r="G4" s="72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V4" s="79"/>
    </row>
    <row r="5" spans="2:22">
      <c r="B5" s="80" t="s">
        <v>165</v>
      </c>
      <c r="C5" s="80" t="s">
        <v>132</v>
      </c>
      <c r="D5" s="79" t="s">
        <v>136</v>
      </c>
      <c r="E5" s="124" t="s">
        <v>271</v>
      </c>
      <c r="F5" s="81" t="s">
        <v>212</v>
      </c>
      <c r="G5" s="82">
        <f t="shared" ref="G5:G28" si="0">SUM(H5:S5)/IF(OR(B5="Schedule 40",E5="Annual Bill"),1,12)</f>
        <v>9169.3972222222237</v>
      </c>
      <c r="H5" s="83">
        <v>9226.2666666666682</v>
      </c>
      <c r="I5" s="83">
        <v>9224.0333333333292</v>
      </c>
      <c r="J5" s="83">
        <v>9192.133333333335</v>
      </c>
      <c r="K5" s="83">
        <v>9189.8000000000029</v>
      </c>
      <c r="L5" s="83">
        <v>9187.466666666669</v>
      </c>
      <c r="M5" s="83">
        <v>9186.1000000000022</v>
      </c>
      <c r="N5" s="83">
        <v>9158.6333333333278</v>
      </c>
      <c r="O5" s="83">
        <v>9133.9666666666708</v>
      </c>
      <c r="P5" s="83">
        <v>9144.5666666666693</v>
      </c>
      <c r="Q5" s="83">
        <v>9123.8333333333358</v>
      </c>
      <c r="R5" s="83">
        <v>9121.9333333333343</v>
      </c>
      <c r="S5" s="83">
        <v>9144.0333333333347</v>
      </c>
      <c r="V5" s="79"/>
    </row>
    <row r="6" spans="2:22">
      <c r="B6" s="80" t="s">
        <v>165</v>
      </c>
      <c r="C6" s="80" t="s">
        <v>132</v>
      </c>
      <c r="D6" s="79" t="s">
        <v>136</v>
      </c>
      <c r="E6" s="124" t="s">
        <v>271</v>
      </c>
      <c r="F6" s="84" t="s">
        <v>213</v>
      </c>
      <c r="G6" s="82">
        <f t="shared" si="0"/>
        <v>2931.172222222222</v>
      </c>
      <c r="H6" s="83">
        <v>2873.3666666666668</v>
      </c>
      <c r="I6" s="83">
        <v>2883.8666666666668</v>
      </c>
      <c r="J6" s="83">
        <v>2882.2333333333336</v>
      </c>
      <c r="K6" s="83">
        <v>2886.9666666666667</v>
      </c>
      <c r="L6" s="83">
        <v>2899.7333333333336</v>
      </c>
      <c r="M6" s="83">
        <v>2923</v>
      </c>
      <c r="N6" s="83">
        <v>2944.0666666666666</v>
      </c>
      <c r="O6" s="83">
        <v>2946.1</v>
      </c>
      <c r="P6" s="83">
        <v>2965.666666666667</v>
      </c>
      <c r="Q6" s="83">
        <v>2976.9666666666662</v>
      </c>
      <c r="R6" s="83">
        <v>2989.1333333333332</v>
      </c>
      <c r="S6" s="83">
        <v>3002.9666666666662</v>
      </c>
      <c r="V6" s="79"/>
    </row>
    <row r="7" spans="2:22">
      <c r="B7" s="80" t="s">
        <v>165</v>
      </c>
      <c r="C7" s="80" t="s">
        <v>132</v>
      </c>
      <c r="D7" s="79" t="s">
        <v>136</v>
      </c>
      <c r="E7" s="124" t="s">
        <v>271</v>
      </c>
      <c r="F7" s="85" t="s">
        <v>214</v>
      </c>
      <c r="G7" s="82">
        <f t="shared" si="0"/>
        <v>2799.2333333333331</v>
      </c>
      <c r="H7" s="83">
        <v>2752.5000000000005</v>
      </c>
      <c r="I7" s="83">
        <v>2764.9</v>
      </c>
      <c r="J7" s="83">
        <v>2772.9333333333334</v>
      </c>
      <c r="K7" s="83">
        <v>2784.7333333333336</v>
      </c>
      <c r="L7" s="83">
        <v>2802.5999999999995</v>
      </c>
      <c r="M7" s="83">
        <v>2816.0666666666671</v>
      </c>
      <c r="N7" s="83">
        <v>2824.8</v>
      </c>
      <c r="O7" s="83">
        <v>2817.1999999999994</v>
      </c>
      <c r="P7" s="83">
        <v>2817.5333333333328</v>
      </c>
      <c r="Q7" s="83">
        <v>2813.6333333333328</v>
      </c>
      <c r="R7" s="83">
        <v>2812.2</v>
      </c>
      <c r="S7" s="83">
        <v>2811.7000000000003</v>
      </c>
      <c r="V7" s="79"/>
    </row>
    <row r="8" spans="2:22">
      <c r="B8" s="80" t="s">
        <v>165</v>
      </c>
      <c r="C8" s="80" t="s">
        <v>132</v>
      </c>
      <c r="D8" s="79" t="s">
        <v>136</v>
      </c>
      <c r="E8" s="124" t="s">
        <v>271</v>
      </c>
      <c r="F8" s="85" t="s">
        <v>155</v>
      </c>
      <c r="G8" s="82">
        <f t="shared" si="0"/>
        <v>1.25</v>
      </c>
      <c r="H8" s="83">
        <v>3</v>
      </c>
      <c r="I8" s="83">
        <v>2</v>
      </c>
      <c r="J8" s="83">
        <v>1</v>
      </c>
      <c r="K8" s="83">
        <v>1</v>
      </c>
      <c r="L8" s="83">
        <v>1</v>
      </c>
      <c r="M8" s="83">
        <v>1</v>
      </c>
      <c r="N8" s="83">
        <v>1</v>
      </c>
      <c r="O8" s="83">
        <v>1</v>
      </c>
      <c r="P8" s="83">
        <v>1</v>
      </c>
      <c r="Q8" s="83">
        <v>1</v>
      </c>
      <c r="R8" s="83">
        <v>1</v>
      </c>
      <c r="S8" s="83">
        <v>1</v>
      </c>
      <c r="V8" s="79"/>
    </row>
    <row r="9" spans="2:22">
      <c r="B9" s="80" t="s">
        <v>165</v>
      </c>
      <c r="C9" s="80" t="s">
        <v>132</v>
      </c>
      <c r="D9" s="79" t="s">
        <v>136</v>
      </c>
      <c r="E9" s="124" t="s">
        <v>271</v>
      </c>
      <c r="F9" s="85" t="s">
        <v>156</v>
      </c>
      <c r="G9" s="82">
        <f t="shared" si="0"/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V9" s="79"/>
    </row>
    <row r="10" spans="2:22">
      <c r="B10" s="80" t="s">
        <v>165</v>
      </c>
      <c r="C10" s="80" t="s">
        <v>132</v>
      </c>
      <c r="D10" s="79" t="s">
        <v>136</v>
      </c>
      <c r="E10" s="124" t="s">
        <v>271</v>
      </c>
      <c r="F10" s="85" t="s">
        <v>157</v>
      </c>
      <c r="G10" s="82">
        <f t="shared" si="0"/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V10" s="79"/>
    </row>
    <row r="11" spans="2:22">
      <c r="B11" s="80" t="s">
        <v>165</v>
      </c>
      <c r="C11" s="80" t="s">
        <v>132</v>
      </c>
      <c r="D11" s="79" t="s">
        <v>136</v>
      </c>
      <c r="E11" s="124" t="s">
        <v>272</v>
      </c>
      <c r="F11" s="81" t="s">
        <v>212</v>
      </c>
      <c r="G11" s="82">
        <f t="shared" si="0"/>
        <v>0.63013698630136983</v>
      </c>
      <c r="H11" s="83">
        <v>0</v>
      </c>
      <c r="I11" s="83">
        <v>0</v>
      </c>
      <c r="J11" s="83">
        <v>0</v>
      </c>
      <c r="K11" s="83">
        <v>0</v>
      </c>
      <c r="L11" s="83">
        <v>0.63013698630136983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V11" s="79"/>
    </row>
    <row r="12" spans="2:22">
      <c r="B12" s="80" t="s">
        <v>165</v>
      </c>
      <c r="C12" s="80" t="s">
        <v>132</v>
      </c>
      <c r="D12" s="79" t="s">
        <v>136</v>
      </c>
      <c r="E12" s="124" t="s">
        <v>272</v>
      </c>
      <c r="F12" s="84" t="s">
        <v>213</v>
      </c>
      <c r="G12" s="82">
        <f t="shared" si="0"/>
        <v>2</v>
      </c>
      <c r="H12" s="83">
        <v>0</v>
      </c>
      <c r="I12" s="83">
        <v>0</v>
      </c>
      <c r="J12" s="83">
        <v>0</v>
      </c>
      <c r="K12" s="83">
        <v>0</v>
      </c>
      <c r="L12" s="83">
        <v>2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V12" s="79"/>
    </row>
    <row r="13" spans="2:22">
      <c r="B13" s="80" t="s">
        <v>165</v>
      </c>
      <c r="C13" s="80" t="s">
        <v>132</v>
      </c>
      <c r="D13" s="79" t="s">
        <v>136</v>
      </c>
      <c r="E13" s="124" t="s">
        <v>272</v>
      </c>
      <c r="F13" s="85" t="s">
        <v>214</v>
      </c>
      <c r="G13" s="82">
        <f t="shared" si="0"/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V13" s="79"/>
    </row>
    <row r="14" spans="2:22">
      <c r="B14" s="80" t="s">
        <v>165</v>
      </c>
      <c r="C14" s="80" t="s">
        <v>132</v>
      </c>
      <c r="D14" s="79" t="s">
        <v>136</v>
      </c>
      <c r="E14" s="124" t="s">
        <v>272</v>
      </c>
      <c r="F14" s="85" t="s">
        <v>155</v>
      </c>
      <c r="G14" s="82">
        <f t="shared" si="0"/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V14" s="79"/>
    </row>
    <row r="15" spans="2:22">
      <c r="B15" s="80" t="s">
        <v>165</v>
      </c>
      <c r="C15" s="80" t="s">
        <v>132</v>
      </c>
      <c r="D15" s="79" t="s">
        <v>136</v>
      </c>
      <c r="E15" s="124" t="s">
        <v>272</v>
      </c>
      <c r="F15" s="85" t="s">
        <v>156</v>
      </c>
      <c r="G15" s="82">
        <f t="shared" si="0"/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V15" s="79"/>
    </row>
    <row r="16" spans="2:22">
      <c r="B16" s="80" t="s">
        <v>165</v>
      </c>
      <c r="C16" s="80" t="s">
        <v>132</v>
      </c>
      <c r="D16" s="79" t="s">
        <v>136</v>
      </c>
      <c r="E16" s="124" t="s">
        <v>272</v>
      </c>
      <c r="F16" s="85" t="s">
        <v>157</v>
      </c>
      <c r="G16" s="82">
        <f t="shared" si="0"/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V16" s="79"/>
    </row>
    <row r="17" spans="2:22">
      <c r="B17" s="80" t="s">
        <v>165</v>
      </c>
      <c r="C17" s="80" t="s">
        <v>132</v>
      </c>
      <c r="D17" s="79" t="s">
        <v>137</v>
      </c>
      <c r="E17" s="124" t="s">
        <v>271</v>
      </c>
      <c r="F17" s="81" t="s">
        <v>212</v>
      </c>
      <c r="G17" s="82">
        <f t="shared" si="0"/>
        <v>602.85000000000014</v>
      </c>
      <c r="H17" s="83">
        <v>604.16666666666674</v>
      </c>
      <c r="I17" s="83">
        <v>604.56666666666672</v>
      </c>
      <c r="J17" s="83">
        <v>606.13333333333344</v>
      </c>
      <c r="K17" s="83">
        <v>598.66666666666674</v>
      </c>
      <c r="L17" s="83">
        <v>598.40000000000009</v>
      </c>
      <c r="M17" s="83">
        <v>604.80000000000007</v>
      </c>
      <c r="N17" s="83">
        <v>604.43333333333328</v>
      </c>
      <c r="O17" s="83">
        <v>599.16666666666674</v>
      </c>
      <c r="P17" s="83">
        <v>601.30000000000007</v>
      </c>
      <c r="Q17" s="83">
        <v>601.40000000000009</v>
      </c>
      <c r="R17" s="83">
        <v>603.23333333333335</v>
      </c>
      <c r="S17" s="83">
        <v>607.93333333333339</v>
      </c>
      <c r="V17" s="79"/>
    </row>
    <row r="18" spans="2:22">
      <c r="B18" s="80" t="s">
        <v>165</v>
      </c>
      <c r="C18" s="80" t="s">
        <v>132</v>
      </c>
      <c r="D18" s="79" t="s">
        <v>137</v>
      </c>
      <c r="E18" s="124" t="s">
        <v>271</v>
      </c>
      <c r="F18" s="84" t="s">
        <v>213</v>
      </c>
      <c r="G18" s="82">
        <f t="shared" si="0"/>
        <v>1439.5722222222223</v>
      </c>
      <c r="H18" s="83">
        <v>1445.8999999999999</v>
      </c>
      <c r="I18" s="83">
        <v>1435.3666666666666</v>
      </c>
      <c r="J18" s="83">
        <v>1424.9999999999998</v>
      </c>
      <c r="K18" s="83">
        <v>1420.7333333333331</v>
      </c>
      <c r="L18" s="83">
        <v>1422.7666666666669</v>
      </c>
      <c r="M18" s="83">
        <v>1435.6000000000001</v>
      </c>
      <c r="N18" s="83">
        <v>1441.3666666666668</v>
      </c>
      <c r="O18" s="83">
        <v>1438.8333333333335</v>
      </c>
      <c r="P18" s="83">
        <v>1444.1</v>
      </c>
      <c r="Q18" s="83">
        <v>1447.4666666666667</v>
      </c>
      <c r="R18" s="83">
        <v>1453.1333333333332</v>
      </c>
      <c r="S18" s="83">
        <v>1464.6</v>
      </c>
      <c r="V18" s="79"/>
    </row>
    <row r="19" spans="2:22">
      <c r="B19" s="80" t="s">
        <v>165</v>
      </c>
      <c r="C19" s="80" t="s">
        <v>132</v>
      </c>
      <c r="D19" s="79" t="s">
        <v>137</v>
      </c>
      <c r="E19" s="124" t="s">
        <v>271</v>
      </c>
      <c r="F19" s="85" t="s">
        <v>214</v>
      </c>
      <c r="G19" s="82">
        <f t="shared" si="0"/>
        <v>3709.1944444444439</v>
      </c>
      <c r="H19" s="83">
        <v>3670.166666666667</v>
      </c>
      <c r="I19" s="83">
        <v>3686.7999999999993</v>
      </c>
      <c r="J19" s="83">
        <v>3692.8</v>
      </c>
      <c r="K19" s="83">
        <v>3709.4333333333329</v>
      </c>
      <c r="L19" s="83">
        <v>3715.8666666666663</v>
      </c>
      <c r="M19" s="83">
        <v>3716.7333333333336</v>
      </c>
      <c r="N19" s="83">
        <v>3718.7666666666669</v>
      </c>
      <c r="O19" s="83">
        <v>3719.4</v>
      </c>
      <c r="P19" s="83">
        <v>3725.4</v>
      </c>
      <c r="Q19" s="83">
        <v>3720.7333333333331</v>
      </c>
      <c r="R19" s="83">
        <v>3720.4666666666662</v>
      </c>
      <c r="S19" s="83">
        <v>3713.7666666666664</v>
      </c>
      <c r="V19" s="79"/>
    </row>
    <row r="20" spans="2:22">
      <c r="B20" s="80" t="s">
        <v>165</v>
      </c>
      <c r="C20" s="80" t="s">
        <v>132</v>
      </c>
      <c r="D20" s="79" t="s">
        <v>137</v>
      </c>
      <c r="E20" s="124" t="s">
        <v>271</v>
      </c>
      <c r="F20" s="85" t="s">
        <v>155</v>
      </c>
      <c r="G20" s="82">
        <f t="shared" si="0"/>
        <v>90.677777777777763</v>
      </c>
      <c r="H20" s="83">
        <v>130.03333333333333</v>
      </c>
      <c r="I20" s="83">
        <v>113.06666666666666</v>
      </c>
      <c r="J20" s="83">
        <v>111.06666666666666</v>
      </c>
      <c r="K20" s="83">
        <v>102.8</v>
      </c>
      <c r="L20" s="83">
        <v>92.366666666666674</v>
      </c>
      <c r="M20" s="83">
        <v>87</v>
      </c>
      <c r="N20" s="83">
        <v>83</v>
      </c>
      <c r="O20" s="83">
        <v>77.366666666666674</v>
      </c>
      <c r="P20" s="83">
        <v>75.766666666666666</v>
      </c>
      <c r="Q20" s="83">
        <v>74.366666666666674</v>
      </c>
      <c r="R20" s="83">
        <v>71.3</v>
      </c>
      <c r="S20" s="83">
        <v>70</v>
      </c>
      <c r="V20" s="79"/>
    </row>
    <row r="21" spans="2:22">
      <c r="B21" s="80" t="s">
        <v>165</v>
      </c>
      <c r="C21" s="80" t="s">
        <v>132</v>
      </c>
      <c r="D21" s="79" t="s">
        <v>137</v>
      </c>
      <c r="E21" s="124" t="s">
        <v>271</v>
      </c>
      <c r="F21" s="85" t="s">
        <v>156</v>
      </c>
      <c r="G21" s="82">
        <f t="shared" si="0"/>
        <v>3.4166666666666665</v>
      </c>
      <c r="H21" s="83">
        <v>5</v>
      </c>
      <c r="I21" s="83">
        <v>5</v>
      </c>
      <c r="J21" s="83">
        <v>4</v>
      </c>
      <c r="K21" s="83">
        <v>4</v>
      </c>
      <c r="L21" s="83">
        <v>4</v>
      </c>
      <c r="M21" s="83">
        <v>4</v>
      </c>
      <c r="N21" s="83">
        <v>2</v>
      </c>
      <c r="O21" s="83">
        <v>3</v>
      </c>
      <c r="P21" s="83">
        <v>3</v>
      </c>
      <c r="Q21" s="83">
        <v>3</v>
      </c>
      <c r="R21" s="83">
        <v>2</v>
      </c>
      <c r="S21" s="83">
        <v>2</v>
      </c>
      <c r="V21" s="79"/>
    </row>
    <row r="22" spans="2:22">
      <c r="B22" s="80" t="s">
        <v>165</v>
      </c>
      <c r="C22" s="80" t="s">
        <v>132</v>
      </c>
      <c r="D22" s="79" t="s">
        <v>137</v>
      </c>
      <c r="E22" s="124" t="s">
        <v>271</v>
      </c>
      <c r="F22" s="85" t="s">
        <v>157</v>
      </c>
      <c r="G22" s="82">
        <f t="shared" si="0"/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V22" s="123"/>
    </row>
    <row r="23" spans="2:22">
      <c r="B23" s="80" t="s">
        <v>165</v>
      </c>
      <c r="C23" s="80" t="s">
        <v>132</v>
      </c>
      <c r="D23" s="79" t="s">
        <v>137</v>
      </c>
      <c r="E23" s="124" t="s">
        <v>272</v>
      </c>
      <c r="F23" s="81" t="s">
        <v>212</v>
      </c>
      <c r="G23" s="82">
        <f t="shared" si="0"/>
        <v>23.131506849315066</v>
      </c>
      <c r="H23" s="83">
        <v>0</v>
      </c>
      <c r="I23" s="83">
        <v>0</v>
      </c>
      <c r="J23" s="83">
        <v>0</v>
      </c>
      <c r="K23" s="83">
        <v>0</v>
      </c>
      <c r="L23" s="83">
        <v>22.501369863013696</v>
      </c>
      <c r="M23" s="83">
        <v>0</v>
      </c>
      <c r="N23" s="83">
        <v>0</v>
      </c>
      <c r="O23" s="83">
        <v>0.19178082191780821</v>
      </c>
      <c r="P23" s="83">
        <v>0</v>
      </c>
      <c r="Q23" s="83">
        <v>0</v>
      </c>
      <c r="R23" s="83">
        <v>0.43835616438356162</v>
      </c>
      <c r="S23" s="83">
        <v>0</v>
      </c>
      <c r="V23" s="79"/>
    </row>
    <row r="24" spans="2:22">
      <c r="B24" s="80" t="s">
        <v>165</v>
      </c>
      <c r="C24" s="80" t="s">
        <v>132</v>
      </c>
      <c r="D24" s="79" t="s">
        <v>137</v>
      </c>
      <c r="E24" s="124" t="s">
        <v>272</v>
      </c>
      <c r="F24" s="84" t="s">
        <v>213</v>
      </c>
      <c r="G24" s="82">
        <f t="shared" si="0"/>
        <v>2</v>
      </c>
      <c r="H24" s="83">
        <v>0</v>
      </c>
      <c r="I24" s="83">
        <v>0</v>
      </c>
      <c r="J24" s="83">
        <v>0</v>
      </c>
      <c r="K24" s="83">
        <v>0</v>
      </c>
      <c r="L24" s="83">
        <v>2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V24" s="79"/>
    </row>
    <row r="25" spans="2:22">
      <c r="B25" s="80" t="s">
        <v>165</v>
      </c>
      <c r="C25" s="80" t="s">
        <v>132</v>
      </c>
      <c r="D25" s="79" t="s">
        <v>137</v>
      </c>
      <c r="E25" s="124" t="s">
        <v>272</v>
      </c>
      <c r="F25" s="85" t="s">
        <v>214</v>
      </c>
      <c r="G25" s="82">
        <f t="shared" si="0"/>
        <v>39.339726027397248</v>
      </c>
      <c r="H25" s="83">
        <v>0</v>
      </c>
      <c r="I25" s="83">
        <v>0</v>
      </c>
      <c r="J25" s="83">
        <v>0</v>
      </c>
      <c r="K25" s="83">
        <v>0</v>
      </c>
      <c r="L25" s="83">
        <v>38.649315068493138</v>
      </c>
      <c r="M25" s="83">
        <v>0</v>
      </c>
      <c r="N25" s="83">
        <v>0</v>
      </c>
      <c r="O25" s="83">
        <v>0</v>
      </c>
      <c r="P25" s="83">
        <v>0.30410958904109592</v>
      </c>
      <c r="Q25" s="83">
        <v>0</v>
      </c>
      <c r="R25" s="83">
        <v>0.38630136986301372</v>
      </c>
      <c r="S25" s="83">
        <v>0</v>
      </c>
      <c r="V25" s="79"/>
    </row>
    <row r="26" spans="2:22">
      <c r="B26" s="80" t="s">
        <v>165</v>
      </c>
      <c r="C26" s="80" t="s">
        <v>132</v>
      </c>
      <c r="D26" s="79" t="s">
        <v>137</v>
      </c>
      <c r="E26" s="124" t="s">
        <v>272</v>
      </c>
      <c r="F26" s="85" t="s">
        <v>155</v>
      </c>
      <c r="G26" s="82">
        <f t="shared" si="0"/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V26" s="79"/>
    </row>
    <row r="27" spans="2:22">
      <c r="B27" s="80" t="s">
        <v>165</v>
      </c>
      <c r="C27" s="80" t="s">
        <v>132</v>
      </c>
      <c r="D27" s="79" t="s">
        <v>137</v>
      </c>
      <c r="E27" s="124" t="s">
        <v>272</v>
      </c>
      <c r="F27" s="85" t="s">
        <v>156</v>
      </c>
      <c r="G27" s="82">
        <f t="shared" si="0"/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V27" s="79"/>
    </row>
    <row r="28" spans="2:22">
      <c r="B28" s="80" t="s">
        <v>165</v>
      </c>
      <c r="C28" s="80" t="s">
        <v>132</v>
      </c>
      <c r="D28" s="79" t="s">
        <v>137</v>
      </c>
      <c r="E28" s="124" t="s">
        <v>272</v>
      </c>
      <c r="F28" s="85" t="s">
        <v>157</v>
      </c>
      <c r="G28" s="90">
        <f t="shared" si="0"/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V28" s="86">
        <f>'Normalized Summary'!E20+'Normalized Summary'!E36+'Normalized Summary'!E54-SUM(G5:G28)</f>
        <v>0</v>
      </c>
    </row>
    <row r="29" spans="2:22">
      <c r="B29" s="72"/>
      <c r="C29" s="72"/>
      <c r="D29" s="72"/>
      <c r="E29" s="125"/>
      <c r="F29" s="73"/>
      <c r="G29" s="12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V29" s="72"/>
    </row>
    <row r="30" spans="2:22">
      <c r="B30" s="80" t="s">
        <v>215</v>
      </c>
      <c r="C30" s="80" t="s">
        <v>113</v>
      </c>
      <c r="D30" s="79" t="s">
        <v>136</v>
      </c>
      <c r="E30" s="124" t="s">
        <v>132</v>
      </c>
      <c r="F30" s="81" t="s">
        <v>212</v>
      </c>
      <c r="G30" s="82">
        <f t="shared" ref="G30:G53" si="1">SUM(H30:S30)/IF(OR(B30="Schedule 40",E30="Annual Bill"),1,12)</f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V30" s="79"/>
    </row>
    <row r="31" spans="2:22">
      <c r="B31" s="80" t="s">
        <v>215</v>
      </c>
      <c r="C31" s="80" t="s">
        <v>113</v>
      </c>
      <c r="D31" s="79" t="s">
        <v>136</v>
      </c>
      <c r="E31" s="124" t="s">
        <v>132</v>
      </c>
      <c r="F31" s="84" t="s">
        <v>213</v>
      </c>
      <c r="G31" s="82">
        <f t="shared" si="1"/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V31" s="79"/>
    </row>
    <row r="32" spans="2:22">
      <c r="B32" s="80" t="s">
        <v>215</v>
      </c>
      <c r="C32" s="80" t="s">
        <v>113</v>
      </c>
      <c r="D32" s="79" t="s">
        <v>136</v>
      </c>
      <c r="E32" s="124" t="s">
        <v>132</v>
      </c>
      <c r="F32" s="85" t="s">
        <v>214</v>
      </c>
      <c r="G32" s="82">
        <f t="shared" si="1"/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V32" s="79"/>
    </row>
    <row r="33" spans="2:22">
      <c r="B33" s="80" t="s">
        <v>215</v>
      </c>
      <c r="C33" s="80" t="s">
        <v>113</v>
      </c>
      <c r="D33" s="79" t="s">
        <v>136</v>
      </c>
      <c r="E33" s="124" t="s">
        <v>132</v>
      </c>
      <c r="F33" s="85" t="s">
        <v>155</v>
      </c>
      <c r="G33" s="82">
        <f t="shared" si="1"/>
        <v>10.441666666666666</v>
      </c>
      <c r="H33" s="83">
        <v>9</v>
      </c>
      <c r="I33" s="83">
        <v>10</v>
      </c>
      <c r="J33" s="83">
        <v>11</v>
      </c>
      <c r="K33" s="83">
        <v>11</v>
      </c>
      <c r="L33" s="83">
        <v>11</v>
      </c>
      <c r="M33" s="83">
        <v>11</v>
      </c>
      <c r="N33" s="83">
        <v>11</v>
      </c>
      <c r="O33" s="83">
        <v>11.3</v>
      </c>
      <c r="P33" s="83">
        <v>10</v>
      </c>
      <c r="Q33" s="83">
        <v>10</v>
      </c>
      <c r="R33" s="83">
        <v>10</v>
      </c>
      <c r="S33" s="83">
        <v>10</v>
      </c>
      <c r="V33" s="79"/>
    </row>
    <row r="34" spans="2:22">
      <c r="B34" s="80" t="s">
        <v>215</v>
      </c>
      <c r="C34" s="80" t="s">
        <v>113</v>
      </c>
      <c r="D34" s="79" t="s">
        <v>136</v>
      </c>
      <c r="E34" s="124" t="s">
        <v>132</v>
      </c>
      <c r="F34" s="85" t="s">
        <v>156</v>
      </c>
      <c r="G34" s="82">
        <f t="shared" si="1"/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V34" s="79"/>
    </row>
    <row r="35" spans="2:22">
      <c r="B35" s="80" t="s">
        <v>215</v>
      </c>
      <c r="C35" s="80" t="s">
        <v>113</v>
      </c>
      <c r="D35" s="79" t="s">
        <v>136</v>
      </c>
      <c r="E35" s="124" t="s">
        <v>132</v>
      </c>
      <c r="F35" s="85" t="s">
        <v>157</v>
      </c>
      <c r="G35" s="82">
        <f t="shared" si="1"/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V35" s="79"/>
    </row>
    <row r="36" spans="2:22">
      <c r="B36" s="80" t="s">
        <v>215</v>
      </c>
      <c r="C36" s="80" t="s">
        <v>113</v>
      </c>
      <c r="D36" s="79" t="s">
        <v>137</v>
      </c>
      <c r="E36" s="124" t="s">
        <v>132</v>
      </c>
      <c r="F36" s="81" t="s">
        <v>212</v>
      </c>
      <c r="G36" s="82">
        <f t="shared" si="1"/>
        <v>6.5222222222222221</v>
      </c>
      <c r="H36" s="83">
        <v>5</v>
      </c>
      <c r="I36" s="83">
        <v>6</v>
      </c>
      <c r="J36" s="83">
        <v>6</v>
      </c>
      <c r="K36" s="83">
        <v>6</v>
      </c>
      <c r="L36" s="83">
        <v>6</v>
      </c>
      <c r="M36" s="83">
        <v>6</v>
      </c>
      <c r="N36" s="83">
        <v>6</v>
      </c>
      <c r="O36" s="83">
        <v>6</v>
      </c>
      <c r="P36" s="83">
        <v>6.8666666666666671</v>
      </c>
      <c r="Q36" s="83">
        <v>7.7333333333333334</v>
      </c>
      <c r="R36" s="83">
        <v>8</v>
      </c>
      <c r="S36" s="83">
        <v>8.6666666666666679</v>
      </c>
      <c r="V36" s="79"/>
    </row>
    <row r="37" spans="2:22">
      <c r="B37" s="80" t="s">
        <v>215</v>
      </c>
      <c r="C37" s="80" t="s">
        <v>113</v>
      </c>
      <c r="D37" s="79" t="s">
        <v>137</v>
      </c>
      <c r="E37" s="124" t="s">
        <v>132</v>
      </c>
      <c r="F37" s="84" t="s">
        <v>213</v>
      </c>
      <c r="G37" s="82">
        <f t="shared" si="1"/>
        <v>2.4138888888888888</v>
      </c>
      <c r="H37" s="83">
        <v>1</v>
      </c>
      <c r="I37" s="83">
        <v>1</v>
      </c>
      <c r="J37" s="83">
        <v>1</v>
      </c>
      <c r="K37" s="83">
        <v>1</v>
      </c>
      <c r="L37" s="83">
        <v>3.7</v>
      </c>
      <c r="M37" s="83">
        <v>3</v>
      </c>
      <c r="N37" s="83">
        <v>3</v>
      </c>
      <c r="O37" s="83">
        <v>3</v>
      </c>
      <c r="P37" s="83">
        <v>3</v>
      </c>
      <c r="Q37" s="83">
        <v>3</v>
      </c>
      <c r="R37" s="83">
        <v>3</v>
      </c>
      <c r="S37" s="83">
        <v>3.2666666666666666</v>
      </c>
      <c r="V37" s="79"/>
    </row>
    <row r="38" spans="2:22">
      <c r="B38" s="80" t="s">
        <v>215</v>
      </c>
      <c r="C38" s="80" t="s">
        <v>113</v>
      </c>
      <c r="D38" s="79" t="s">
        <v>137</v>
      </c>
      <c r="E38" s="124" t="s">
        <v>132</v>
      </c>
      <c r="F38" s="85" t="s">
        <v>214</v>
      </c>
      <c r="G38" s="82">
        <f t="shared" si="1"/>
        <v>32.136111111111113</v>
      </c>
      <c r="H38" s="83">
        <v>41.8</v>
      </c>
      <c r="I38" s="83">
        <v>41.599999999999994</v>
      </c>
      <c r="J38" s="83">
        <v>38.400000000000006</v>
      </c>
      <c r="K38" s="83">
        <v>32.933333333333337</v>
      </c>
      <c r="L38" s="83">
        <v>32.766666666666666</v>
      </c>
      <c r="M38" s="83">
        <v>30.366666666666667</v>
      </c>
      <c r="N38" s="83">
        <v>29.766666666666666</v>
      </c>
      <c r="O38" s="83">
        <v>29</v>
      </c>
      <c r="P38" s="83">
        <v>26.633333333333333</v>
      </c>
      <c r="Q38" s="83">
        <v>27.766666666666666</v>
      </c>
      <c r="R38" s="83">
        <v>27</v>
      </c>
      <c r="S38" s="83">
        <v>27.6</v>
      </c>
      <c r="V38" s="79"/>
    </row>
    <row r="39" spans="2:22">
      <c r="B39" s="80" t="s">
        <v>215</v>
      </c>
      <c r="C39" s="80" t="s">
        <v>113</v>
      </c>
      <c r="D39" s="79" t="s">
        <v>137</v>
      </c>
      <c r="E39" s="124" t="s">
        <v>132</v>
      </c>
      <c r="F39" s="85" t="s">
        <v>155</v>
      </c>
      <c r="G39" s="82">
        <f t="shared" si="1"/>
        <v>679.99999999999989</v>
      </c>
      <c r="H39" s="83">
        <v>638.5333333333333</v>
      </c>
      <c r="I39" s="83">
        <v>654.9</v>
      </c>
      <c r="J39" s="83">
        <v>661.9</v>
      </c>
      <c r="K39" s="83">
        <v>670</v>
      </c>
      <c r="L39" s="83">
        <v>678.43333333333339</v>
      </c>
      <c r="M39" s="83">
        <v>683.0333333333333</v>
      </c>
      <c r="N39" s="83">
        <v>693.86666666666667</v>
      </c>
      <c r="O39" s="83">
        <v>696.96666666666658</v>
      </c>
      <c r="P39" s="83">
        <v>696.4</v>
      </c>
      <c r="Q39" s="83">
        <v>695.4</v>
      </c>
      <c r="R39" s="83">
        <v>697</v>
      </c>
      <c r="S39" s="83">
        <v>693.56666666666672</v>
      </c>
      <c r="V39" s="79"/>
    </row>
    <row r="40" spans="2:22">
      <c r="B40" s="80" t="s">
        <v>215</v>
      </c>
      <c r="C40" s="80" t="s">
        <v>113</v>
      </c>
      <c r="D40" s="79" t="s">
        <v>137</v>
      </c>
      <c r="E40" s="124" t="s">
        <v>132</v>
      </c>
      <c r="F40" s="85" t="s">
        <v>156</v>
      </c>
      <c r="G40" s="82">
        <f t="shared" si="1"/>
        <v>324.61666666666662</v>
      </c>
      <c r="H40" s="83">
        <v>323.26666666666665</v>
      </c>
      <c r="I40" s="83">
        <v>324.9666666666667</v>
      </c>
      <c r="J40" s="83">
        <v>325.3</v>
      </c>
      <c r="K40" s="83">
        <v>325</v>
      </c>
      <c r="L40" s="83">
        <v>325.83333333333331</v>
      </c>
      <c r="M40" s="83">
        <v>324</v>
      </c>
      <c r="N40" s="83">
        <v>326.93333333333334</v>
      </c>
      <c r="O40" s="83">
        <v>325</v>
      </c>
      <c r="P40" s="83">
        <v>324.10000000000002</v>
      </c>
      <c r="Q40" s="83">
        <v>323</v>
      </c>
      <c r="R40" s="83">
        <v>324</v>
      </c>
      <c r="S40" s="83">
        <v>324</v>
      </c>
      <c r="V40" s="79"/>
    </row>
    <row r="41" spans="2:22">
      <c r="B41" s="80" t="s">
        <v>215</v>
      </c>
      <c r="C41" s="80" t="s">
        <v>113</v>
      </c>
      <c r="D41" s="79" t="s">
        <v>137</v>
      </c>
      <c r="E41" s="124" t="s">
        <v>132</v>
      </c>
      <c r="F41" s="85" t="s">
        <v>157</v>
      </c>
      <c r="G41" s="82">
        <f t="shared" si="1"/>
        <v>4.6055555555555552</v>
      </c>
      <c r="H41" s="83">
        <v>5</v>
      </c>
      <c r="I41" s="83">
        <v>5</v>
      </c>
      <c r="J41" s="83">
        <v>5</v>
      </c>
      <c r="K41" s="83">
        <v>5</v>
      </c>
      <c r="L41" s="83">
        <v>5</v>
      </c>
      <c r="M41" s="83">
        <v>5</v>
      </c>
      <c r="N41" s="83">
        <v>5</v>
      </c>
      <c r="O41" s="83">
        <v>4.2666666666666666</v>
      </c>
      <c r="P41" s="83">
        <v>4</v>
      </c>
      <c r="Q41" s="83">
        <v>4</v>
      </c>
      <c r="R41" s="83">
        <v>4</v>
      </c>
      <c r="S41" s="83">
        <v>4</v>
      </c>
      <c r="V41" s="79"/>
    </row>
    <row r="42" spans="2:22">
      <c r="B42" s="80" t="s">
        <v>215</v>
      </c>
      <c r="C42" s="80" t="s">
        <v>114</v>
      </c>
      <c r="D42" s="79" t="s">
        <v>136</v>
      </c>
      <c r="E42" s="124" t="s">
        <v>132</v>
      </c>
      <c r="F42" s="81" t="s">
        <v>212</v>
      </c>
      <c r="G42" s="82">
        <f t="shared" si="1"/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V42" s="79"/>
    </row>
    <row r="43" spans="2:22">
      <c r="B43" s="80" t="s">
        <v>215</v>
      </c>
      <c r="C43" s="80" t="s">
        <v>114</v>
      </c>
      <c r="D43" s="79" t="s">
        <v>136</v>
      </c>
      <c r="E43" s="124" t="s">
        <v>132</v>
      </c>
      <c r="F43" s="84" t="s">
        <v>213</v>
      </c>
      <c r="G43" s="82">
        <f t="shared" si="1"/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V43" s="79"/>
    </row>
    <row r="44" spans="2:22">
      <c r="B44" s="80" t="s">
        <v>215</v>
      </c>
      <c r="C44" s="80" t="s">
        <v>114</v>
      </c>
      <c r="D44" s="79" t="s">
        <v>136</v>
      </c>
      <c r="E44" s="124" t="s">
        <v>132</v>
      </c>
      <c r="F44" s="85" t="s">
        <v>214</v>
      </c>
      <c r="G44" s="82">
        <f t="shared" si="1"/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V44" s="79"/>
    </row>
    <row r="45" spans="2:22">
      <c r="B45" s="80" t="s">
        <v>215</v>
      </c>
      <c r="C45" s="80" t="s">
        <v>114</v>
      </c>
      <c r="D45" s="79" t="s">
        <v>136</v>
      </c>
      <c r="E45" s="124" t="s">
        <v>132</v>
      </c>
      <c r="F45" s="85" t="s">
        <v>155</v>
      </c>
      <c r="G45" s="82">
        <f t="shared" si="1"/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V45" s="79"/>
    </row>
    <row r="46" spans="2:22">
      <c r="B46" s="80" t="s">
        <v>215</v>
      </c>
      <c r="C46" s="80" t="s">
        <v>114</v>
      </c>
      <c r="D46" s="79" t="s">
        <v>136</v>
      </c>
      <c r="E46" s="124" t="s">
        <v>132</v>
      </c>
      <c r="F46" s="85" t="s">
        <v>156</v>
      </c>
      <c r="G46" s="82">
        <f t="shared" si="1"/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V46" s="79"/>
    </row>
    <row r="47" spans="2:22">
      <c r="B47" s="80" t="s">
        <v>215</v>
      </c>
      <c r="C47" s="80" t="s">
        <v>114</v>
      </c>
      <c r="D47" s="79" t="s">
        <v>136</v>
      </c>
      <c r="E47" s="124" t="s">
        <v>132</v>
      </c>
      <c r="F47" s="85" t="s">
        <v>157</v>
      </c>
      <c r="G47" s="82">
        <f t="shared" si="1"/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V47" s="79"/>
    </row>
    <row r="48" spans="2:22">
      <c r="B48" s="80" t="s">
        <v>215</v>
      </c>
      <c r="C48" s="80" t="s">
        <v>114</v>
      </c>
      <c r="D48" s="79" t="s">
        <v>137</v>
      </c>
      <c r="E48" s="124" t="s">
        <v>132</v>
      </c>
      <c r="F48" s="81" t="s">
        <v>212</v>
      </c>
      <c r="G48" s="82">
        <f t="shared" si="1"/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V48" s="79"/>
    </row>
    <row r="49" spans="2:22">
      <c r="B49" s="80" t="s">
        <v>215</v>
      </c>
      <c r="C49" s="80" t="s">
        <v>114</v>
      </c>
      <c r="D49" s="79" t="s">
        <v>137</v>
      </c>
      <c r="E49" s="124" t="s">
        <v>132</v>
      </c>
      <c r="F49" s="84" t="s">
        <v>213</v>
      </c>
      <c r="G49" s="82">
        <f t="shared" si="1"/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V49" s="79"/>
    </row>
    <row r="50" spans="2:22">
      <c r="B50" s="80" t="s">
        <v>215</v>
      </c>
      <c r="C50" s="80" t="s">
        <v>114</v>
      </c>
      <c r="D50" s="79" t="s">
        <v>137</v>
      </c>
      <c r="E50" s="124" t="s">
        <v>132</v>
      </c>
      <c r="F50" s="85" t="s">
        <v>214</v>
      </c>
      <c r="G50" s="82">
        <f t="shared" si="1"/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V50" s="79"/>
    </row>
    <row r="51" spans="2:22">
      <c r="B51" s="80" t="s">
        <v>215</v>
      </c>
      <c r="C51" s="80" t="s">
        <v>114</v>
      </c>
      <c r="D51" s="79" t="s">
        <v>137</v>
      </c>
      <c r="E51" s="124" t="s">
        <v>132</v>
      </c>
      <c r="F51" s="85" t="s">
        <v>155</v>
      </c>
      <c r="G51" s="82">
        <f t="shared" si="1"/>
        <v>4.833333333333333</v>
      </c>
      <c r="H51" s="83">
        <v>4</v>
      </c>
      <c r="I51" s="83">
        <v>4</v>
      </c>
      <c r="J51" s="83">
        <v>5</v>
      </c>
      <c r="K51" s="83">
        <v>5</v>
      </c>
      <c r="L51" s="83">
        <v>5</v>
      </c>
      <c r="M51" s="83">
        <v>5</v>
      </c>
      <c r="N51" s="83">
        <v>5</v>
      </c>
      <c r="O51" s="83">
        <v>5</v>
      </c>
      <c r="P51" s="83">
        <v>5</v>
      </c>
      <c r="Q51" s="83">
        <v>5</v>
      </c>
      <c r="R51" s="83">
        <v>5</v>
      </c>
      <c r="S51" s="83">
        <v>5</v>
      </c>
      <c r="V51" s="79"/>
    </row>
    <row r="52" spans="2:22">
      <c r="B52" s="80" t="s">
        <v>215</v>
      </c>
      <c r="C52" s="80" t="s">
        <v>114</v>
      </c>
      <c r="D52" s="79" t="s">
        <v>137</v>
      </c>
      <c r="E52" s="124" t="s">
        <v>132</v>
      </c>
      <c r="F52" s="85" t="s">
        <v>156</v>
      </c>
      <c r="G52" s="82">
        <f t="shared" si="1"/>
        <v>5</v>
      </c>
      <c r="H52" s="83">
        <v>5</v>
      </c>
      <c r="I52" s="83">
        <v>5</v>
      </c>
      <c r="J52" s="83">
        <v>5</v>
      </c>
      <c r="K52" s="83">
        <v>5</v>
      </c>
      <c r="L52" s="83">
        <v>5</v>
      </c>
      <c r="M52" s="83">
        <v>5</v>
      </c>
      <c r="N52" s="83">
        <v>5</v>
      </c>
      <c r="O52" s="83">
        <v>5</v>
      </c>
      <c r="P52" s="83">
        <v>5</v>
      </c>
      <c r="Q52" s="83">
        <v>5</v>
      </c>
      <c r="R52" s="83">
        <v>5</v>
      </c>
      <c r="S52" s="83">
        <v>5</v>
      </c>
      <c r="V52" s="79"/>
    </row>
    <row r="53" spans="2:22">
      <c r="B53" s="80" t="s">
        <v>215</v>
      </c>
      <c r="C53" s="80" t="s">
        <v>114</v>
      </c>
      <c r="D53" s="79" t="s">
        <v>137</v>
      </c>
      <c r="E53" s="124" t="s">
        <v>132</v>
      </c>
      <c r="F53" s="85" t="s">
        <v>157</v>
      </c>
      <c r="G53" s="90">
        <f t="shared" si="1"/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V53" s="87">
        <f>'Normalized Summary'!E21+'Normalized Summary'!E37+'Normalized Summary'!E55-SUM(G30:G53)</f>
        <v>0</v>
      </c>
    </row>
    <row r="54" spans="2:22">
      <c r="B54" s="77"/>
      <c r="C54" s="77"/>
      <c r="D54" s="72"/>
      <c r="E54" s="125"/>
      <c r="F54" s="73"/>
      <c r="G54" s="12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V54" s="79"/>
    </row>
    <row r="55" spans="2:22">
      <c r="B55" s="80" t="s">
        <v>89</v>
      </c>
      <c r="C55" s="80" t="s">
        <v>132</v>
      </c>
      <c r="D55" s="79" t="s">
        <v>136</v>
      </c>
      <c r="E55" s="124" t="s">
        <v>132</v>
      </c>
      <c r="F55" s="81" t="s">
        <v>212</v>
      </c>
      <c r="G55" s="82">
        <f t="shared" ref="G55:G66" si="2">SUM(H55:S55)/IF(OR(B55="Schedule 40",E55="Annual Bill"),1,12)</f>
        <v>667.17906004130259</v>
      </c>
      <c r="H55" s="83">
        <v>1.2111490221156687</v>
      </c>
      <c r="I55" s="83">
        <v>0.66584472427294938</v>
      </c>
      <c r="J55" s="83">
        <v>1.6110978366072406</v>
      </c>
      <c r="K55" s="83">
        <v>2.5288286369857524</v>
      </c>
      <c r="L55" s="83">
        <v>652.78941331098713</v>
      </c>
      <c r="M55" s="83">
        <v>1.643835616438356E-2</v>
      </c>
      <c r="N55" s="83">
        <v>8.4969389909225257E-2</v>
      </c>
      <c r="O55" s="83">
        <v>0.11779607346421787</v>
      </c>
      <c r="P55" s="83">
        <v>1.3725986911547394</v>
      </c>
      <c r="Q55" s="83">
        <v>0.38632045598480053</v>
      </c>
      <c r="R55" s="83">
        <v>1.7451973823094786</v>
      </c>
      <c r="S55" s="83">
        <v>4.6494061613471329</v>
      </c>
      <c r="V55" s="79"/>
    </row>
    <row r="56" spans="2:22">
      <c r="B56" s="80" t="s">
        <v>89</v>
      </c>
      <c r="C56" s="80" t="s">
        <v>132</v>
      </c>
      <c r="D56" s="79" t="s">
        <v>136</v>
      </c>
      <c r="E56" s="124" t="s">
        <v>132</v>
      </c>
      <c r="F56" s="84" t="s">
        <v>213</v>
      </c>
      <c r="G56" s="82">
        <f t="shared" si="2"/>
        <v>301.48740094974949</v>
      </c>
      <c r="H56" s="83">
        <v>0.17532193371332067</v>
      </c>
      <c r="I56" s="83">
        <v>0</v>
      </c>
      <c r="J56" s="83">
        <v>0.79726027397260268</v>
      </c>
      <c r="K56" s="83">
        <v>4.1645112159786128</v>
      </c>
      <c r="L56" s="83">
        <v>292.69541728574438</v>
      </c>
      <c r="M56" s="83">
        <v>0.10686406343532842</v>
      </c>
      <c r="N56" s="83">
        <v>0</v>
      </c>
      <c r="O56" s="83">
        <v>0.15072830905636478</v>
      </c>
      <c r="P56" s="83">
        <v>0.41925269157694744</v>
      </c>
      <c r="Q56" s="83">
        <v>0.67943846316233913</v>
      </c>
      <c r="R56" s="83">
        <v>0.88769263246780672</v>
      </c>
      <c r="S56" s="83">
        <v>1.4109140806417564</v>
      </c>
      <c r="V56" s="79"/>
    </row>
    <row r="57" spans="2:22">
      <c r="B57" s="80" t="s">
        <v>89</v>
      </c>
      <c r="C57" s="80" t="s">
        <v>132</v>
      </c>
      <c r="D57" s="79" t="s">
        <v>136</v>
      </c>
      <c r="E57" s="124" t="s">
        <v>132</v>
      </c>
      <c r="F57" s="85" t="s">
        <v>214</v>
      </c>
      <c r="G57" s="82">
        <f t="shared" si="2"/>
        <v>35.115068493150687</v>
      </c>
      <c r="H57" s="83">
        <v>0</v>
      </c>
      <c r="I57" s="83">
        <v>0</v>
      </c>
      <c r="J57" s="83">
        <v>0</v>
      </c>
      <c r="K57" s="83">
        <v>0</v>
      </c>
      <c r="L57" s="83">
        <v>35.115068493150687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V57" s="79"/>
    </row>
    <row r="58" spans="2:22">
      <c r="B58" s="80" t="s">
        <v>89</v>
      </c>
      <c r="C58" s="80" t="s">
        <v>132</v>
      </c>
      <c r="D58" s="79" t="s">
        <v>136</v>
      </c>
      <c r="E58" s="124" t="s">
        <v>132</v>
      </c>
      <c r="F58" s="85" t="s">
        <v>155</v>
      </c>
      <c r="G58" s="82">
        <f t="shared" si="2"/>
        <v>1</v>
      </c>
      <c r="H58" s="83">
        <v>0</v>
      </c>
      <c r="I58" s="83">
        <v>0</v>
      </c>
      <c r="J58" s="83">
        <v>0</v>
      </c>
      <c r="K58" s="83">
        <v>0</v>
      </c>
      <c r="L58" s="83">
        <v>1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V58" s="79"/>
    </row>
    <row r="59" spans="2:22">
      <c r="B59" s="80" t="s">
        <v>89</v>
      </c>
      <c r="C59" s="80" t="s">
        <v>132</v>
      </c>
      <c r="D59" s="79" t="s">
        <v>136</v>
      </c>
      <c r="E59" s="124" t="s">
        <v>132</v>
      </c>
      <c r="F59" s="85" t="s">
        <v>156</v>
      </c>
      <c r="G59" s="82">
        <f t="shared" si="2"/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V59" s="79"/>
    </row>
    <row r="60" spans="2:22">
      <c r="B60" s="80" t="s">
        <v>89</v>
      </c>
      <c r="C60" s="80" t="s">
        <v>132</v>
      </c>
      <c r="D60" s="79" t="s">
        <v>136</v>
      </c>
      <c r="E60" s="124" t="s">
        <v>132</v>
      </c>
      <c r="F60" s="85" t="s">
        <v>157</v>
      </c>
      <c r="G60" s="82">
        <f t="shared" si="2"/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V60" s="79"/>
    </row>
    <row r="61" spans="2:22">
      <c r="B61" s="80" t="s">
        <v>89</v>
      </c>
      <c r="C61" s="80" t="s">
        <v>132</v>
      </c>
      <c r="D61" s="79" t="s">
        <v>137</v>
      </c>
      <c r="E61" s="124" t="s">
        <v>132</v>
      </c>
      <c r="F61" s="81" t="s">
        <v>212</v>
      </c>
      <c r="G61" s="82">
        <f t="shared" si="2"/>
        <v>804.1870461182574</v>
      </c>
      <c r="H61" s="83">
        <v>2.9945345975148667</v>
      </c>
      <c r="I61" s="83">
        <v>6.3479014666403977</v>
      </c>
      <c r="J61" s="83">
        <v>6.2027829470941285</v>
      </c>
      <c r="K61" s="83">
        <v>6.3287102265919293</v>
      </c>
      <c r="L61" s="83">
        <v>773.30215016834757</v>
      </c>
      <c r="M61" s="83">
        <v>9.8626377598676679E-2</v>
      </c>
      <c r="N61" s="83">
        <v>0.93424108085286051</v>
      </c>
      <c r="O61" s="83">
        <v>0.44384631623390336</v>
      </c>
      <c r="P61" s="83">
        <v>1.071247625079164</v>
      </c>
      <c r="Q61" s="83">
        <v>2.7369498642282704</v>
      </c>
      <c r="R61" s="83">
        <v>1.6712581802828796</v>
      </c>
      <c r="S61" s="83">
        <v>2.0547972677927477</v>
      </c>
      <c r="V61" s="79"/>
    </row>
    <row r="62" spans="2:22">
      <c r="B62" s="80" t="s">
        <v>89</v>
      </c>
      <c r="C62" s="80" t="s">
        <v>132</v>
      </c>
      <c r="D62" s="79" t="s">
        <v>137</v>
      </c>
      <c r="E62" s="124" t="s">
        <v>132</v>
      </c>
      <c r="F62" s="84" t="s">
        <v>213</v>
      </c>
      <c r="G62" s="82">
        <f t="shared" si="2"/>
        <v>859.27562595751363</v>
      </c>
      <c r="H62" s="83">
        <v>1.1397076040197085</v>
      </c>
      <c r="I62" s="83">
        <v>2.0574934958407827</v>
      </c>
      <c r="J62" s="83">
        <v>0.77260079981729157</v>
      </c>
      <c r="K62" s="83">
        <v>5.0657352544107077</v>
      </c>
      <c r="L62" s="83">
        <v>840.40733687384716</v>
      </c>
      <c r="M62" s="83">
        <v>0.18629934557736966</v>
      </c>
      <c r="N62" s="83">
        <v>0.6740025332488917</v>
      </c>
      <c r="O62" s="83">
        <v>1.4793645767363313</v>
      </c>
      <c r="P62" s="83">
        <v>1.6629723453662655</v>
      </c>
      <c r="Q62" s="83">
        <v>1.7533776651889381</v>
      </c>
      <c r="R62" s="83">
        <v>2.0109774118640491</v>
      </c>
      <c r="S62" s="83">
        <v>2.0657580515961493</v>
      </c>
      <c r="V62" s="79"/>
    </row>
    <row r="63" spans="2:22">
      <c r="B63" s="80" t="s">
        <v>89</v>
      </c>
      <c r="C63" s="80" t="s">
        <v>132</v>
      </c>
      <c r="D63" s="79" t="s">
        <v>137</v>
      </c>
      <c r="E63" s="124" t="s">
        <v>132</v>
      </c>
      <c r="F63" s="85" t="s">
        <v>214</v>
      </c>
      <c r="G63" s="82">
        <f t="shared" si="2"/>
        <v>2322.0521429840292</v>
      </c>
      <c r="H63" s="83">
        <v>1.3232876712328767</v>
      </c>
      <c r="I63" s="83">
        <v>8.4328767123287705</v>
      </c>
      <c r="J63" s="83">
        <v>6.9178082191780828</v>
      </c>
      <c r="K63" s="83">
        <v>15.400000000000007</v>
      </c>
      <c r="L63" s="83">
        <v>2271.5590658963406</v>
      </c>
      <c r="M63" s="83">
        <v>7.6731704072573556E-2</v>
      </c>
      <c r="N63" s="83">
        <v>1.440996411230737</v>
      </c>
      <c r="O63" s="83">
        <v>2.6383259446907332</v>
      </c>
      <c r="P63" s="83">
        <v>1.3616212792906905</v>
      </c>
      <c r="Q63" s="83">
        <v>4.1451868271057641</v>
      </c>
      <c r="R63" s="83">
        <v>4.5424724046489171</v>
      </c>
      <c r="S63" s="83">
        <v>4.2137699139100233</v>
      </c>
      <c r="V63" s="79"/>
    </row>
    <row r="64" spans="2:22">
      <c r="B64" s="80" t="s">
        <v>89</v>
      </c>
      <c r="C64" s="80" t="s">
        <v>132</v>
      </c>
      <c r="D64" s="79" t="s">
        <v>137</v>
      </c>
      <c r="E64" s="124" t="s">
        <v>132</v>
      </c>
      <c r="F64" s="85" t="s">
        <v>155</v>
      </c>
      <c r="G64" s="82">
        <f t="shared" si="2"/>
        <v>137.56713016786426</v>
      </c>
      <c r="H64" s="83">
        <v>0</v>
      </c>
      <c r="I64" s="83">
        <v>0</v>
      </c>
      <c r="J64" s="83">
        <v>0</v>
      </c>
      <c r="K64" s="83">
        <v>0</v>
      </c>
      <c r="L64" s="83">
        <v>136.05483205420927</v>
      </c>
      <c r="M64" s="83">
        <v>0</v>
      </c>
      <c r="N64" s="83">
        <v>0</v>
      </c>
      <c r="O64" s="83">
        <v>0.19453240447540637</v>
      </c>
      <c r="P64" s="83">
        <v>0</v>
      </c>
      <c r="Q64" s="83">
        <v>0.91228625712476252</v>
      </c>
      <c r="R64" s="83">
        <v>0.40547945205479452</v>
      </c>
      <c r="S64" s="83">
        <v>0</v>
      </c>
      <c r="V64" s="79"/>
    </row>
    <row r="65" spans="2:22">
      <c r="B65" s="80" t="s">
        <v>89</v>
      </c>
      <c r="C65" s="80" t="s">
        <v>132</v>
      </c>
      <c r="D65" s="79" t="s">
        <v>137</v>
      </c>
      <c r="E65" s="124" t="s">
        <v>132</v>
      </c>
      <c r="F65" s="85" t="s">
        <v>156</v>
      </c>
      <c r="G65" s="82">
        <f t="shared" si="2"/>
        <v>13</v>
      </c>
      <c r="H65" s="83">
        <v>0</v>
      </c>
      <c r="I65" s="83">
        <v>0</v>
      </c>
      <c r="J65" s="83">
        <v>0</v>
      </c>
      <c r="K65" s="83">
        <v>0</v>
      </c>
      <c r="L65" s="83">
        <v>13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V65" s="79"/>
    </row>
    <row r="66" spans="2:22">
      <c r="B66" s="88" t="s">
        <v>89</v>
      </c>
      <c r="C66" s="88" t="s">
        <v>132</v>
      </c>
      <c r="D66" s="87" t="s">
        <v>137</v>
      </c>
      <c r="E66" s="126" t="s">
        <v>132</v>
      </c>
      <c r="F66" s="89" t="s">
        <v>157</v>
      </c>
      <c r="G66" s="90">
        <f t="shared" si="2"/>
        <v>0</v>
      </c>
      <c r="H66" s="91">
        <v>0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0</v>
      </c>
      <c r="S66" s="91">
        <v>0</v>
      </c>
      <c r="V66" s="87">
        <f>ROUND('Normalized Summary'!E74-SUM(G55:G66),9)</f>
        <v>0</v>
      </c>
    </row>
    <row r="68" spans="2:22">
      <c r="G68" s="92"/>
    </row>
    <row r="69" spans="2:22">
      <c r="F69" s="67"/>
    </row>
  </sheetData>
  <printOptions horizontalCentered="1"/>
  <pageMargins left="0.22" right="0.5" top="0.5" bottom="0.55000000000000004" header="0.5" footer="0.38"/>
  <pageSetup scale="47" orientation="landscape" r:id="rId1"/>
  <headerFooter alignWithMargins="0"/>
  <ignoredErrors>
    <ignoredError sqref="F54:F66 F5:F10 F17:F22 F29:F53 F11:F16 F23:F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0F8-D2E0-41B1-AB5F-66C79679F0F0}">
  <sheetPr>
    <pageSetUpPr autoPageBreaks="0"/>
  </sheetPr>
  <dimension ref="B2:N4"/>
  <sheetViews>
    <sheetView showGridLines="0" zoomScale="70" zoomScaleNormal="70" zoomScaleSheetLayoutView="70" workbookViewId="0"/>
  </sheetViews>
  <sheetFormatPr defaultRowHeight="15.75"/>
  <cols>
    <col min="1" max="1" width="0.875" customWidth="1"/>
    <col min="2" max="2" width="15.125" style="156" customWidth="1"/>
    <col min="3" max="14" width="15.125" customWidth="1"/>
    <col min="15" max="15" width="0.875" customWidth="1"/>
  </cols>
  <sheetData>
    <row r="2" spans="2:14">
      <c r="B2" s="220" t="s">
        <v>581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2:14">
      <c r="B3" s="158" t="s">
        <v>154</v>
      </c>
      <c r="C3" s="157">
        <v>44378</v>
      </c>
      <c r="D3" s="157">
        <v>44409</v>
      </c>
      <c r="E3" s="157">
        <v>44440</v>
      </c>
      <c r="F3" s="157">
        <v>44470</v>
      </c>
      <c r="G3" s="157">
        <v>44501</v>
      </c>
      <c r="H3" s="157">
        <v>44531</v>
      </c>
      <c r="I3" s="157">
        <v>44562</v>
      </c>
      <c r="J3" s="157">
        <v>44593</v>
      </c>
      <c r="K3" s="157">
        <v>44621</v>
      </c>
      <c r="L3" s="157">
        <v>44652</v>
      </c>
      <c r="M3" s="157">
        <v>44682</v>
      </c>
      <c r="N3" s="157">
        <v>44713</v>
      </c>
    </row>
    <row r="4" spans="2:14">
      <c r="B4" s="160">
        <f>SUM(C4:N4)/12</f>
        <v>3432</v>
      </c>
      <c r="C4" s="159">
        <v>4470</v>
      </c>
      <c r="D4" s="159">
        <v>4439</v>
      </c>
      <c r="E4" s="159">
        <v>4390</v>
      </c>
      <c r="F4" s="159">
        <v>4080</v>
      </c>
      <c r="G4" s="159">
        <v>5147</v>
      </c>
      <c r="H4" s="159">
        <v>1893</v>
      </c>
      <c r="I4" s="159">
        <v>1821</v>
      </c>
      <c r="J4" s="159">
        <v>1751</v>
      </c>
      <c r="K4" s="159">
        <v>2062</v>
      </c>
      <c r="L4" s="159">
        <v>3201</v>
      </c>
      <c r="M4" s="159">
        <v>3778</v>
      </c>
      <c r="N4" s="159">
        <v>4152</v>
      </c>
    </row>
  </sheetData>
  <pageMargins left="0.7" right="0.7" top="0.75" bottom="0.75" header="0.3" footer="0.3"/>
  <pageSetup scal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C501-BE83-455E-BF52-996D377EA438}">
  <sheetPr filterMode="1">
    <pageSetUpPr autoPageBreaks="0" fitToPage="1"/>
  </sheetPr>
  <dimension ref="A1:J152"/>
  <sheetViews>
    <sheetView showGridLines="0" zoomScale="70" zoomScaleNormal="70" workbookViewId="0">
      <pane ySplit="2" topLeftCell="A110" activePane="bottomLeft" state="frozen"/>
      <selection pane="bottomLeft" activeCell="A110" sqref="A110"/>
    </sheetView>
  </sheetViews>
  <sheetFormatPr defaultColWidth="9" defaultRowHeight="15.75"/>
  <cols>
    <col min="1" max="1" width="12.625" style="65" bestFit="1" customWidth="1"/>
    <col min="2" max="2" width="15.125" style="65" bestFit="1" customWidth="1"/>
    <col min="3" max="3" width="50.625" style="65" bestFit="1" customWidth="1"/>
    <col min="4" max="4" width="14" style="65" bestFit="1" customWidth="1"/>
    <col min="5" max="5" width="15.125" style="65" bestFit="1" customWidth="1"/>
    <col min="6" max="6" width="13.375" style="65" bestFit="1" customWidth="1"/>
    <col min="7" max="7" width="11.875" style="65" bestFit="1" customWidth="1"/>
    <col min="8" max="8" width="14" style="5" bestFit="1" customWidth="1"/>
    <col min="9" max="9" width="15.125" style="5" bestFit="1" customWidth="1"/>
    <col min="10" max="10" width="28.75" style="5" bestFit="1" customWidth="1"/>
    <col min="11" max="16384" width="9" style="65"/>
  </cols>
  <sheetData>
    <row r="1" spans="1:10" s="5" customFormat="1">
      <c r="A1" s="294"/>
      <c r="B1" s="294" t="s">
        <v>6</v>
      </c>
      <c r="C1" s="294"/>
      <c r="D1" s="294"/>
      <c r="E1" s="294"/>
      <c r="F1" s="294"/>
      <c r="G1" s="294"/>
      <c r="H1" s="278" t="s">
        <v>293</v>
      </c>
      <c r="I1" s="278"/>
      <c r="J1" s="294"/>
    </row>
    <row r="2" spans="1:10" s="5" customFormat="1">
      <c r="A2" s="283" t="s">
        <v>90</v>
      </c>
      <c r="B2" s="283" t="s">
        <v>149</v>
      </c>
      <c r="C2" s="283" t="s">
        <v>148</v>
      </c>
      <c r="D2" s="283" t="s">
        <v>151</v>
      </c>
      <c r="E2" s="283" t="s">
        <v>4</v>
      </c>
      <c r="F2" s="283" t="s">
        <v>19</v>
      </c>
      <c r="G2" s="283" t="s">
        <v>158</v>
      </c>
      <c r="H2" s="282" t="s">
        <v>151</v>
      </c>
      <c r="I2" s="182" t="s">
        <v>4</v>
      </c>
      <c r="J2" s="283" t="s">
        <v>147</v>
      </c>
    </row>
    <row r="3" spans="1:10" hidden="1">
      <c r="A3" s="597" t="s">
        <v>3</v>
      </c>
      <c r="B3" s="597" t="s">
        <v>224</v>
      </c>
      <c r="C3" s="597" t="s">
        <v>61</v>
      </c>
      <c r="D3" s="597">
        <v>18030</v>
      </c>
      <c r="E3" s="597">
        <v>27342095</v>
      </c>
      <c r="F3" s="597">
        <v>-253580.78</v>
      </c>
      <c r="G3" s="597">
        <v>0</v>
      </c>
      <c r="H3" s="174">
        <f>IF(AND(B3&lt;&gt;"B",J3&lt;&gt;"Blue Sky",J3&lt;&gt;"Ignore"),D3,0)</f>
        <v>0</v>
      </c>
      <c r="I3" s="174" cm="1">
        <f t="array" ref="I3">IF(OR(B3={"R","U"}),E3,0)</f>
        <v>0</v>
      </c>
      <c r="J3" s="174" t="str">
        <f>IF(B3="U","Unbilled",INDEX(Code!B:B,MATCH(LEFT(C3,10),Code!A:A,0)))</f>
        <v>Schedule 24</v>
      </c>
    </row>
    <row r="4" spans="1:10" hidden="1">
      <c r="A4" s="597" t="s">
        <v>3</v>
      </c>
      <c r="B4" s="597" t="s">
        <v>224</v>
      </c>
      <c r="C4" s="597" t="s">
        <v>56</v>
      </c>
      <c r="D4" s="597">
        <v>12</v>
      </c>
      <c r="E4" s="597">
        <v>868</v>
      </c>
      <c r="F4" s="597">
        <v>-8.11</v>
      </c>
      <c r="G4" s="597">
        <v>0</v>
      </c>
      <c r="H4" s="174">
        <f t="shared" ref="H4:H67" si="0">IF(AND(B4&lt;&gt;"B",J4&lt;&gt;"Blue Sky",J4&lt;&gt;"Ignore"),D4,0)</f>
        <v>0</v>
      </c>
      <c r="I4" s="174" cm="1">
        <f t="array" ref="I4">IF(OR(B4={"R","U"}),E4,0)</f>
        <v>0</v>
      </c>
      <c r="J4" s="174" t="str">
        <f>IF(B4="U","Unbilled",INDEX(Code!B:B,MATCH(LEFT(C4,10),Code!A:A,0)))</f>
        <v>Schedule 24</v>
      </c>
    </row>
    <row r="5" spans="1:10" hidden="1">
      <c r="A5" s="597" t="s">
        <v>3</v>
      </c>
      <c r="B5" s="597" t="s">
        <v>224</v>
      </c>
      <c r="C5" s="597" t="s">
        <v>62</v>
      </c>
      <c r="D5" s="597">
        <v>782</v>
      </c>
      <c r="E5" s="597">
        <v>356050</v>
      </c>
      <c r="F5" s="597">
        <v>-3532.49</v>
      </c>
      <c r="G5" s="597">
        <v>0</v>
      </c>
      <c r="H5" s="174">
        <f t="shared" si="0"/>
        <v>0</v>
      </c>
      <c r="I5" s="174" cm="1">
        <f t="array" ref="I5">IF(OR(B5={"R","U"}),E5,0)</f>
        <v>0</v>
      </c>
      <c r="J5" s="174" t="str">
        <f>IF(B5="U","Unbilled",INDEX(Code!B:B,MATCH(LEFT(C5,10),Code!A:A,0)))</f>
        <v>Schedule 24</v>
      </c>
    </row>
    <row r="6" spans="1:10" hidden="1">
      <c r="A6" s="597" t="s">
        <v>3</v>
      </c>
      <c r="B6" s="597" t="s">
        <v>224</v>
      </c>
      <c r="C6" s="597" t="s">
        <v>59</v>
      </c>
      <c r="D6" s="597">
        <v>906</v>
      </c>
      <c r="E6" s="597">
        <v>41663167</v>
      </c>
      <c r="F6" s="597">
        <v>-386303.77</v>
      </c>
      <c r="G6" s="597">
        <v>0</v>
      </c>
      <c r="H6" s="174">
        <f t="shared" si="0"/>
        <v>0</v>
      </c>
      <c r="I6" s="174" cm="1">
        <f t="array" ref="I6">IF(OR(B6={"R","U"}),E6,0)</f>
        <v>0</v>
      </c>
      <c r="J6" s="174" t="str">
        <f>IF(B6="U","Unbilled",INDEX(Code!B:B,MATCH(LEFT(C6,10),Code!A:A,0)))</f>
        <v>Schedule 29,36</v>
      </c>
    </row>
    <row r="7" spans="1:10" hidden="1">
      <c r="A7" s="597" t="s">
        <v>3</v>
      </c>
      <c r="B7" s="597" t="s">
        <v>224</v>
      </c>
      <c r="C7" s="597" t="s">
        <v>225</v>
      </c>
      <c r="D7" s="597">
        <v>306</v>
      </c>
      <c r="E7" s="597">
        <v>127958</v>
      </c>
      <c r="F7" s="597">
        <v>-1177.43</v>
      </c>
      <c r="G7" s="597">
        <v>0</v>
      </c>
      <c r="H7" s="174">
        <f t="shared" si="0"/>
        <v>0</v>
      </c>
      <c r="I7" s="174" cm="1">
        <f t="array" ref="I7">IF(OR(B7={"R","U"}),E7,0)</f>
        <v>0</v>
      </c>
      <c r="J7" s="174" t="str">
        <f>IF(B7="U","Unbilled",INDEX(Code!B:B,MATCH(LEFT(C7,10),Code!A:A,0)))</f>
        <v>Schedule 24</v>
      </c>
    </row>
    <row r="8" spans="1:10" hidden="1">
      <c r="A8" s="597" t="s">
        <v>3</v>
      </c>
      <c r="B8" s="597" t="s">
        <v>224</v>
      </c>
      <c r="C8" s="597" t="s">
        <v>226</v>
      </c>
      <c r="D8" s="597">
        <v>3</v>
      </c>
      <c r="E8" s="597">
        <v>12960</v>
      </c>
      <c r="F8" s="597">
        <v>-133.36000000000001</v>
      </c>
      <c r="G8" s="597">
        <v>0</v>
      </c>
      <c r="H8" s="174">
        <f t="shared" si="0"/>
        <v>0</v>
      </c>
      <c r="I8" s="174" cm="1">
        <f t="array" ref="I8">IF(OR(B8={"R","U"}),E8,0)</f>
        <v>0</v>
      </c>
      <c r="J8" s="174" t="str">
        <f>IF(B8="U","Unbilled",INDEX(Code!B:B,MATCH(LEFT(C8,10),Code!A:A,0)))</f>
        <v>Schedule 29,36</v>
      </c>
    </row>
    <row r="9" spans="1:10" hidden="1">
      <c r="A9" s="597" t="s">
        <v>3</v>
      </c>
      <c r="B9" s="597" t="s">
        <v>224</v>
      </c>
      <c r="C9" s="597" t="s">
        <v>60</v>
      </c>
      <c r="D9" s="597"/>
      <c r="E9" s="597">
        <v>127877</v>
      </c>
      <c r="F9" s="597">
        <v>-1217.43</v>
      </c>
      <c r="G9" s="597"/>
      <c r="H9" s="174">
        <f t="shared" si="0"/>
        <v>0</v>
      </c>
      <c r="I9" s="174" cm="1">
        <f t="array" ref="I9">IF(OR(B9={"R","U"}),E9,0)</f>
        <v>0</v>
      </c>
      <c r="J9" s="174" t="str">
        <f>IF(B9="U","Unbilled",INDEX(Code!B:B,MATCH(LEFT(C9,10),Code!A:A,0)))</f>
        <v>Schedule 15</v>
      </c>
    </row>
    <row r="10" spans="1:10" hidden="1">
      <c r="A10" s="597" t="s">
        <v>3</v>
      </c>
      <c r="B10" s="597" t="s">
        <v>224</v>
      </c>
      <c r="C10" s="597" t="s">
        <v>32</v>
      </c>
      <c r="D10" s="597">
        <v>0</v>
      </c>
      <c r="E10" s="597">
        <v>0</v>
      </c>
      <c r="F10" s="597">
        <v>9184.99</v>
      </c>
      <c r="G10" s="597">
        <v>0</v>
      </c>
      <c r="H10" s="174">
        <f t="shared" si="0"/>
        <v>0</v>
      </c>
      <c r="I10" s="174" cm="1">
        <f t="array" ref="I10">IF(OR(B10={"R","U"}),E10,0)</f>
        <v>0</v>
      </c>
      <c r="J10" s="174" t="str">
        <f>IF(B10="U","Unbilled",INDEX(Code!B:B,MATCH(LEFT(C10,10),Code!A:A,0)))</f>
        <v>BPA Bal Acct</v>
      </c>
    </row>
    <row r="11" spans="1:10" hidden="1">
      <c r="A11" s="597" t="s">
        <v>3</v>
      </c>
      <c r="B11" s="597" t="s">
        <v>224</v>
      </c>
      <c r="C11" s="597" t="s">
        <v>33</v>
      </c>
      <c r="D11" s="597">
        <v>0</v>
      </c>
      <c r="E11" s="597"/>
      <c r="F11" s="597"/>
      <c r="G11" s="597">
        <v>19253</v>
      </c>
      <c r="H11" s="174">
        <f t="shared" si="0"/>
        <v>0</v>
      </c>
      <c r="I11" s="174" cm="1">
        <f t="array" ref="I11">IF(OR(B11={"R","U"}),E11,0)</f>
        <v>0</v>
      </c>
      <c r="J11" s="174" t="str">
        <f>IF(B11="U","Unbilled",INDEX(Code!B:B,MATCH(LEFT(C11,10),Code!A:A,0)))</f>
        <v>CustIDs</v>
      </c>
    </row>
    <row r="12" spans="1:10" hidden="1">
      <c r="A12" s="597" t="s">
        <v>3</v>
      </c>
      <c r="B12" s="597" t="s">
        <v>91</v>
      </c>
      <c r="C12" s="597" t="s">
        <v>227</v>
      </c>
      <c r="D12" s="597">
        <v>36</v>
      </c>
      <c r="E12" s="597">
        <v>69815</v>
      </c>
      <c r="F12" s="597">
        <v>12223.87</v>
      </c>
      <c r="G12" s="597">
        <v>0</v>
      </c>
      <c r="H12" s="174">
        <f t="shared" si="0"/>
        <v>36</v>
      </c>
      <c r="I12" s="174" cm="1">
        <f t="array" ref="I12">IF(OR(B12={"R","U"}),E12,0)</f>
        <v>69815</v>
      </c>
      <c r="J12" s="174" t="str">
        <f>IF(B12="U","Unbilled",INDEX(Code!B:B,MATCH(LEFT(C12,10),Code!A:A,0)))</f>
        <v>Schedule 24</v>
      </c>
    </row>
    <row r="13" spans="1:10" hidden="1">
      <c r="A13" s="597" t="s">
        <v>3</v>
      </c>
      <c r="B13" s="597" t="s">
        <v>91</v>
      </c>
      <c r="C13" s="597" t="s">
        <v>57</v>
      </c>
      <c r="D13" s="597">
        <v>18030</v>
      </c>
      <c r="E13" s="597">
        <v>27342077</v>
      </c>
      <c r="F13" s="597">
        <v>2762437.29</v>
      </c>
      <c r="G13" s="597">
        <v>0</v>
      </c>
      <c r="H13" s="174">
        <f t="shared" si="0"/>
        <v>18030</v>
      </c>
      <c r="I13" s="174" cm="1">
        <f t="array" ref="I13">IF(OR(B13={"R","U"}),E13,0)</f>
        <v>27342077</v>
      </c>
      <c r="J13" s="174" t="str">
        <f>IF(B13="U","Unbilled",INDEX(Code!B:B,MATCH(LEFT(C13,10),Code!A:A,0)))</f>
        <v>Schedule 24</v>
      </c>
    </row>
    <row r="14" spans="1:10" hidden="1">
      <c r="A14" s="597" t="s">
        <v>3</v>
      </c>
      <c r="B14" s="597" t="s">
        <v>91</v>
      </c>
      <c r="C14" s="597" t="s">
        <v>64</v>
      </c>
      <c r="D14" s="597">
        <v>12</v>
      </c>
      <c r="E14" s="597">
        <v>868</v>
      </c>
      <c r="F14" s="597">
        <v>214.13</v>
      </c>
      <c r="G14" s="597">
        <v>0</v>
      </c>
      <c r="H14" s="174">
        <f t="shared" si="0"/>
        <v>12</v>
      </c>
      <c r="I14" s="174" cm="1">
        <f t="array" ref="I14">IF(OR(B14={"R","U"}),E14,0)</f>
        <v>868</v>
      </c>
      <c r="J14" s="174" t="str">
        <f>IF(B14="U","Unbilled",INDEX(Code!B:B,MATCH(LEFT(C14,10),Code!A:A,0)))</f>
        <v>Schedule 24</v>
      </c>
    </row>
    <row r="15" spans="1:10" hidden="1">
      <c r="A15" s="597" t="s">
        <v>3</v>
      </c>
      <c r="B15" s="597" t="s">
        <v>91</v>
      </c>
      <c r="C15" s="597" t="s">
        <v>58</v>
      </c>
      <c r="D15" s="597">
        <v>782</v>
      </c>
      <c r="E15" s="597">
        <v>368947</v>
      </c>
      <c r="F15" s="597">
        <v>89557.98</v>
      </c>
      <c r="G15" s="597">
        <v>0</v>
      </c>
      <c r="H15" s="174">
        <f t="shared" si="0"/>
        <v>782</v>
      </c>
      <c r="I15" s="174" cm="1">
        <f t="array" ref="I15">IF(OR(B15={"R","U"}),E15,0)</f>
        <v>368947</v>
      </c>
      <c r="J15" s="174" t="str">
        <f>IF(B15="U","Unbilled",INDEX(Code!B:B,MATCH(LEFT(C15,10),Code!A:A,0)))</f>
        <v>Schedule 24</v>
      </c>
    </row>
    <row r="16" spans="1:10" hidden="1">
      <c r="A16" s="597" t="s">
        <v>3</v>
      </c>
      <c r="B16" s="597" t="s">
        <v>91</v>
      </c>
      <c r="C16" s="597" t="s">
        <v>20</v>
      </c>
      <c r="D16" s="597">
        <v>178735</v>
      </c>
      <c r="E16" s="597">
        <v>474167825</v>
      </c>
      <c r="F16" s="597">
        <v>45228212.670000002</v>
      </c>
      <c r="G16" s="597">
        <v>0</v>
      </c>
      <c r="H16" s="174">
        <f t="shared" si="0"/>
        <v>178735</v>
      </c>
      <c r="I16" s="174" cm="1">
        <f t="array" ref="I16">IF(OR(B16={"R","U"}),E16,0)</f>
        <v>474167825</v>
      </c>
      <c r="J16" s="174" t="str">
        <f>IF(B16="U","Unbilled",INDEX(Code!B:B,MATCH(LEFT(C16,10),Code!A:A,0)))</f>
        <v>Schedule 24</v>
      </c>
    </row>
    <row r="17" spans="1:10" hidden="1">
      <c r="A17" s="597" t="s">
        <v>3</v>
      </c>
      <c r="B17" s="597" t="s">
        <v>91</v>
      </c>
      <c r="C17" s="597" t="s">
        <v>228</v>
      </c>
      <c r="D17" s="597">
        <v>4</v>
      </c>
      <c r="E17" s="597">
        <v>55120</v>
      </c>
      <c r="F17" s="597">
        <v>9521.64</v>
      </c>
      <c r="G17" s="597">
        <v>0</v>
      </c>
      <c r="H17" s="174">
        <f t="shared" si="0"/>
        <v>4</v>
      </c>
      <c r="I17" s="174" cm="1">
        <f t="array" ref="I17">IF(OR(B17={"R","U"}),E17,0)</f>
        <v>55120</v>
      </c>
      <c r="J17" s="174" t="str">
        <f>IF(B17="U","Unbilled",INDEX(Code!B:B,MATCH(LEFT(C17,10),Code!A:A,0)))</f>
        <v>Schedule 29,36</v>
      </c>
    </row>
    <row r="18" spans="1:10" hidden="1">
      <c r="A18" s="597" t="s">
        <v>3</v>
      </c>
      <c r="B18" s="597" t="s">
        <v>91</v>
      </c>
      <c r="C18" s="597" t="s">
        <v>21</v>
      </c>
      <c r="D18" s="597">
        <v>1285</v>
      </c>
      <c r="E18" s="597">
        <v>1226733</v>
      </c>
      <c r="F18" s="597">
        <v>172314.53</v>
      </c>
      <c r="G18" s="597">
        <v>0</v>
      </c>
      <c r="H18" s="174">
        <f t="shared" si="0"/>
        <v>1285</v>
      </c>
      <c r="I18" s="174" cm="1">
        <f t="array" ref="I18">IF(OR(B18={"R","U"}),E18,0)</f>
        <v>1226733</v>
      </c>
      <c r="J18" s="174" t="str">
        <f>IF(B18="U","Unbilled",INDEX(Code!B:B,MATCH(LEFT(C18,10),Code!A:A,0)))</f>
        <v>Schedule 24</v>
      </c>
    </row>
    <row r="19" spans="1:10" hidden="1">
      <c r="A19" s="597" t="s">
        <v>3</v>
      </c>
      <c r="B19" s="597" t="s">
        <v>91</v>
      </c>
      <c r="C19" s="597" t="s">
        <v>65</v>
      </c>
      <c r="D19" s="597">
        <v>906</v>
      </c>
      <c r="E19" s="597">
        <v>41663162</v>
      </c>
      <c r="F19" s="597">
        <v>3456731.16</v>
      </c>
      <c r="G19" s="597">
        <v>0</v>
      </c>
      <c r="H19" s="174">
        <f t="shared" si="0"/>
        <v>906</v>
      </c>
      <c r="I19" s="174" cm="1">
        <f t="array" ref="I19">IF(OR(B19={"R","U"}),E19,0)</f>
        <v>41663162</v>
      </c>
      <c r="J19" s="174" t="str">
        <f>IF(B19="U","Unbilled",INDEX(Code!B:B,MATCH(LEFT(C19,10),Code!A:A,0)))</f>
        <v>Schedule 29,36</v>
      </c>
    </row>
    <row r="20" spans="1:10" hidden="1">
      <c r="A20" s="597" t="s">
        <v>3</v>
      </c>
      <c r="B20" s="597" t="s">
        <v>91</v>
      </c>
      <c r="C20" s="597" t="s">
        <v>22</v>
      </c>
      <c r="D20" s="597">
        <v>10558</v>
      </c>
      <c r="E20" s="597">
        <v>781917413</v>
      </c>
      <c r="F20" s="597">
        <v>62549379.229999997</v>
      </c>
      <c r="G20" s="597">
        <v>0</v>
      </c>
      <c r="H20" s="174">
        <f t="shared" si="0"/>
        <v>10558</v>
      </c>
      <c r="I20" s="174" cm="1">
        <f t="array" ref="I20">IF(OR(B20={"R","U"}),E20,0)</f>
        <v>781917413</v>
      </c>
      <c r="J20" s="174" t="str">
        <f>IF(B20="U","Unbilled",INDEX(Code!B:B,MATCH(LEFT(C20,10),Code!A:A,0)))</f>
        <v>Schedule 29,36</v>
      </c>
    </row>
    <row r="21" spans="1:10" hidden="1">
      <c r="A21" s="597" t="s">
        <v>3</v>
      </c>
      <c r="B21" s="597" t="s">
        <v>91</v>
      </c>
      <c r="C21" s="597" t="s">
        <v>23</v>
      </c>
      <c r="D21" s="597">
        <v>426</v>
      </c>
      <c r="E21" s="597">
        <v>164679880</v>
      </c>
      <c r="F21" s="597">
        <v>12416854.52</v>
      </c>
      <c r="G21" s="597">
        <v>0</v>
      </c>
      <c r="H21" s="174">
        <f t="shared" si="0"/>
        <v>426</v>
      </c>
      <c r="I21" s="174" cm="1">
        <f t="array" ref="I21">IF(OR(B21={"R","U"}),E21,0)</f>
        <v>164679880</v>
      </c>
      <c r="J21" s="174" t="str">
        <f>IF(B21="U","Unbilled",INDEX(Code!B:B,MATCH(LEFT(C21,10),Code!A:A,0)))</f>
        <v>Schedule 48T</v>
      </c>
    </row>
    <row r="22" spans="1:10" hidden="1">
      <c r="A22" s="597" t="s">
        <v>3</v>
      </c>
      <c r="B22" s="597" t="s">
        <v>91</v>
      </c>
      <c r="C22" s="597" t="s">
        <v>24</v>
      </c>
      <c r="D22" s="597"/>
      <c r="E22" s="597">
        <v>0</v>
      </c>
      <c r="F22" s="597">
        <v>100086.33</v>
      </c>
      <c r="G22" s="597"/>
      <c r="H22" s="174">
        <f t="shared" si="0"/>
        <v>0</v>
      </c>
      <c r="I22" s="174" cm="1">
        <f t="array" ref="I22">IF(OR(B22={"R","U"}),E22,0)</f>
        <v>0</v>
      </c>
      <c r="J22" s="174" t="str">
        <f>IF(B22="U","Unbilled",INDEX(Code!B:B,MATCH(LEFT(C22,10),Code!A:A,0)))</f>
        <v>Annual Guarantee Adjustments</v>
      </c>
    </row>
    <row r="23" spans="1:10" hidden="1">
      <c r="A23" s="597" t="s">
        <v>3</v>
      </c>
      <c r="B23" s="597" t="s">
        <v>91</v>
      </c>
      <c r="C23" s="597" t="s">
        <v>25</v>
      </c>
      <c r="D23" s="597"/>
      <c r="E23" s="597">
        <v>0</v>
      </c>
      <c r="F23" s="597">
        <v>30633.63</v>
      </c>
      <c r="G23" s="597"/>
      <c r="H23" s="174">
        <f t="shared" si="0"/>
        <v>0</v>
      </c>
      <c r="I23" s="174" cm="1">
        <f t="array" ref="I23">IF(OR(B23={"R","U"}),E23,0)</f>
        <v>0</v>
      </c>
      <c r="J23" s="174" t="str">
        <f>IF(B23="U","Unbilled",INDEX(Code!B:B,MATCH(LEFT(C23,10),Code!A:A,0)))</f>
        <v>Annual Guarantee Adjustments</v>
      </c>
    </row>
    <row r="24" spans="1:10" hidden="1">
      <c r="A24" s="597" t="s">
        <v>3</v>
      </c>
      <c r="B24" s="597" t="s">
        <v>91</v>
      </c>
      <c r="C24" s="597" t="s">
        <v>26</v>
      </c>
      <c r="D24" s="597"/>
      <c r="E24" s="597">
        <v>0</v>
      </c>
      <c r="F24" s="597">
        <v>2569.3000000000002</v>
      </c>
      <c r="G24" s="597"/>
      <c r="H24" s="174">
        <f t="shared" si="0"/>
        <v>0</v>
      </c>
      <c r="I24" s="174" cm="1">
        <f t="array" ref="I24">IF(OR(B24={"R","U"}),E24,0)</f>
        <v>0</v>
      </c>
      <c r="J24" s="174" t="str">
        <f>IF(B24="U","Unbilled",INDEX(Code!B:B,MATCH(LEFT(C24,10),Code!A:A,0)))</f>
        <v>Annual Guarantee Adjustments</v>
      </c>
    </row>
    <row r="25" spans="1:10" hidden="1">
      <c r="A25" s="597" t="s">
        <v>3</v>
      </c>
      <c r="B25" s="597" t="s">
        <v>91</v>
      </c>
      <c r="C25" s="597" t="s">
        <v>27</v>
      </c>
      <c r="D25" s="597"/>
      <c r="E25" s="597">
        <v>0</v>
      </c>
      <c r="F25" s="597">
        <v>250713.5</v>
      </c>
      <c r="G25" s="597"/>
      <c r="H25" s="174">
        <f t="shared" si="0"/>
        <v>0</v>
      </c>
      <c r="I25" s="174" cm="1">
        <f t="array" ref="I25">IF(OR(B25={"R","U"}),E25,0)</f>
        <v>0</v>
      </c>
      <c r="J25" s="174" t="str">
        <f>IF(B25="U","Unbilled",INDEX(Code!B:B,MATCH(LEFT(C25,10),Code!A:A,0)))</f>
        <v>Annual Guarantee Adjustments</v>
      </c>
    </row>
    <row r="26" spans="1:10" hidden="1">
      <c r="A26" s="597" t="s">
        <v>3</v>
      </c>
      <c r="B26" s="597" t="s">
        <v>91</v>
      </c>
      <c r="C26" s="597" t="s">
        <v>28</v>
      </c>
      <c r="D26" s="597"/>
      <c r="E26" s="597">
        <v>0</v>
      </c>
      <c r="F26" s="597">
        <v>24908.59</v>
      </c>
      <c r="G26" s="597"/>
      <c r="H26" s="174">
        <f t="shared" si="0"/>
        <v>0</v>
      </c>
      <c r="I26" s="174" cm="1">
        <f t="array" ref="I26">IF(OR(B26={"R","U"}),E26,0)</f>
        <v>0</v>
      </c>
      <c r="J26" s="174" t="str">
        <f>IF(B26="U","Unbilled",INDEX(Code!B:B,MATCH(LEFT(C26,10),Code!A:A,0)))</f>
        <v>Annual Guarantee Adjustments</v>
      </c>
    </row>
    <row r="27" spans="1:10" hidden="1">
      <c r="A27" s="597" t="s">
        <v>3</v>
      </c>
      <c r="B27" s="597" t="s">
        <v>91</v>
      </c>
      <c r="C27" s="597" t="s">
        <v>29</v>
      </c>
      <c r="D27" s="597"/>
      <c r="E27" s="597">
        <v>0</v>
      </c>
      <c r="F27" s="597">
        <v>668.76</v>
      </c>
      <c r="G27" s="597"/>
      <c r="H27" s="174">
        <f t="shared" si="0"/>
        <v>0</v>
      </c>
      <c r="I27" s="174" cm="1">
        <f t="array" ref="I27">IF(OR(B27={"R","U"}),E27,0)</f>
        <v>0</v>
      </c>
      <c r="J27" s="174" t="str">
        <f>IF(B27="U","Unbilled",INDEX(Code!B:B,MATCH(LEFT(C27,10),Code!A:A,0)))</f>
        <v>Annual Guarantee Adjustments</v>
      </c>
    </row>
    <row r="28" spans="1:10" hidden="1">
      <c r="A28" s="597" t="s">
        <v>3</v>
      </c>
      <c r="B28" s="597" t="s">
        <v>91</v>
      </c>
      <c r="C28" s="597" t="s">
        <v>53</v>
      </c>
      <c r="D28" s="597"/>
      <c r="E28" s="597">
        <v>0</v>
      </c>
      <c r="F28" s="597">
        <v>15285.11</v>
      </c>
      <c r="G28" s="597"/>
      <c r="H28" s="174">
        <f t="shared" si="0"/>
        <v>0</v>
      </c>
      <c r="I28" s="174" cm="1">
        <f t="array" ref="I28">IF(OR(B28={"R","U"}),E28,0)</f>
        <v>0</v>
      </c>
      <c r="J28" s="174" t="str">
        <f>IF(B28="U","Unbilled",INDEX(Code!B:B,MATCH(LEFT(C28,10),Code!A:A,0)))</f>
        <v>Annual Guarantee Adjustments</v>
      </c>
    </row>
    <row r="29" spans="1:10" hidden="1">
      <c r="A29" s="597" t="s">
        <v>3</v>
      </c>
      <c r="B29" s="597" t="s">
        <v>91</v>
      </c>
      <c r="C29" s="597" t="s">
        <v>69</v>
      </c>
      <c r="D29" s="597"/>
      <c r="E29" s="597">
        <v>0</v>
      </c>
      <c r="F29" s="597">
        <v>3264.55</v>
      </c>
      <c r="G29" s="597"/>
      <c r="H29" s="174">
        <f t="shared" si="0"/>
        <v>0</v>
      </c>
      <c r="I29" s="174" cm="1">
        <f t="array" ref="I29">IF(OR(B29={"R","U"}),E29,0)</f>
        <v>0</v>
      </c>
      <c r="J29" s="174" t="str">
        <f>IF(B29="U","Unbilled",INDEX(Code!B:B,MATCH(LEFT(C29,10),Code!A:A,0)))</f>
        <v>Annual Guarantee Adjustments</v>
      </c>
    </row>
    <row r="30" spans="1:10" hidden="1">
      <c r="A30" s="597" t="s">
        <v>3</v>
      </c>
      <c r="B30" s="597" t="s">
        <v>91</v>
      </c>
      <c r="C30" s="597" t="s">
        <v>68</v>
      </c>
      <c r="D30" s="597"/>
      <c r="E30" s="597">
        <v>0</v>
      </c>
      <c r="F30" s="597">
        <v>34681.9</v>
      </c>
      <c r="G30" s="597"/>
      <c r="H30" s="174">
        <f t="shared" si="0"/>
        <v>0</v>
      </c>
      <c r="I30" s="174" cm="1">
        <f t="array" ref="I30">IF(OR(B30={"R","U"}),E30,0)</f>
        <v>0</v>
      </c>
      <c r="J30" s="174" t="str">
        <f>IF(B30="U","Unbilled",INDEX(Code!B:B,MATCH(LEFT(C30,10),Code!A:A,0)))</f>
        <v>Annual Guarantee Adjustments</v>
      </c>
    </row>
    <row r="31" spans="1:10" hidden="1">
      <c r="A31" s="597" t="s">
        <v>3</v>
      </c>
      <c r="B31" s="597" t="s">
        <v>91</v>
      </c>
      <c r="C31" s="597" t="s">
        <v>70</v>
      </c>
      <c r="D31" s="597"/>
      <c r="E31" s="597">
        <v>0</v>
      </c>
      <c r="F31" s="597">
        <v>10278</v>
      </c>
      <c r="G31" s="597"/>
      <c r="H31" s="174">
        <f t="shared" si="0"/>
        <v>0</v>
      </c>
      <c r="I31" s="174" cm="1">
        <f t="array" ref="I31">IF(OR(B31={"R","U"}),E31,0)</f>
        <v>0</v>
      </c>
      <c r="J31" s="174" t="str">
        <f>IF(B31="U","Unbilled",INDEX(Code!B:B,MATCH(LEFT(C31,10),Code!A:A,0)))</f>
        <v>Annual Guarantee Adjustments</v>
      </c>
    </row>
    <row r="32" spans="1:10" hidden="1">
      <c r="A32" s="597" t="s">
        <v>3</v>
      </c>
      <c r="B32" s="597" t="s">
        <v>91</v>
      </c>
      <c r="C32" s="597" t="s">
        <v>229</v>
      </c>
      <c r="D32" s="597">
        <v>306</v>
      </c>
      <c r="E32" s="597">
        <v>127958</v>
      </c>
      <c r="F32" s="597">
        <v>18837.66</v>
      </c>
      <c r="G32" s="597">
        <v>0</v>
      </c>
      <c r="H32" s="174">
        <f t="shared" si="0"/>
        <v>306</v>
      </c>
      <c r="I32" s="174" cm="1">
        <f t="array" ref="I32">IF(OR(B32={"R","U"}),E32,0)</f>
        <v>127958</v>
      </c>
      <c r="J32" s="174" t="str">
        <f>IF(B32="U","Unbilled",INDEX(Code!B:B,MATCH(LEFT(C32,10),Code!A:A,0)))</f>
        <v>Schedule 24</v>
      </c>
    </row>
    <row r="33" spans="1:10" hidden="1">
      <c r="A33" s="597" t="s">
        <v>3</v>
      </c>
      <c r="B33" s="597" t="s">
        <v>91</v>
      </c>
      <c r="C33" s="597" t="s">
        <v>54</v>
      </c>
      <c r="D33" s="597">
        <v>1674</v>
      </c>
      <c r="E33" s="597">
        <v>5785719</v>
      </c>
      <c r="F33" s="597">
        <v>574364.75</v>
      </c>
      <c r="G33" s="597">
        <v>0</v>
      </c>
      <c r="H33" s="174">
        <f t="shared" si="0"/>
        <v>1674</v>
      </c>
      <c r="I33" s="174" cm="1">
        <f t="array" ref="I33">IF(OR(B33={"R","U"}),E33,0)</f>
        <v>5785719</v>
      </c>
      <c r="J33" s="174" t="str">
        <f>IF(B33="U","Unbilled",INDEX(Code!B:B,MATCH(LEFT(C33,10),Code!A:A,0)))</f>
        <v>Schedule 24</v>
      </c>
    </row>
    <row r="34" spans="1:10" hidden="1">
      <c r="A34" s="597" t="s">
        <v>3</v>
      </c>
      <c r="B34" s="597" t="s">
        <v>91</v>
      </c>
      <c r="C34" s="597" t="s">
        <v>77</v>
      </c>
      <c r="D34" s="597">
        <v>217</v>
      </c>
      <c r="E34" s="597">
        <v>13219397</v>
      </c>
      <c r="F34" s="597">
        <v>1134515.72</v>
      </c>
      <c r="G34" s="597">
        <v>0</v>
      </c>
      <c r="H34" s="174">
        <f t="shared" si="0"/>
        <v>217</v>
      </c>
      <c r="I34" s="174" cm="1">
        <f t="array" ref="I34">IF(OR(B34={"R","U"}),E34,0)</f>
        <v>13219397</v>
      </c>
      <c r="J34" s="174" t="str">
        <f>IF(B34="U","Unbilled",INDEX(Code!B:B,MATCH(LEFT(C34,10),Code!A:A,0)))</f>
        <v>Schedule 29,36</v>
      </c>
    </row>
    <row r="35" spans="1:10" hidden="1">
      <c r="A35" s="597" t="s">
        <v>3</v>
      </c>
      <c r="B35" s="597" t="s">
        <v>91</v>
      </c>
      <c r="C35" s="597" t="s">
        <v>230</v>
      </c>
      <c r="D35" s="597">
        <v>24</v>
      </c>
      <c r="E35" s="597">
        <v>10190400</v>
      </c>
      <c r="F35" s="597">
        <v>743468.46</v>
      </c>
      <c r="G35" s="597">
        <v>0</v>
      </c>
      <c r="H35" s="174">
        <f t="shared" si="0"/>
        <v>24</v>
      </c>
      <c r="I35" s="174" cm="1">
        <f t="array" ref="I35">IF(OR(B35={"R","U"}),E35,0)</f>
        <v>10190400</v>
      </c>
      <c r="J35" s="174" t="str">
        <f>IF(B35="U","Unbilled",INDEX(Code!B:B,MATCH(LEFT(C35,10),Code!A:A,0)))</f>
        <v>Schedule 48T</v>
      </c>
    </row>
    <row r="36" spans="1:10" hidden="1">
      <c r="A36" s="597" t="s">
        <v>3</v>
      </c>
      <c r="B36" s="597" t="s">
        <v>91</v>
      </c>
      <c r="C36" s="597" t="s">
        <v>30</v>
      </c>
      <c r="D36" s="597">
        <v>8939</v>
      </c>
      <c r="E36" s="597">
        <v>1366292</v>
      </c>
      <c r="F36" s="597">
        <v>106811</v>
      </c>
      <c r="G36" s="597">
        <v>0</v>
      </c>
      <c r="H36" s="174">
        <f t="shared" si="0"/>
        <v>8939</v>
      </c>
      <c r="I36" s="174" cm="1">
        <f t="array" ref="I36">IF(OR(B36={"R","U"}),E36,0)</f>
        <v>1366292</v>
      </c>
      <c r="J36" s="174" t="str">
        <f>IF(B36="U","Unbilled",INDEX(Code!B:B,MATCH(LEFT(C36,10),Code!A:A,0)))</f>
        <v>Schedule 15</v>
      </c>
    </row>
    <row r="37" spans="1:10" hidden="1">
      <c r="A37" s="597" t="s">
        <v>3</v>
      </c>
      <c r="B37" s="597" t="s">
        <v>91</v>
      </c>
      <c r="C37" s="597" t="s">
        <v>63</v>
      </c>
      <c r="D37" s="597">
        <v>5352</v>
      </c>
      <c r="E37" s="597">
        <v>475493</v>
      </c>
      <c r="F37" s="597">
        <v>50615.19</v>
      </c>
      <c r="G37" s="597">
        <v>0</v>
      </c>
      <c r="H37" s="174">
        <f t="shared" si="0"/>
        <v>5352</v>
      </c>
      <c r="I37" s="174" cm="1">
        <f t="array" ref="I37">IF(OR(B37={"R","U"}),E37,0)</f>
        <v>475493</v>
      </c>
      <c r="J37" s="174" t="str">
        <f>IF(B37="U","Unbilled",INDEX(Code!B:B,MATCH(LEFT(C37,10),Code!A:A,0)))</f>
        <v>Schedule 15</v>
      </c>
    </row>
    <row r="38" spans="1:10" hidden="1">
      <c r="A38" s="597" t="s">
        <v>3</v>
      </c>
      <c r="B38" s="597" t="s">
        <v>91</v>
      </c>
      <c r="C38" s="597" t="s">
        <v>31</v>
      </c>
      <c r="D38" s="597">
        <v>306</v>
      </c>
      <c r="E38" s="597">
        <v>312417</v>
      </c>
      <c r="F38" s="597">
        <v>17642.8</v>
      </c>
      <c r="G38" s="597">
        <v>0</v>
      </c>
      <c r="H38" s="174">
        <f t="shared" si="0"/>
        <v>306</v>
      </c>
      <c r="I38" s="174" cm="1">
        <f t="array" ref="I38">IF(OR(B38={"R","U"}),E38,0)</f>
        <v>312417</v>
      </c>
      <c r="J38" s="174" t="str">
        <f>IF(B38="U","Unbilled",INDEX(Code!B:B,MATCH(LEFT(C38,10),Code!A:A,0)))</f>
        <v>Schedule 54</v>
      </c>
    </row>
    <row r="39" spans="1:10" hidden="1">
      <c r="A39" s="597" t="s">
        <v>3</v>
      </c>
      <c r="B39" s="597" t="s">
        <v>91</v>
      </c>
      <c r="C39" s="597" t="s">
        <v>231</v>
      </c>
      <c r="D39" s="597">
        <v>0</v>
      </c>
      <c r="E39" s="597">
        <v>0</v>
      </c>
      <c r="F39" s="597">
        <v>0</v>
      </c>
      <c r="G39" s="597">
        <v>0</v>
      </c>
      <c r="H39" s="174">
        <f t="shared" si="0"/>
        <v>0</v>
      </c>
      <c r="I39" s="174" cm="1">
        <f t="array" ref="I39">IF(OR(B39={"R","U"}),E39,0)</f>
        <v>0</v>
      </c>
      <c r="J39" s="174" t="str">
        <f>IF(B39="U","Unbilled",INDEX(Code!B:B,MATCH(LEFT(C39,10),Code!A:A,0)))</f>
        <v>Customer Bill Credits</v>
      </c>
    </row>
    <row r="40" spans="1:10" hidden="1">
      <c r="A40" s="597" t="s">
        <v>3</v>
      </c>
      <c r="B40" s="597" t="s">
        <v>91</v>
      </c>
      <c r="C40" s="597" t="s">
        <v>232</v>
      </c>
      <c r="D40" s="597">
        <v>0</v>
      </c>
      <c r="E40" s="597">
        <v>0</v>
      </c>
      <c r="F40" s="597">
        <v>4534087.8899999997</v>
      </c>
      <c r="G40" s="597">
        <v>0</v>
      </c>
      <c r="H40" s="174">
        <f t="shared" si="0"/>
        <v>0</v>
      </c>
      <c r="I40" s="174" cm="1">
        <f t="array" ref="I40">IF(OR(B40={"R","U"}),E40,0)</f>
        <v>0</v>
      </c>
      <c r="J40" s="174" t="str">
        <f>IF(B40="U","Unbilled",INDEX(Code!B:B,MATCH(LEFT(C40,10),Code!A:A,0)))</f>
        <v>DSM</v>
      </c>
    </row>
    <row r="41" spans="1:10" hidden="1">
      <c r="A41" s="597" t="s">
        <v>3</v>
      </c>
      <c r="B41" s="597" t="s">
        <v>91</v>
      </c>
      <c r="C41" s="597" t="s">
        <v>80</v>
      </c>
      <c r="D41" s="597">
        <v>12</v>
      </c>
      <c r="E41" s="597">
        <v>0</v>
      </c>
      <c r="F41" s="597">
        <v>30424.7</v>
      </c>
      <c r="G41" s="597">
        <v>0</v>
      </c>
      <c r="H41" s="174">
        <f t="shared" si="0"/>
        <v>0</v>
      </c>
      <c r="I41" s="174" cm="1">
        <f t="array" ref="I41">IF(OR(B41={"R","U"}),E41,0)</f>
        <v>0</v>
      </c>
      <c r="J41" s="174" t="str">
        <f>IF(B41="U","Unbilled",INDEX(Code!B:B,MATCH(LEFT(C41,10),Code!A:A,0)))</f>
        <v>Blue Sky</v>
      </c>
    </row>
    <row r="42" spans="1:10" hidden="1">
      <c r="A42" s="597" t="s">
        <v>3</v>
      </c>
      <c r="B42" s="597" t="s">
        <v>91</v>
      </c>
      <c r="C42" s="597" t="s">
        <v>118</v>
      </c>
      <c r="D42" s="597">
        <v>0</v>
      </c>
      <c r="E42" s="597">
        <v>0</v>
      </c>
      <c r="F42" s="597">
        <v>44874.79</v>
      </c>
      <c r="G42" s="597">
        <v>0</v>
      </c>
      <c r="H42" s="174">
        <f t="shared" si="0"/>
        <v>0</v>
      </c>
      <c r="I42" s="174" cm="1">
        <f t="array" ref="I42">IF(OR(B42={"R","U"}),E42,0)</f>
        <v>0</v>
      </c>
      <c r="J42" s="174" t="str">
        <f>IF(B42="U","Unbilled",INDEX(Code!B:B,MATCH(LEFT(C42,10),Code!A:A,0)))</f>
        <v>Rev Adj Property Insur</v>
      </c>
    </row>
    <row r="43" spans="1:10" hidden="1">
      <c r="A43" s="597" t="s">
        <v>3</v>
      </c>
      <c r="B43" s="597" t="s">
        <v>91</v>
      </c>
      <c r="C43" s="597" t="s">
        <v>233</v>
      </c>
      <c r="D43" s="597">
        <v>0</v>
      </c>
      <c r="E43" s="597">
        <v>0</v>
      </c>
      <c r="F43" s="597">
        <v>-1085030.27</v>
      </c>
      <c r="G43" s="597">
        <v>0</v>
      </c>
      <c r="H43" s="174">
        <f t="shared" si="0"/>
        <v>0</v>
      </c>
      <c r="I43" s="174" cm="1">
        <f t="array" ref="I43">IF(OR(B43={"R","U"}),E43,0)</f>
        <v>0</v>
      </c>
      <c r="J43" s="174" t="str">
        <f>IF(B43="U","Unbilled",INDEX(Code!B:B,MATCH(LEFT(C43,10),Code!A:A,0)))</f>
        <v>Alt Rev Program</v>
      </c>
    </row>
    <row r="44" spans="1:10" hidden="1">
      <c r="A44" s="597" t="s">
        <v>3</v>
      </c>
      <c r="B44" s="597" t="s">
        <v>91</v>
      </c>
      <c r="C44" s="597" t="s">
        <v>34</v>
      </c>
      <c r="D44" s="597">
        <v>0</v>
      </c>
      <c r="E44" s="597"/>
      <c r="F44" s="597"/>
      <c r="G44" s="597">
        <v>201783</v>
      </c>
      <c r="H44" s="174">
        <f t="shared" si="0"/>
        <v>0</v>
      </c>
      <c r="I44" s="174" cm="1">
        <f t="array" ref="I44">IF(OR(B44={"R","U"}),E44,0)</f>
        <v>0</v>
      </c>
      <c r="J44" s="174" t="str">
        <f>IF(B44="U","Unbilled",INDEX(Code!B:B,MATCH(LEFT(C44,10),Code!A:A,0)))</f>
        <v>CustIDs</v>
      </c>
    </row>
    <row r="45" spans="1:10" hidden="1">
      <c r="A45" s="597" t="s">
        <v>3</v>
      </c>
      <c r="B45" s="597" t="s">
        <v>91</v>
      </c>
      <c r="C45" s="597" t="s">
        <v>121</v>
      </c>
      <c r="D45" s="597">
        <v>0</v>
      </c>
      <c r="E45" s="597">
        <v>0</v>
      </c>
      <c r="F45" s="597">
        <v>789363.18</v>
      </c>
      <c r="G45" s="597">
        <v>0</v>
      </c>
      <c r="H45" s="174">
        <f t="shared" si="0"/>
        <v>0</v>
      </c>
      <c r="I45" s="174" cm="1">
        <f t="array" ref="I45">IF(OR(B45={"R","U"}),E45,0)</f>
        <v>0</v>
      </c>
      <c r="J45" s="174" t="str">
        <f>IF(B45="U","Unbilled",INDEX(Code!B:B,MATCH(LEFT(C45,10),Code!A:A,0)))</f>
        <v>Income Tax Defer Adj</v>
      </c>
    </row>
    <row r="46" spans="1:10" hidden="1">
      <c r="A46" s="597" t="s">
        <v>3</v>
      </c>
      <c r="B46" s="597" t="s">
        <v>91</v>
      </c>
      <c r="C46" s="597" t="s">
        <v>76</v>
      </c>
      <c r="D46" s="597">
        <v>0</v>
      </c>
      <c r="E46" s="597">
        <v>0</v>
      </c>
      <c r="F46" s="597">
        <v>-307715.95</v>
      </c>
      <c r="G46" s="597">
        <v>0</v>
      </c>
      <c r="H46" s="174">
        <f t="shared" si="0"/>
        <v>0</v>
      </c>
      <c r="I46" s="174" cm="1">
        <f t="array" ref="I46">IF(OR(B46={"R","U"}),E46,0)</f>
        <v>0</v>
      </c>
      <c r="J46" s="174" t="str">
        <f>IF(B46="U","Unbilled",INDEX(Code!B:B,MATCH(LEFT(C46,10),Code!A:A,0)))</f>
        <v>Rev Adj</v>
      </c>
    </row>
    <row r="47" spans="1:10" hidden="1">
      <c r="A47" s="597" t="s">
        <v>3</v>
      </c>
      <c r="B47" s="597" t="s">
        <v>91</v>
      </c>
      <c r="C47" s="597" t="s">
        <v>79</v>
      </c>
      <c r="D47" s="597">
        <v>0</v>
      </c>
      <c r="E47" s="597">
        <v>0</v>
      </c>
      <c r="F47" s="597">
        <v>36545.71</v>
      </c>
      <c r="G47" s="597">
        <v>0</v>
      </c>
      <c r="H47" s="174">
        <f t="shared" si="0"/>
        <v>0</v>
      </c>
      <c r="I47" s="174" cm="1">
        <f t="array" ref="I47">IF(OR(B47={"R","U"}),E47,0)</f>
        <v>0</v>
      </c>
      <c r="J47" s="174" t="str">
        <f>IF(B47="U","Unbilled",INDEX(Code!B:B,MATCH(LEFT(C47,10),Code!A:A,0)))</f>
        <v>Rev Adj</v>
      </c>
    </row>
    <row r="48" spans="1:10" hidden="1">
      <c r="A48" s="597" t="s">
        <v>3</v>
      </c>
      <c r="B48" s="597" t="s">
        <v>92</v>
      </c>
      <c r="C48" s="597" t="s">
        <v>35</v>
      </c>
      <c r="D48" s="597">
        <v>0</v>
      </c>
      <c r="E48" s="597">
        <v>10073000</v>
      </c>
      <c r="F48" s="597">
        <v>2041000</v>
      </c>
      <c r="G48" s="597">
        <v>0</v>
      </c>
      <c r="H48" s="174">
        <f t="shared" si="0"/>
        <v>0</v>
      </c>
      <c r="I48" s="174" cm="1">
        <f t="array" ref="I48">IF(OR(B48={"R","U"}),E48,0)</f>
        <v>10073000</v>
      </c>
      <c r="J48" s="174" t="str">
        <f>IF(B48="U","Unbilled",INDEX(Code!B:B,MATCH(LEFT(C48,10),Code!A:A,0)))</f>
        <v>Unbilled</v>
      </c>
    </row>
    <row r="49" spans="1:10" hidden="1">
      <c r="A49" s="597" t="s">
        <v>5</v>
      </c>
      <c r="B49" s="597" t="s">
        <v>224</v>
      </c>
      <c r="C49" s="597" t="s">
        <v>61</v>
      </c>
      <c r="D49" s="597">
        <v>494</v>
      </c>
      <c r="E49" s="597">
        <v>941721</v>
      </c>
      <c r="F49" s="597">
        <v>-8390.3799999999992</v>
      </c>
      <c r="G49" s="597">
        <v>0</v>
      </c>
      <c r="H49" s="174">
        <f t="shared" si="0"/>
        <v>0</v>
      </c>
      <c r="I49" s="174" cm="1">
        <f t="array" ref="I49">IF(OR(B49={"R","U"}),E49,0)</f>
        <v>0</v>
      </c>
      <c r="J49" s="174" t="str">
        <f>IF(B49="U","Unbilled",INDEX(Code!B:B,MATCH(LEFT(C49,10),Code!A:A,0)))</f>
        <v>Schedule 24</v>
      </c>
    </row>
    <row r="50" spans="1:10" hidden="1">
      <c r="A50" s="597" t="s">
        <v>5</v>
      </c>
      <c r="B50" s="597" t="s">
        <v>224</v>
      </c>
      <c r="C50" s="597" t="s">
        <v>62</v>
      </c>
      <c r="D50" s="597">
        <v>12</v>
      </c>
      <c r="E50" s="597">
        <v>2644</v>
      </c>
      <c r="F50" s="597">
        <v>-23.9</v>
      </c>
      <c r="G50" s="597">
        <v>0</v>
      </c>
      <c r="H50" s="174">
        <f t="shared" si="0"/>
        <v>0</v>
      </c>
      <c r="I50" s="174" cm="1">
        <f t="array" ref="I50">IF(OR(B50={"R","U"}),E50,0)</f>
        <v>0</v>
      </c>
      <c r="J50" s="174" t="str">
        <f>IF(B50="U","Unbilled",INDEX(Code!B:B,MATCH(LEFT(C50,10),Code!A:A,0)))</f>
        <v>Schedule 24</v>
      </c>
    </row>
    <row r="51" spans="1:10" hidden="1">
      <c r="A51" s="597" t="s">
        <v>5</v>
      </c>
      <c r="B51" s="597" t="s">
        <v>224</v>
      </c>
      <c r="C51" s="597" t="s">
        <v>59</v>
      </c>
      <c r="D51" s="597">
        <v>76</v>
      </c>
      <c r="E51" s="597">
        <v>875520</v>
      </c>
      <c r="F51" s="597">
        <v>-7360.18</v>
      </c>
      <c r="G51" s="597">
        <v>0</v>
      </c>
      <c r="H51" s="174">
        <f t="shared" si="0"/>
        <v>0</v>
      </c>
      <c r="I51" s="174" cm="1">
        <f t="array" ref="I51">IF(OR(B51={"R","U"}),E51,0)</f>
        <v>0</v>
      </c>
      <c r="J51" s="174" t="str">
        <f>IF(B51="U","Unbilled",INDEX(Code!B:B,MATCH(LEFT(C51,10),Code!A:A,0)))</f>
        <v>Schedule 29,36</v>
      </c>
    </row>
    <row r="52" spans="1:10" hidden="1">
      <c r="A52" s="597" t="s">
        <v>5</v>
      </c>
      <c r="B52" s="597" t="s">
        <v>224</v>
      </c>
      <c r="C52" s="597" t="s">
        <v>225</v>
      </c>
      <c r="D52" s="597"/>
      <c r="E52" s="597">
        <v>0</v>
      </c>
      <c r="F52" s="597">
        <v>0</v>
      </c>
      <c r="G52" s="597"/>
      <c r="H52" s="174">
        <f t="shared" si="0"/>
        <v>0</v>
      </c>
      <c r="I52" s="174" cm="1">
        <f t="array" ref="I52">IF(OR(B52={"R","U"}),E52,0)</f>
        <v>0</v>
      </c>
      <c r="J52" s="174" t="str">
        <f>IF(B52="U","Unbilled",INDEX(Code!B:B,MATCH(LEFT(C52,10),Code!A:A,0)))</f>
        <v>Schedule 24</v>
      </c>
    </row>
    <row r="53" spans="1:10" hidden="1">
      <c r="A53" s="597" t="s">
        <v>5</v>
      </c>
      <c r="B53" s="597" t="s">
        <v>224</v>
      </c>
      <c r="C53" s="597" t="s">
        <v>226</v>
      </c>
      <c r="D53" s="597">
        <v>9</v>
      </c>
      <c r="E53" s="597">
        <v>95360</v>
      </c>
      <c r="F53" s="597">
        <v>-737.71</v>
      </c>
      <c r="G53" s="597">
        <v>0</v>
      </c>
      <c r="H53" s="174">
        <f t="shared" si="0"/>
        <v>0</v>
      </c>
      <c r="I53" s="174" cm="1">
        <f t="array" ref="I53">IF(OR(B53={"R","U"}),E53,0)</f>
        <v>0</v>
      </c>
      <c r="J53" s="174" t="str">
        <f>IF(B53="U","Unbilled",INDEX(Code!B:B,MATCH(LEFT(C53,10),Code!A:A,0)))</f>
        <v>Schedule 29,36</v>
      </c>
    </row>
    <row r="54" spans="1:10" hidden="1">
      <c r="A54" s="597" t="s">
        <v>5</v>
      </c>
      <c r="B54" s="597" t="s">
        <v>224</v>
      </c>
      <c r="C54" s="597" t="s">
        <v>60</v>
      </c>
      <c r="D54" s="597"/>
      <c r="E54" s="597">
        <v>6652</v>
      </c>
      <c r="F54" s="597">
        <v>-62.64</v>
      </c>
      <c r="G54" s="597"/>
      <c r="H54" s="174">
        <f t="shared" si="0"/>
        <v>0</v>
      </c>
      <c r="I54" s="174" cm="1">
        <f t="array" ref="I54">IF(OR(B54={"R","U"}),E54,0)</f>
        <v>0</v>
      </c>
      <c r="J54" s="174" t="str">
        <f>IF(B54="U","Unbilled",INDEX(Code!B:B,MATCH(LEFT(C54,10),Code!A:A,0)))</f>
        <v>Schedule 15</v>
      </c>
    </row>
    <row r="55" spans="1:10" hidden="1">
      <c r="A55" s="597" t="s">
        <v>5</v>
      </c>
      <c r="B55" s="597" t="s">
        <v>224</v>
      </c>
      <c r="C55" s="597" t="s">
        <v>32</v>
      </c>
      <c r="D55" s="597">
        <v>0</v>
      </c>
      <c r="E55" s="597">
        <v>0</v>
      </c>
      <c r="F55" s="597">
        <v>-477.25</v>
      </c>
      <c r="G55" s="597">
        <v>0</v>
      </c>
      <c r="H55" s="174">
        <f t="shared" si="0"/>
        <v>0</v>
      </c>
      <c r="I55" s="174" cm="1">
        <f t="array" ref="I55">IF(OR(B55={"R","U"}),E55,0)</f>
        <v>0</v>
      </c>
      <c r="J55" s="174" t="str">
        <f>IF(B55="U","Unbilled",INDEX(Code!B:B,MATCH(LEFT(C55,10),Code!A:A,0)))</f>
        <v>BPA Bal Acct</v>
      </c>
    </row>
    <row r="56" spans="1:10" hidden="1">
      <c r="A56" s="597" t="s">
        <v>5</v>
      </c>
      <c r="B56" s="597" t="s">
        <v>224</v>
      </c>
      <c r="C56" s="597" t="s">
        <v>33</v>
      </c>
      <c r="D56" s="597">
        <v>0</v>
      </c>
      <c r="E56" s="597"/>
      <c r="F56" s="597"/>
      <c r="G56" s="597">
        <v>580</v>
      </c>
      <c r="H56" s="174">
        <f t="shared" si="0"/>
        <v>0</v>
      </c>
      <c r="I56" s="174" cm="1">
        <f t="array" ref="I56">IF(OR(B56={"R","U"}),E56,0)</f>
        <v>0</v>
      </c>
      <c r="J56" s="174" t="str">
        <f>IF(B56="U","Unbilled",INDEX(Code!B:B,MATCH(LEFT(C56,10),Code!A:A,0)))</f>
        <v>CustIDs</v>
      </c>
    </row>
    <row r="57" spans="1:10" hidden="1">
      <c r="A57" s="597" t="s">
        <v>5</v>
      </c>
      <c r="B57" s="597" t="s">
        <v>91</v>
      </c>
      <c r="C57" s="597" t="s">
        <v>57</v>
      </c>
      <c r="D57" s="597">
        <v>494</v>
      </c>
      <c r="E57" s="597">
        <v>941721</v>
      </c>
      <c r="F57" s="597">
        <v>103492.6</v>
      </c>
      <c r="G57" s="597">
        <v>0</v>
      </c>
      <c r="H57" s="174">
        <f t="shared" si="0"/>
        <v>494</v>
      </c>
      <c r="I57" s="174" cm="1">
        <f t="array" ref="I57">IF(OR(B57={"R","U"}),E57,0)</f>
        <v>941721</v>
      </c>
      <c r="J57" s="174" t="str">
        <f>IF(B57="U","Unbilled",INDEX(Code!B:B,MATCH(LEFT(C57,10),Code!A:A,0)))</f>
        <v>Schedule 24</v>
      </c>
    </row>
    <row r="58" spans="1:10" hidden="1">
      <c r="A58" s="597" t="s">
        <v>5</v>
      </c>
      <c r="B58" s="597" t="s">
        <v>91</v>
      </c>
      <c r="C58" s="597" t="s">
        <v>58</v>
      </c>
      <c r="D58" s="597">
        <v>12</v>
      </c>
      <c r="E58" s="597">
        <v>2644</v>
      </c>
      <c r="F58" s="597">
        <v>1650.65</v>
      </c>
      <c r="G58" s="597">
        <v>0</v>
      </c>
      <c r="H58" s="174">
        <f t="shared" si="0"/>
        <v>12</v>
      </c>
      <c r="I58" s="174" cm="1">
        <f t="array" ref="I58">IF(OR(B58={"R","U"}),E58,0)</f>
        <v>2644</v>
      </c>
      <c r="J58" s="174" t="str">
        <f>IF(B58="U","Unbilled",INDEX(Code!B:B,MATCH(LEFT(C58,10),Code!A:A,0)))</f>
        <v>Schedule 24</v>
      </c>
    </row>
    <row r="59" spans="1:10" hidden="1">
      <c r="A59" s="597" t="s">
        <v>5</v>
      </c>
      <c r="B59" s="597" t="s">
        <v>91</v>
      </c>
      <c r="C59" s="597" t="s">
        <v>20</v>
      </c>
      <c r="D59" s="597">
        <v>3864</v>
      </c>
      <c r="E59" s="597">
        <v>14026020</v>
      </c>
      <c r="F59" s="597">
        <v>1359243.95</v>
      </c>
      <c r="G59" s="597">
        <v>0</v>
      </c>
      <c r="H59" s="174">
        <f t="shared" si="0"/>
        <v>3864</v>
      </c>
      <c r="I59" s="174" cm="1">
        <f t="array" ref="I59">IF(OR(B59={"R","U"}),E59,0)</f>
        <v>14026020</v>
      </c>
      <c r="J59" s="174" t="str">
        <f>IF(B59="U","Unbilled",INDEX(Code!B:B,MATCH(LEFT(C59,10),Code!A:A,0)))</f>
        <v>Schedule 24</v>
      </c>
    </row>
    <row r="60" spans="1:10" hidden="1">
      <c r="A60" s="597" t="s">
        <v>5</v>
      </c>
      <c r="B60" s="597" t="s">
        <v>91</v>
      </c>
      <c r="C60" s="597" t="s">
        <v>21</v>
      </c>
      <c r="D60" s="597">
        <v>48</v>
      </c>
      <c r="E60" s="597">
        <v>33474</v>
      </c>
      <c r="F60" s="597">
        <v>8823.94</v>
      </c>
      <c r="G60" s="597">
        <v>0</v>
      </c>
      <c r="H60" s="174">
        <f t="shared" si="0"/>
        <v>48</v>
      </c>
      <c r="I60" s="174" cm="1">
        <f t="array" ref="I60">IF(OR(B60={"R","U"}),E60,0)</f>
        <v>33474</v>
      </c>
      <c r="J60" s="174" t="str">
        <f>IF(B60="U","Unbilled",INDEX(Code!B:B,MATCH(LEFT(C60,10),Code!A:A,0)))</f>
        <v>Schedule 24</v>
      </c>
    </row>
    <row r="61" spans="1:10" hidden="1">
      <c r="A61" s="597" t="s">
        <v>5</v>
      </c>
      <c r="B61" s="597" t="s">
        <v>91</v>
      </c>
      <c r="C61" s="597" t="s">
        <v>65</v>
      </c>
      <c r="D61" s="597">
        <v>76</v>
      </c>
      <c r="E61" s="597">
        <v>875520</v>
      </c>
      <c r="F61" s="597">
        <v>120263.83</v>
      </c>
      <c r="G61" s="597">
        <v>0</v>
      </c>
      <c r="H61" s="174">
        <f t="shared" si="0"/>
        <v>76</v>
      </c>
      <c r="I61" s="174" cm="1">
        <f t="array" ref="I61">IF(OR(B61={"R","U"}),E61,0)</f>
        <v>875520</v>
      </c>
      <c r="J61" s="174" t="str">
        <f>IF(B61="U","Unbilled",INDEX(Code!B:B,MATCH(LEFT(C61,10),Code!A:A,0)))</f>
        <v>Schedule 29,36</v>
      </c>
    </row>
    <row r="62" spans="1:10" hidden="1">
      <c r="A62" s="597" t="s">
        <v>5</v>
      </c>
      <c r="B62" s="597" t="s">
        <v>91</v>
      </c>
      <c r="C62" s="597" t="s">
        <v>22</v>
      </c>
      <c r="D62" s="597">
        <v>1068</v>
      </c>
      <c r="E62" s="597">
        <v>86640451</v>
      </c>
      <c r="F62" s="597">
        <v>7301064.3799999999</v>
      </c>
      <c r="G62" s="597">
        <v>0</v>
      </c>
      <c r="H62" s="174">
        <f t="shared" si="0"/>
        <v>1068</v>
      </c>
      <c r="I62" s="174" cm="1">
        <f t="array" ref="I62">IF(OR(B62={"R","U"}),E62,0)</f>
        <v>86640451</v>
      </c>
      <c r="J62" s="174" t="str">
        <f>IF(B62="U","Unbilled",INDEX(Code!B:B,MATCH(LEFT(C62,10),Code!A:A,0)))</f>
        <v>Schedule 29,36</v>
      </c>
    </row>
    <row r="63" spans="1:10" hidden="1">
      <c r="A63" s="597" t="s">
        <v>5</v>
      </c>
      <c r="B63" s="597" t="s">
        <v>91</v>
      </c>
      <c r="C63" s="597" t="s">
        <v>36</v>
      </c>
      <c r="D63" s="597">
        <v>12</v>
      </c>
      <c r="E63" s="597">
        <v>540230400</v>
      </c>
      <c r="F63" s="597">
        <v>32758440.510000002</v>
      </c>
      <c r="G63" s="597">
        <v>0</v>
      </c>
      <c r="H63" s="174">
        <f t="shared" si="0"/>
        <v>12</v>
      </c>
      <c r="I63" s="174" cm="1">
        <f t="array" ref="I63">IF(OR(B63={"R","U"}),E63,0)</f>
        <v>540230400</v>
      </c>
      <c r="J63" s="174" t="str">
        <f>IF(B63="U","Unbilled",INDEX(Code!B:B,MATCH(LEFT(C63,10),Code!A:A,0)))</f>
        <v>Schedule 48T-DF</v>
      </c>
    </row>
    <row r="64" spans="1:10" hidden="1">
      <c r="A64" s="597" t="s">
        <v>5</v>
      </c>
      <c r="B64" s="597" t="s">
        <v>91</v>
      </c>
      <c r="C64" s="597" t="s">
        <v>23</v>
      </c>
      <c r="D64" s="597">
        <v>348</v>
      </c>
      <c r="E64" s="597">
        <v>196837800</v>
      </c>
      <c r="F64" s="597">
        <v>14420276</v>
      </c>
      <c r="G64" s="597">
        <v>0</v>
      </c>
      <c r="H64" s="174">
        <f t="shared" si="0"/>
        <v>348</v>
      </c>
      <c r="I64" s="174" cm="1">
        <f t="array" ref="I64">IF(OR(B64={"R","U"}),E64,0)</f>
        <v>196837800</v>
      </c>
      <c r="J64" s="174" t="str">
        <f>IF(B64="U","Unbilled",INDEX(Code!B:B,MATCH(LEFT(C64,10),Code!A:A,0)))</f>
        <v>Schedule 48T</v>
      </c>
    </row>
    <row r="65" spans="1:10" hidden="1">
      <c r="A65" s="597" t="s">
        <v>5</v>
      </c>
      <c r="B65" s="597" t="s">
        <v>91</v>
      </c>
      <c r="C65" s="597" t="s">
        <v>25</v>
      </c>
      <c r="D65" s="597"/>
      <c r="E65" s="597">
        <v>0</v>
      </c>
      <c r="F65" s="597">
        <v>11579.08</v>
      </c>
      <c r="G65" s="597"/>
      <c r="H65" s="174">
        <f t="shared" si="0"/>
        <v>0</v>
      </c>
      <c r="I65" s="174" cm="1">
        <f t="array" ref="I65">IF(OR(B65={"R","U"}),E65,0)</f>
        <v>0</v>
      </c>
      <c r="J65" s="174" t="str">
        <f>IF(B65="U","Unbilled",INDEX(Code!B:B,MATCH(LEFT(C65,10),Code!A:A,0)))</f>
        <v>Annual Guarantee Adjustments</v>
      </c>
    </row>
    <row r="66" spans="1:10" hidden="1">
      <c r="A66" s="597" t="s">
        <v>5</v>
      </c>
      <c r="B66" s="597" t="s">
        <v>91</v>
      </c>
      <c r="C66" s="597" t="s">
        <v>229</v>
      </c>
      <c r="D66" s="597"/>
      <c r="E66" s="597">
        <v>0</v>
      </c>
      <c r="F66" s="597">
        <v>0</v>
      </c>
      <c r="G66" s="597"/>
      <c r="H66" s="174">
        <f t="shared" si="0"/>
        <v>0</v>
      </c>
      <c r="I66" s="174" cm="1">
        <f t="array" ref="I66">IF(OR(B66={"R","U"}),E66,0)</f>
        <v>0</v>
      </c>
      <c r="J66" s="174" t="str">
        <f>IF(B66="U","Unbilled",INDEX(Code!B:B,MATCH(LEFT(C66,10),Code!A:A,0)))</f>
        <v>Schedule 24</v>
      </c>
    </row>
    <row r="67" spans="1:10" hidden="1">
      <c r="A67" s="597" t="s">
        <v>5</v>
      </c>
      <c r="B67" s="597" t="s">
        <v>91</v>
      </c>
      <c r="C67" s="597" t="s">
        <v>54</v>
      </c>
      <c r="D67" s="597">
        <v>29</v>
      </c>
      <c r="E67" s="597">
        <v>34857</v>
      </c>
      <c r="F67" s="597">
        <v>3881.76</v>
      </c>
      <c r="G67" s="597">
        <v>0</v>
      </c>
      <c r="H67" s="174">
        <f t="shared" si="0"/>
        <v>29</v>
      </c>
      <c r="I67" s="174" cm="1">
        <f t="array" ref="I67">IF(OR(B67={"R","U"}),E67,0)</f>
        <v>34857</v>
      </c>
      <c r="J67" s="174" t="str">
        <f>IF(B67="U","Unbilled",INDEX(Code!B:B,MATCH(LEFT(C67,10),Code!A:A,0)))</f>
        <v>Schedule 24</v>
      </c>
    </row>
    <row r="68" spans="1:10" hidden="1">
      <c r="A68" s="597" t="s">
        <v>5</v>
      </c>
      <c r="B68" s="597" t="s">
        <v>91</v>
      </c>
      <c r="C68" s="597" t="s">
        <v>77</v>
      </c>
      <c r="D68" s="597">
        <v>9</v>
      </c>
      <c r="E68" s="597">
        <v>95360</v>
      </c>
      <c r="F68" s="597">
        <v>12953.67</v>
      </c>
      <c r="G68" s="597">
        <v>0</v>
      </c>
      <c r="H68" s="174">
        <f t="shared" ref="H68:H131" si="1">IF(AND(B68&lt;&gt;"B",J68&lt;&gt;"Blue Sky",J68&lt;&gt;"Ignore"),D68,0)</f>
        <v>9</v>
      </c>
      <c r="I68" s="174" cm="1">
        <f t="array" ref="I68">IF(OR(B68={"R","U"}),E68,0)</f>
        <v>95360</v>
      </c>
      <c r="J68" s="174" t="str">
        <f>IF(B68="U","Unbilled",INDEX(Code!B:B,MATCH(LEFT(C68,10),Code!A:A,0)))</f>
        <v>Schedule 29,36</v>
      </c>
    </row>
    <row r="69" spans="1:10" hidden="1">
      <c r="A69" s="597" t="s">
        <v>5</v>
      </c>
      <c r="B69" s="597" t="s">
        <v>91</v>
      </c>
      <c r="C69" s="597" t="s">
        <v>30</v>
      </c>
      <c r="D69" s="597">
        <v>434</v>
      </c>
      <c r="E69" s="597">
        <v>95496</v>
      </c>
      <c r="F69" s="597">
        <v>6157.61</v>
      </c>
      <c r="G69" s="597">
        <v>0</v>
      </c>
      <c r="H69" s="174">
        <f t="shared" si="1"/>
        <v>434</v>
      </c>
      <c r="I69" s="174" cm="1">
        <f t="array" ref="I69">IF(OR(B69={"R","U"}),E69,0)</f>
        <v>95496</v>
      </c>
      <c r="J69" s="174" t="str">
        <f>IF(B69="U","Unbilled",INDEX(Code!B:B,MATCH(LEFT(C69,10),Code!A:A,0)))</f>
        <v>Schedule 15</v>
      </c>
    </row>
    <row r="70" spans="1:10" hidden="1">
      <c r="A70" s="597" t="s">
        <v>5</v>
      </c>
      <c r="B70" s="597" t="s">
        <v>91</v>
      </c>
      <c r="C70" s="597" t="s">
        <v>63</v>
      </c>
      <c r="D70" s="597">
        <v>168</v>
      </c>
      <c r="E70" s="597">
        <v>26751</v>
      </c>
      <c r="F70" s="597">
        <v>2538.67</v>
      </c>
      <c r="G70" s="597">
        <v>0</v>
      </c>
      <c r="H70" s="174">
        <f t="shared" si="1"/>
        <v>168</v>
      </c>
      <c r="I70" s="174" cm="1">
        <f t="array" ref="I70">IF(OR(B70={"R","U"}),E70,0)</f>
        <v>26751</v>
      </c>
      <c r="J70" s="174" t="str">
        <f>IF(B70="U","Unbilled",INDEX(Code!B:B,MATCH(LEFT(C70,10),Code!A:A,0)))</f>
        <v>Schedule 15</v>
      </c>
    </row>
    <row r="71" spans="1:10" hidden="1">
      <c r="A71" s="597" t="s">
        <v>5</v>
      </c>
      <c r="B71" s="597" t="s">
        <v>91</v>
      </c>
      <c r="C71" s="597" t="s">
        <v>37</v>
      </c>
      <c r="D71" s="597">
        <v>12</v>
      </c>
      <c r="E71" s="597">
        <v>1710000</v>
      </c>
      <c r="F71" s="597">
        <v>312626.78000000003</v>
      </c>
      <c r="G71" s="597">
        <v>0</v>
      </c>
      <c r="H71" s="174">
        <f t="shared" si="1"/>
        <v>12</v>
      </c>
      <c r="I71" s="174" cm="1">
        <f t="array" ref="I71">IF(OR(B71={"R","U"}),E71,0)</f>
        <v>1710000</v>
      </c>
      <c r="J71" s="174" t="str">
        <f>IF(B71="U","Unbilled",INDEX(Code!B:B,MATCH(LEFT(C71,10),Code!A:A,0)))</f>
        <v>Schedule 47T</v>
      </c>
    </row>
    <row r="72" spans="1:10" hidden="1">
      <c r="A72" s="597" t="s">
        <v>5</v>
      </c>
      <c r="B72" s="597" t="s">
        <v>91</v>
      </c>
      <c r="C72" s="597" t="s">
        <v>234</v>
      </c>
      <c r="D72" s="597">
        <v>0</v>
      </c>
      <c r="E72" s="597">
        <v>0</v>
      </c>
      <c r="F72" s="597">
        <v>2206257.17</v>
      </c>
      <c r="G72" s="597">
        <v>0</v>
      </c>
      <c r="H72" s="174">
        <f t="shared" si="1"/>
        <v>0</v>
      </c>
      <c r="I72" s="174" cm="1">
        <f t="array" ref="I72">IF(OR(B72={"R","U"}),E72,0)</f>
        <v>0</v>
      </c>
      <c r="J72" s="174" t="str">
        <f>IF(B72="U","Unbilled",INDEX(Code!B:B,MATCH(LEFT(C72,10),Code!A:A,0)))</f>
        <v>DSM</v>
      </c>
    </row>
    <row r="73" spans="1:10" hidden="1">
      <c r="A73" s="597" t="s">
        <v>5</v>
      </c>
      <c r="B73" s="597" t="s">
        <v>91</v>
      </c>
      <c r="C73" s="597" t="s">
        <v>94</v>
      </c>
      <c r="D73" s="597">
        <v>0</v>
      </c>
      <c r="E73" s="597">
        <v>0</v>
      </c>
      <c r="F73" s="597">
        <v>26.44</v>
      </c>
      <c r="G73" s="597">
        <v>0</v>
      </c>
      <c r="H73" s="174">
        <f t="shared" si="1"/>
        <v>0</v>
      </c>
      <c r="I73" s="174" cm="1">
        <f t="array" ref="I73">IF(OR(B73={"R","U"}),E73,0)</f>
        <v>0</v>
      </c>
      <c r="J73" s="174" t="str">
        <f>IF(B73="U","Unbilled",INDEX(Code!B:B,MATCH(LEFT(C73,10),Code!A:A,0)))</f>
        <v>Blue Sky</v>
      </c>
    </row>
    <row r="74" spans="1:10" hidden="1">
      <c r="A74" s="597" t="s">
        <v>5</v>
      </c>
      <c r="B74" s="597" t="s">
        <v>91</v>
      </c>
      <c r="C74" s="597" t="s">
        <v>119</v>
      </c>
      <c r="D74" s="597">
        <v>0</v>
      </c>
      <c r="E74" s="597">
        <v>0</v>
      </c>
      <c r="F74" s="597">
        <v>20010.68</v>
      </c>
      <c r="G74" s="597">
        <v>0</v>
      </c>
      <c r="H74" s="174">
        <f t="shared" si="1"/>
        <v>0</v>
      </c>
      <c r="I74" s="174" cm="1">
        <f t="array" ref="I74">IF(OR(B74={"R","U"}),E74,0)</f>
        <v>0</v>
      </c>
      <c r="J74" s="174" t="str">
        <f>IF(B74="U","Unbilled",INDEX(Code!B:B,MATCH(LEFT(C74,10),Code!A:A,0)))</f>
        <v>Rev Adj Property Insur</v>
      </c>
    </row>
    <row r="75" spans="1:10" hidden="1">
      <c r="A75" s="597" t="s">
        <v>5</v>
      </c>
      <c r="B75" s="597" t="s">
        <v>91</v>
      </c>
      <c r="C75" s="597" t="s">
        <v>233</v>
      </c>
      <c r="D75" s="597">
        <v>0</v>
      </c>
      <c r="E75" s="597">
        <v>0</v>
      </c>
      <c r="F75" s="597">
        <v>17513.25</v>
      </c>
      <c r="G75" s="597">
        <v>0</v>
      </c>
      <c r="H75" s="174">
        <f t="shared" si="1"/>
        <v>0</v>
      </c>
      <c r="I75" s="174" cm="1">
        <f t="array" ref="I75">IF(OR(B75={"R","U"}),E75,0)</f>
        <v>0</v>
      </c>
      <c r="J75" s="174" t="str">
        <f>IF(B75="U","Unbilled",INDEX(Code!B:B,MATCH(LEFT(C75,10),Code!A:A,0)))</f>
        <v>Alt Rev Program</v>
      </c>
    </row>
    <row r="76" spans="1:10" hidden="1">
      <c r="A76" s="597" t="s">
        <v>5</v>
      </c>
      <c r="B76" s="597" t="s">
        <v>91</v>
      </c>
      <c r="C76" s="597" t="s">
        <v>34</v>
      </c>
      <c r="D76" s="597">
        <v>0</v>
      </c>
      <c r="E76" s="597"/>
      <c r="F76" s="597"/>
      <c r="G76" s="597">
        <v>5622</v>
      </c>
      <c r="H76" s="174">
        <f t="shared" si="1"/>
        <v>0</v>
      </c>
      <c r="I76" s="174" cm="1">
        <f t="array" ref="I76">IF(OR(B76={"R","U"}),E76,0)</f>
        <v>0</v>
      </c>
      <c r="J76" s="174" t="str">
        <f>IF(B76="U","Unbilled",INDEX(Code!B:B,MATCH(LEFT(C76,10),Code!A:A,0)))</f>
        <v>CustIDs</v>
      </c>
    </row>
    <row r="77" spans="1:10" hidden="1">
      <c r="A77" s="597" t="s">
        <v>5</v>
      </c>
      <c r="B77" s="597" t="s">
        <v>91</v>
      </c>
      <c r="C77" s="597" t="s">
        <v>121</v>
      </c>
      <c r="D77" s="597">
        <v>0</v>
      </c>
      <c r="E77" s="597">
        <v>0</v>
      </c>
      <c r="F77" s="597">
        <v>324830.88</v>
      </c>
      <c r="G77" s="597">
        <v>0</v>
      </c>
      <c r="H77" s="174">
        <f t="shared" si="1"/>
        <v>0</v>
      </c>
      <c r="I77" s="174" cm="1">
        <f t="array" ref="I77">IF(OR(B77={"R","U"}),E77,0)</f>
        <v>0</v>
      </c>
      <c r="J77" s="174" t="str">
        <f>IF(B77="U","Unbilled",INDEX(Code!B:B,MATCH(LEFT(C77,10),Code!A:A,0)))</f>
        <v>Income Tax Defer Adj</v>
      </c>
    </row>
    <row r="78" spans="1:10" hidden="1">
      <c r="A78" s="597" t="s">
        <v>5</v>
      </c>
      <c r="B78" s="597" t="s">
        <v>91</v>
      </c>
      <c r="C78" s="597" t="s">
        <v>76</v>
      </c>
      <c r="D78" s="597">
        <v>0</v>
      </c>
      <c r="E78" s="597">
        <v>0</v>
      </c>
      <c r="F78" s="597">
        <v>609945.92000000004</v>
      </c>
      <c r="G78" s="597">
        <v>0</v>
      </c>
      <c r="H78" s="174">
        <f t="shared" si="1"/>
        <v>0</v>
      </c>
      <c r="I78" s="174" cm="1">
        <f t="array" ref="I78">IF(OR(B78={"R","U"}),E78,0)</f>
        <v>0</v>
      </c>
      <c r="J78" s="174" t="str">
        <f>IF(B78="U","Unbilled",INDEX(Code!B:B,MATCH(LEFT(C78,10),Code!A:A,0)))</f>
        <v>Rev Adj</v>
      </c>
    </row>
    <row r="79" spans="1:10" hidden="1">
      <c r="A79" s="597" t="s">
        <v>5</v>
      </c>
      <c r="B79" s="597" t="s">
        <v>91</v>
      </c>
      <c r="C79" s="597" t="s">
        <v>79</v>
      </c>
      <c r="D79" s="597">
        <v>0</v>
      </c>
      <c r="E79" s="597">
        <v>0</v>
      </c>
      <c r="F79" s="597">
        <v>19748.830000000002</v>
      </c>
      <c r="G79" s="597">
        <v>0</v>
      </c>
      <c r="H79" s="174">
        <f t="shared" si="1"/>
        <v>0</v>
      </c>
      <c r="I79" s="174" cm="1">
        <f t="array" ref="I79">IF(OR(B79={"R","U"}),E79,0)</f>
        <v>0</v>
      </c>
      <c r="J79" s="174" t="str">
        <f>IF(B79="U","Unbilled",INDEX(Code!B:B,MATCH(LEFT(C79,10),Code!A:A,0)))</f>
        <v>Rev Adj</v>
      </c>
    </row>
    <row r="80" spans="1:10" hidden="1">
      <c r="A80" s="597" t="s">
        <v>5</v>
      </c>
      <c r="B80" s="597" t="s">
        <v>92</v>
      </c>
      <c r="C80" s="597" t="s">
        <v>35</v>
      </c>
      <c r="D80" s="597">
        <v>0</v>
      </c>
      <c r="E80" s="597">
        <v>6151000</v>
      </c>
      <c r="F80" s="597">
        <v>1243000</v>
      </c>
      <c r="G80" s="597">
        <v>0</v>
      </c>
      <c r="H80" s="174">
        <f t="shared" si="1"/>
        <v>0</v>
      </c>
      <c r="I80" s="174" cm="1">
        <f t="array" ref="I80">IF(OR(B80={"R","U"}),E80,0)</f>
        <v>6151000</v>
      </c>
      <c r="J80" s="174" t="str">
        <f>IF(B80="U","Unbilled",INDEX(Code!B:B,MATCH(LEFT(C80,10),Code!A:A,0)))</f>
        <v>Unbilled</v>
      </c>
    </row>
    <row r="81" spans="1:10" hidden="1">
      <c r="A81" s="597" t="s">
        <v>116</v>
      </c>
      <c r="B81" s="597" t="s">
        <v>224</v>
      </c>
      <c r="C81" s="597" t="s">
        <v>38</v>
      </c>
      <c r="D81" s="597">
        <v>29184</v>
      </c>
      <c r="E81" s="597">
        <v>90832550</v>
      </c>
      <c r="F81" s="597">
        <v>-743850.58</v>
      </c>
      <c r="G81" s="597">
        <v>0</v>
      </c>
      <c r="H81" s="174">
        <f t="shared" si="1"/>
        <v>0</v>
      </c>
      <c r="I81" s="174" cm="1">
        <f t="array" ref="I81">IF(OR(B81={"R","U"}),E81,0)</f>
        <v>0</v>
      </c>
      <c r="J81" s="174" t="str">
        <f>IF(B81="U","Unbilled",INDEX(Code!B:B,MATCH(LEFT(C81,10),Code!A:A,0)))</f>
        <v>Schedule 40</v>
      </c>
    </row>
    <row r="82" spans="1:10" hidden="1">
      <c r="A82" s="597" t="s">
        <v>116</v>
      </c>
      <c r="B82" s="597" t="s">
        <v>224</v>
      </c>
      <c r="C82" s="597" t="s">
        <v>235</v>
      </c>
      <c r="D82" s="597"/>
      <c r="E82" s="597">
        <v>-10762686</v>
      </c>
      <c r="F82" s="597">
        <v>83580.22</v>
      </c>
      <c r="G82" s="597"/>
      <c r="H82" s="174">
        <f t="shared" si="1"/>
        <v>0</v>
      </c>
      <c r="I82" s="174" cm="1">
        <f t="array" ref="I82">IF(OR(B82={"R","U"}),E82,0)</f>
        <v>0</v>
      </c>
      <c r="J82" s="174" t="str">
        <f>IF(B82="U","Unbilled",INDEX(Code!B:B,MATCH(LEFT(C82,10),Code!A:A,0)))</f>
        <v>BPA Adj Fee</v>
      </c>
    </row>
    <row r="83" spans="1:10" hidden="1">
      <c r="A83" s="597" t="s">
        <v>116</v>
      </c>
      <c r="B83" s="597" t="s">
        <v>224</v>
      </c>
      <c r="C83" s="597" t="s">
        <v>236</v>
      </c>
      <c r="D83" s="597">
        <v>128</v>
      </c>
      <c r="E83" s="597">
        <v>305336</v>
      </c>
      <c r="F83" s="597">
        <v>-2303.62</v>
      </c>
      <c r="G83" s="597">
        <v>0</v>
      </c>
      <c r="H83" s="174">
        <f t="shared" si="1"/>
        <v>0</v>
      </c>
      <c r="I83" s="174" cm="1">
        <f t="array" ref="I83">IF(OR(B83={"R","U"}),E83,0)</f>
        <v>0</v>
      </c>
      <c r="J83" s="174" t="str">
        <f>IF(B83="U","Unbilled",INDEX(Code!B:B,MATCH(LEFT(C83,10),Code!A:A,0)))</f>
        <v>Schedule 40</v>
      </c>
    </row>
    <row r="84" spans="1:10" hidden="1">
      <c r="A84" s="597" t="s">
        <v>116</v>
      </c>
      <c r="B84" s="597" t="s">
        <v>224</v>
      </c>
      <c r="C84" s="597" t="s">
        <v>41</v>
      </c>
      <c r="D84" s="597">
        <v>0</v>
      </c>
      <c r="E84" s="597"/>
      <c r="F84" s="597"/>
      <c r="G84" s="597">
        <v>28703</v>
      </c>
      <c r="H84" s="174">
        <f t="shared" si="1"/>
        <v>0</v>
      </c>
      <c r="I84" s="174" cm="1">
        <f t="array" ref="I84">IF(OR(B84={"R","U"}),E84,0)</f>
        <v>0</v>
      </c>
      <c r="J84" s="174" t="str">
        <f>IF(B84="U","Unbilled",INDEX(Code!B:B,MATCH(LEFT(C84,10),Code!A:A,0)))</f>
        <v>CustIDs</v>
      </c>
    </row>
    <row r="85" spans="1:10" hidden="1">
      <c r="A85" s="597" t="s">
        <v>116</v>
      </c>
      <c r="B85" s="597" t="s">
        <v>224</v>
      </c>
      <c r="C85" s="597" t="s">
        <v>42</v>
      </c>
      <c r="D85" s="597">
        <v>0</v>
      </c>
      <c r="E85" s="597">
        <v>0</v>
      </c>
      <c r="F85" s="597">
        <v>16810.400000000001</v>
      </c>
      <c r="G85" s="597">
        <v>0</v>
      </c>
      <c r="H85" s="174">
        <f t="shared" si="1"/>
        <v>0</v>
      </c>
      <c r="I85" s="174" cm="1">
        <f t="array" ref="I85">IF(OR(B85={"R","U"}),E85,0)</f>
        <v>0</v>
      </c>
      <c r="J85" s="174" t="str">
        <f>IF(B85="U","Unbilled",INDEX(Code!B:B,MATCH(LEFT(C85,10),Code!A:A,0)))</f>
        <v>BPA Bal Acct</v>
      </c>
    </row>
    <row r="86" spans="1:10" hidden="1">
      <c r="A86" s="597" t="s">
        <v>116</v>
      </c>
      <c r="B86" s="597" t="s">
        <v>91</v>
      </c>
      <c r="C86" s="597" t="s">
        <v>38</v>
      </c>
      <c r="D86" s="597">
        <v>29184</v>
      </c>
      <c r="E86" s="597">
        <v>90832519</v>
      </c>
      <c r="F86" s="597">
        <v>7807904.2199999997</v>
      </c>
      <c r="G86" s="597">
        <v>0</v>
      </c>
      <c r="H86" s="174">
        <f t="shared" si="1"/>
        <v>29184</v>
      </c>
      <c r="I86" s="174" cm="1">
        <f t="array" ref="I86">IF(OR(B86={"R","U"}),E86,0)</f>
        <v>90832519</v>
      </c>
      <c r="J86" s="174" t="str">
        <f>IF(B86="U","Unbilled",INDEX(Code!B:B,MATCH(LEFT(C86,10),Code!A:A,0)))</f>
        <v>Schedule 40</v>
      </c>
    </row>
    <row r="87" spans="1:10" hidden="1">
      <c r="A87" s="597" t="s">
        <v>116</v>
      </c>
      <c r="B87" s="597" t="s">
        <v>91</v>
      </c>
      <c r="C87" s="597" t="s">
        <v>39</v>
      </c>
      <c r="D87" s="597">
        <v>32093</v>
      </c>
      <c r="E87" s="597">
        <v>74921831</v>
      </c>
      <c r="F87" s="597">
        <v>6530534.4100000001</v>
      </c>
      <c r="G87" s="597">
        <v>0</v>
      </c>
      <c r="H87" s="174">
        <f t="shared" si="1"/>
        <v>32093</v>
      </c>
      <c r="I87" s="174" cm="1">
        <f t="array" ref="I87">IF(OR(B87={"R","U"}),E87,0)</f>
        <v>74921831</v>
      </c>
      <c r="J87" s="174" t="str">
        <f>IF(B87="U","Unbilled",INDEX(Code!B:B,MATCH(LEFT(C87,10),Code!A:A,0)))</f>
        <v>Schedule 40</v>
      </c>
    </row>
    <row r="88" spans="1:10" hidden="1">
      <c r="A88" s="597" t="s">
        <v>116</v>
      </c>
      <c r="B88" s="597" t="s">
        <v>91</v>
      </c>
      <c r="C88" s="597" t="s">
        <v>25</v>
      </c>
      <c r="D88" s="597"/>
      <c r="E88" s="597">
        <v>0</v>
      </c>
      <c r="F88" s="597">
        <v>16516.34</v>
      </c>
      <c r="G88" s="597"/>
      <c r="H88" s="174">
        <f t="shared" si="1"/>
        <v>0</v>
      </c>
      <c r="I88" s="174" cm="1">
        <f t="array" ref="I88">IF(OR(B88={"R","U"}),E88,0)</f>
        <v>0</v>
      </c>
      <c r="J88" s="174" t="str">
        <f>IF(B88="U","Unbilled",INDEX(Code!B:B,MATCH(LEFT(C88,10),Code!A:A,0)))</f>
        <v>Annual Guarantee Adjustments</v>
      </c>
    </row>
    <row r="89" spans="1:10" hidden="1">
      <c r="A89" s="597" t="s">
        <v>116</v>
      </c>
      <c r="B89" s="597" t="s">
        <v>91</v>
      </c>
      <c r="C89" s="597" t="s">
        <v>26</v>
      </c>
      <c r="D89" s="597"/>
      <c r="E89" s="597">
        <v>0</v>
      </c>
      <c r="F89" s="597">
        <v>76.62</v>
      </c>
      <c r="G89" s="597"/>
      <c r="H89" s="174">
        <f t="shared" si="1"/>
        <v>0</v>
      </c>
      <c r="I89" s="174" cm="1">
        <f t="array" ref="I89">IF(OR(B89={"R","U"}),E89,0)</f>
        <v>0</v>
      </c>
      <c r="J89" s="174" t="str">
        <f>IF(B89="U","Unbilled",INDEX(Code!B:B,MATCH(LEFT(C89,10),Code!A:A,0)))</f>
        <v>Annual Guarantee Adjustments</v>
      </c>
    </row>
    <row r="90" spans="1:10" hidden="1">
      <c r="A90" s="597" t="s">
        <v>116</v>
      </c>
      <c r="B90" s="597" t="s">
        <v>91</v>
      </c>
      <c r="C90" s="597" t="s">
        <v>27</v>
      </c>
      <c r="D90" s="597"/>
      <c r="E90" s="597">
        <v>0</v>
      </c>
      <c r="F90" s="597">
        <v>899.38</v>
      </c>
      <c r="G90" s="597"/>
      <c r="H90" s="174">
        <f t="shared" si="1"/>
        <v>0</v>
      </c>
      <c r="I90" s="174" cm="1">
        <f t="array" ref="I90">IF(OR(B90={"R","U"}),E90,0)</f>
        <v>0</v>
      </c>
      <c r="J90" s="174" t="str">
        <f>IF(B90="U","Unbilled",INDEX(Code!B:B,MATCH(LEFT(C90,10),Code!A:A,0)))</f>
        <v>Annual Guarantee Adjustments</v>
      </c>
    </row>
    <row r="91" spans="1:10" hidden="1">
      <c r="A91" s="597" t="s">
        <v>116</v>
      </c>
      <c r="B91" s="597" t="s">
        <v>91</v>
      </c>
      <c r="C91" s="597" t="s">
        <v>28</v>
      </c>
      <c r="D91" s="597"/>
      <c r="E91" s="597">
        <v>0</v>
      </c>
      <c r="F91" s="597">
        <v>87043.07</v>
      </c>
      <c r="G91" s="597"/>
      <c r="H91" s="174">
        <f t="shared" si="1"/>
        <v>0</v>
      </c>
      <c r="I91" s="174" cm="1">
        <f t="array" ref="I91">IF(OR(B91={"R","U"}),E91,0)</f>
        <v>0</v>
      </c>
      <c r="J91" s="174" t="str">
        <f>IF(B91="U","Unbilled",INDEX(Code!B:B,MATCH(LEFT(C91,10),Code!A:A,0)))</f>
        <v>Annual Guarantee Adjustments</v>
      </c>
    </row>
    <row r="92" spans="1:10" hidden="1">
      <c r="A92" s="597" t="s">
        <v>116</v>
      </c>
      <c r="B92" s="597" t="s">
        <v>91</v>
      </c>
      <c r="C92" s="597" t="s">
        <v>69</v>
      </c>
      <c r="D92" s="597"/>
      <c r="E92" s="597">
        <v>0</v>
      </c>
      <c r="F92" s="597">
        <v>13214.61</v>
      </c>
      <c r="G92" s="597"/>
      <c r="H92" s="174">
        <f t="shared" si="1"/>
        <v>0</v>
      </c>
      <c r="I92" s="174" cm="1">
        <f t="array" ref="I92">IF(OR(B92={"R","U"}),E92,0)</f>
        <v>0</v>
      </c>
      <c r="J92" s="174" t="str">
        <f>IF(B92="U","Unbilled",INDEX(Code!B:B,MATCH(LEFT(C92,10),Code!A:A,0)))</f>
        <v>Annual Guarantee Adjustments</v>
      </c>
    </row>
    <row r="93" spans="1:10" hidden="1">
      <c r="A93" s="597" t="s">
        <v>116</v>
      </c>
      <c r="B93" s="597" t="s">
        <v>91</v>
      </c>
      <c r="C93" s="597" t="s">
        <v>70</v>
      </c>
      <c r="D93" s="597"/>
      <c r="E93" s="597">
        <v>0</v>
      </c>
      <c r="F93" s="597">
        <v>22568.35</v>
      </c>
      <c r="G93" s="597"/>
      <c r="H93" s="174">
        <f t="shared" si="1"/>
        <v>0</v>
      </c>
      <c r="I93" s="174" cm="1">
        <f t="array" ref="I93">IF(OR(B93={"R","U"}),E93,0)</f>
        <v>0</v>
      </c>
      <c r="J93" s="174" t="str">
        <f>IF(B93="U","Unbilled",INDEX(Code!B:B,MATCH(LEFT(C93,10),Code!A:A,0)))</f>
        <v>Annual Guarantee Adjustments</v>
      </c>
    </row>
    <row r="94" spans="1:10" hidden="1">
      <c r="A94" s="597" t="s">
        <v>116</v>
      </c>
      <c r="B94" s="597" t="s">
        <v>91</v>
      </c>
      <c r="C94" s="597" t="s">
        <v>237</v>
      </c>
      <c r="D94" s="597">
        <v>128</v>
      </c>
      <c r="E94" s="597">
        <v>305336</v>
      </c>
      <c r="F94" s="597">
        <v>32893.19</v>
      </c>
      <c r="G94" s="597">
        <v>0</v>
      </c>
      <c r="H94" s="174">
        <f t="shared" si="1"/>
        <v>128</v>
      </c>
      <c r="I94" s="174" cm="1">
        <f t="array" ref="I94">IF(OR(B94={"R","U"}),E94,0)</f>
        <v>305336</v>
      </c>
      <c r="J94" s="174" t="str">
        <f>IF(B94="U","Unbilled",INDEX(Code!B:B,MATCH(LEFT(C94,10),Code!A:A,0)))</f>
        <v>Schedule 40</v>
      </c>
    </row>
    <row r="95" spans="1:10" hidden="1">
      <c r="A95" s="597" t="s">
        <v>116</v>
      </c>
      <c r="B95" s="597" t="s">
        <v>91</v>
      </c>
      <c r="C95" s="597" t="s">
        <v>238</v>
      </c>
      <c r="D95" s="597">
        <v>148</v>
      </c>
      <c r="E95" s="597">
        <v>58213</v>
      </c>
      <c r="F95" s="597">
        <v>11429.43</v>
      </c>
      <c r="G95" s="597">
        <v>0</v>
      </c>
      <c r="H95" s="174">
        <f t="shared" si="1"/>
        <v>148</v>
      </c>
      <c r="I95" s="174" cm="1">
        <f t="array" ref="I95">IF(OR(B95={"R","U"}),E95,0)</f>
        <v>58213</v>
      </c>
      <c r="J95" s="174" t="str">
        <f>IF(B95="U","Unbilled",INDEX(Code!B:B,MATCH(LEFT(C95,10),Code!A:A,0)))</f>
        <v>Schedule 40</v>
      </c>
    </row>
    <row r="96" spans="1:10" hidden="1">
      <c r="A96" s="597" t="s">
        <v>116</v>
      </c>
      <c r="B96" s="597" t="s">
        <v>91</v>
      </c>
      <c r="C96" s="597" t="s">
        <v>239</v>
      </c>
      <c r="D96" s="597">
        <v>0</v>
      </c>
      <c r="E96" s="597">
        <v>0</v>
      </c>
      <c r="F96" s="597">
        <v>0</v>
      </c>
      <c r="G96" s="597">
        <v>0</v>
      </c>
      <c r="H96" s="174">
        <f t="shared" si="1"/>
        <v>0</v>
      </c>
      <c r="I96" s="174" cm="1">
        <f t="array" ref="I96">IF(OR(B96={"R","U"}),E96,0)</f>
        <v>0</v>
      </c>
      <c r="J96" s="174" t="str">
        <f>IF(B96="U","Unbilled",INDEX(Code!B:B,MATCH(LEFT(C96,10),Code!A:A,0)))</f>
        <v>Customer Bill Credits</v>
      </c>
    </row>
    <row r="97" spans="1:10" hidden="1">
      <c r="A97" s="597" t="s">
        <v>116</v>
      </c>
      <c r="B97" s="597" t="s">
        <v>91</v>
      </c>
      <c r="C97" s="597" t="s">
        <v>78</v>
      </c>
      <c r="D97" s="597">
        <v>0</v>
      </c>
      <c r="E97" s="597">
        <v>0</v>
      </c>
      <c r="F97" s="597">
        <v>275000</v>
      </c>
      <c r="G97" s="597">
        <v>0</v>
      </c>
      <c r="H97" s="174">
        <f t="shared" si="1"/>
        <v>0</v>
      </c>
      <c r="I97" s="174" cm="1">
        <f t="array" ref="I97">IF(OR(B97={"R","U"}),E97,0)</f>
        <v>0</v>
      </c>
      <c r="J97" s="174" t="str">
        <f>IF(B97="U","Unbilled",INDEX(Code!B:B,MATCH(LEFT(C97,10),Code!A:A,0)))</f>
        <v>Irr Demand Charge Accrual</v>
      </c>
    </row>
    <row r="98" spans="1:10" hidden="1">
      <c r="A98" s="597" t="s">
        <v>116</v>
      </c>
      <c r="B98" s="597" t="s">
        <v>91</v>
      </c>
      <c r="C98" s="597" t="s">
        <v>81</v>
      </c>
      <c r="D98" s="597">
        <v>0</v>
      </c>
      <c r="E98" s="597">
        <v>0</v>
      </c>
      <c r="F98" s="597">
        <v>536487.11</v>
      </c>
      <c r="G98" s="597">
        <v>0</v>
      </c>
      <c r="H98" s="174">
        <f t="shared" si="1"/>
        <v>0</v>
      </c>
      <c r="I98" s="174" cm="1">
        <f t="array" ref="I98">IF(OR(B98={"R","U"}),E98,0)</f>
        <v>0</v>
      </c>
      <c r="J98" s="174" t="str">
        <f>IF(B98="U","Unbilled",INDEX(Code!B:B,MATCH(LEFT(C98,10),Code!A:A,0)))</f>
        <v>DSM</v>
      </c>
    </row>
    <row r="99" spans="1:10" hidden="1">
      <c r="A99" s="597" t="s">
        <v>116</v>
      </c>
      <c r="B99" s="597" t="s">
        <v>91</v>
      </c>
      <c r="C99" s="597" t="s">
        <v>82</v>
      </c>
      <c r="D99" s="597">
        <v>0</v>
      </c>
      <c r="E99" s="597">
        <v>0</v>
      </c>
      <c r="F99" s="597">
        <v>2235.14</v>
      </c>
      <c r="G99" s="597">
        <v>0</v>
      </c>
      <c r="H99" s="174">
        <f t="shared" si="1"/>
        <v>0</v>
      </c>
      <c r="I99" s="174" cm="1">
        <f t="array" ref="I99">IF(OR(B99={"R","U"}),E99,0)</f>
        <v>0</v>
      </c>
      <c r="J99" s="174" t="str">
        <f>IF(B99="U","Unbilled",INDEX(Code!B:B,MATCH(LEFT(C99,10),Code!A:A,0)))</f>
        <v>Blue Sky</v>
      </c>
    </row>
    <row r="100" spans="1:10" hidden="1">
      <c r="A100" s="597" t="s">
        <v>116</v>
      </c>
      <c r="B100" s="597" t="s">
        <v>91</v>
      </c>
      <c r="C100" s="597" t="s">
        <v>120</v>
      </c>
      <c r="D100" s="597">
        <v>0</v>
      </c>
      <c r="E100" s="597">
        <v>0</v>
      </c>
      <c r="F100" s="597">
        <v>5509.44</v>
      </c>
      <c r="G100" s="597">
        <v>0</v>
      </c>
      <c r="H100" s="174">
        <f t="shared" si="1"/>
        <v>0</v>
      </c>
      <c r="I100" s="174" cm="1">
        <f t="array" ref="I100">IF(OR(B100={"R","U"}),E100,0)</f>
        <v>0</v>
      </c>
      <c r="J100" s="174" t="str">
        <f>IF(B100="U","Unbilled",INDEX(Code!B:B,MATCH(LEFT(C100,10),Code!A:A,0)))</f>
        <v>Rev Adj Property Insur</v>
      </c>
    </row>
    <row r="101" spans="1:10" hidden="1">
      <c r="A101" s="597" t="s">
        <v>116</v>
      </c>
      <c r="B101" s="597" t="s">
        <v>91</v>
      </c>
      <c r="C101" s="597" t="s">
        <v>233</v>
      </c>
      <c r="D101" s="597">
        <v>0</v>
      </c>
      <c r="E101" s="597">
        <v>0</v>
      </c>
      <c r="F101" s="597">
        <v>26769.200000000001</v>
      </c>
      <c r="G101" s="597">
        <v>0</v>
      </c>
      <c r="H101" s="174">
        <f t="shared" si="1"/>
        <v>0</v>
      </c>
      <c r="I101" s="174" cm="1">
        <f t="array" ref="I101">IF(OR(B101={"R","U"}),E101,0)</f>
        <v>0</v>
      </c>
      <c r="J101" s="174" t="str">
        <f>IF(B101="U","Unbilled",INDEX(Code!B:B,MATCH(LEFT(C101,10),Code!A:A,0)))</f>
        <v>Alt Rev Program</v>
      </c>
    </row>
    <row r="102" spans="1:10" hidden="1">
      <c r="A102" s="597" t="s">
        <v>116</v>
      </c>
      <c r="B102" s="597" t="s">
        <v>91</v>
      </c>
      <c r="C102" s="597" t="s">
        <v>40</v>
      </c>
      <c r="D102" s="597">
        <v>0</v>
      </c>
      <c r="E102" s="597"/>
      <c r="F102" s="597"/>
      <c r="G102" s="597">
        <v>60096</v>
      </c>
      <c r="H102" s="174">
        <f t="shared" si="1"/>
        <v>0</v>
      </c>
      <c r="I102" s="174" cm="1">
        <f t="array" ref="I102">IF(OR(B102={"R","U"}),E102,0)</f>
        <v>0</v>
      </c>
      <c r="J102" s="174" t="str">
        <f>IF(B102="U","Unbilled",INDEX(Code!B:B,MATCH(LEFT(C102,10),Code!A:A,0)))</f>
        <v>CustIDs</v>
      </c>
    </row>
    <row r="103" spans="1:10" hidden="1">
      <c r="A103" s="597" t="s">
        <v>116</v>
      </c>
      <c r="B103" s="597" t="s">
        <v>91</v>
      </c>
      <c r="C103" s="597" t="s">
        <v>121</v>
      </c>
      <c r="D103" s="597">
        <v>0</v>
      </c>
      <c r="E103" s="597">
        <v>0</v>
      </c>
      <c r="F103" s="597">
        <v>61977.3</v>
      </c>
      <c r="G103" s="597">
        <v>0</v>
      </c>
      <c r="H103" s="174">
        <f t="shared" si="1"/>
        <v>0</v>
      </c>
      <c r="I103" s="174" cm="1">
        <f t="array" ref="I103">IF(OR(B103={"R","U"}),E103,0)</f>
        <v>0</v>
      </c>
      <c r="J103" s="174" t="str">
        <f>IF(B103="U","Unbilled",INDEX(Code!B:B,MATCH(LEFT(C103,10),Code!A:A,0)))</f>
        <v>Income Tax Defer Adj</v>
      </c>
    </row>
    <row r="104" spans="1:10" hidden="1">
      <c r="A104" s="597" t="s">
        <v>116</v>
      </c>
      <c r="B104" s="597" t="s">
        <v>91</v>
      </c>
      <c r="C104" s="597" t="s">
        <v>76</v>
      </c>
      <c r="D104" s="597">
        <v>0</v>
      </c>
      <c r="E104" s="597">
        <v>0</v>
      </c>
      <c r="F104" s="597">
        <v>545374.48</v>
      </c>
      <c r="G104" s="597">
        <v>0</v>
      </c>
      <c r="H104" s="174">
        <f t="shared" si="1"/>
        <v>0</v>
      </c>
      <c r="I104" s="174" cm="1">
        <f t="array" ref="I104">IF(OR(B104={"R","U"}),E104,0)</f>
        <v>0</v>
      </c>
      <c r="J104" s="174" t="str">
        <f>IF(B104="U","Unbilled",INDEX(Code!B:B,MATCH(LEFT(C104,10),Code!A:A,0)))</f>
        <v>Rev Adj</v>
      </c>
    </row>
    <row r="105" spans="1:10" hidden="1">
      <c r="A105" s="597" t="s">
        <v>116</v>
      </c>
      <c r="B105" s="597" t="s">
        <v>91</v>
      </c>
      <c r="C105" s="597" t="s">
        <v>79</v>
      </c>
      <c r="D105" s="597">
        <v>0</v>
      </c>
      <c r="E105" s="597">
        <v>0</v>
      </c>
      <c r="F105" s="597">
        <v>4144.18</v>
      </c>
      <c r="G105" s="597">
        <v>0</v>
      </c>
      <c r="H105" s="174">
        <f t="shared" si="1"/>
        <v>0</v>
      </c>
      <c r="I105" s="174" cm="1">
        <f t="array" ref="I105">IF(OR(B105={"R","U"}),E105,0)</f>
        <v>0</v>
      </c>
      <c r="J105" s="174" t="str">
        <f>IF(B105="U","Unbilled",INDEX(Code!B:B,MATCH(LEFT(C105,10),Code!A:A,0)))</f>
        <v>Rev Adj</v>
      </c>
    </row>
    <row r="106" spans="1:10" hidden="1">
      <c r="A106" s="597" t="s">
        <v>116</v>
      </c>
      <c r="B106" s="597" t="s">
        <v>92</v>
      </c>
      <c r="C106" s="597" t="s">
        <v>43</v>
      </c>
      <c r="D106" s="597">
        <v>0</v>
      </c>
      <c r="E106" s="597">
        <v>-10577000</v>
      </c>
      <c r="F106" s="597">
        <v>-1729000</v>
      </c>
      <c r="G106" s="597">
        <v>0</v>
      </c>
      <c r="H106" s="174">
        <f t="shared" si="1"/>
        <v>0</v>
      </c>
      <c r="I106" s="174" cm="1">
        <f t="array" ref="I106">IF(OR(B106={"R","U"}),E106,0)</f>
        <v>-10577000</v>
      </c>
      <c r="J106" s="174" t="str">
        <f>IF(B106="U","Unbilled",INDEX(Code!B:B,MATCH(LEFT(C106,10),Code!A:A,0)))</f>
        <v>Unbilled</v>
      </c>
    </row>
    <row r="107" spans="1:10" hidden="1">
      <c r="A107" s="597" t="s">
        <v>104</v>
      </c>
      <c r="B107" s="597" t="s">
        <v>91</v>
      </c>
      <c r="C107" s="597" t="s">
        <v>44</v>
      </c>
      <c r="D107" s="597"/>
      <c r="E107" s="597">
        <v>0</v>
      </c>
      <c r="F107" s="597">
        <v>90.84</v>
      </c>
      <c r="G107" s="597"/>
      <c r="H107" s="174">
        <f t="shared" si="1"/>
        <v>0</v>
      </c>
      <c r="I107" s="174" cm="1">
        <f t="array" ref="I107">IF(OR(B107={"R","U"}),E107,0)</f>
        <v>0</v>
      </c>
      <c r="J107" s="174" t="str">
        <f>IF(B107="U","Unbilled",INDEX(Code!B:B,MATCH(LEFT(C107,10),Code!A:A,0)))</f>
        <v>Annual Guarantee Adjustments</v>
      </c>
    </row>
    <row r="108" spans="1:10" hidden="1">
      <c r="A108" s="597" t="s">
        <v>104</v>
      </c>
      <c r="B108" s="597" t="s">
        <v>91</v>
      </c>
      <c r="C108" s="597" t="s">
        <v>45</v>
      </c>
      <c r="D108" s="597">
        <v>1428</v>
      </c>
      <c r="E108" s="597">
        <v>1398266</v>
      </c>
      <c r="F108" s="597">
        <v>62273.85</v>
      </c>
      <c r="G108" s="597">
        <v>0</v>
      </c>
      <c r="H108" s="174">
        <f t="shared" si="1"/>
        <v>1428</v>
      </c>
      <c r="I108" s="174" cm="1">
        <f t="array" ref="I108">IF(OR(B108={"R","U"}),E108,0)</f>
        <v>1398266</v>
      </c>
      <c r="J108" s="174" t="str">
        <f>IF(B108="U","Unbilled",INDEX(Code!B:B,MATCH(LEFT(C108,10),Code!A:A,0)))</f>
        <v>Schedule 53</v>
      </c>
    </row>
    <row r="109" spans="1:10" hidden="1">
      <c r="A109" s="597" t="s">
        <v>104</v>
      </c>
      <c r="B109" s="597" t="s">
        <v>91</v>
      </c>
      <c r="C109" s="597" t="s">
        <v>46</v>
      </c>
      <c r="D109" s="597">
        <v>1363</v>
      </c>
      <c r="E109" s="597">
        <v>713586</v>
      </c>
      <c r="F109" s="597">
        <v>31376.02</v>
      </c>
      <c r="G109" s="597">
        <v>0</v>
      </c>
      <c r="H109" s="174">
        <f t="shared" si="1"/>
        <v>1363</v>
      </c>
      <c r="I109" s="174" cm="1">
        <f t="array" ref="I109">IF(OR(B109={"R","U"}),E109,0)</f>
        <v>713586</v>
      </c>
      <c r="J109" s="174" t="str">
        <f>IF(B109="U","Unbilled",INDEX(Code!B:B,MATCH(LEFT(C109,10),Code!A:A,0)))</f>
        <v>Schedule 53</v>
      </c>
    </row>
    <row r="110" spans="1:10">
      <c r="A110" s="597" t="s">
        <v>104</v>
      </c>
      <c r="B110" s="597" t="s">
        <v>91</v>
      </c>
      <c r="C110" s="597" t="s">
        <v>240</v>
      </c>
      <c r="D110" s="597">
        <v>2711</v>
      </c>
      <c r="E110" s="597">
        <v>1962495</v>
      </c>
      <c r="F110" s="597">
        <v>444222.36</v>
      </c>
      <c r="G110" s="597">
        <v>0</v>
      </c>
      <c r="H110" s="174">
        <f t="shared" si="1"/>
        <v>2711</v>
      </c>
      <c r="I110" s="174" cm="1">
        <f t="array" ref="I110">IF(OR(B110={"R","U"}),E110,0)</f>
        <v>1962495</v>
      </c>
      <c r="J110" s="174" t="str">
        <f>IF(B110="U","Unbilled",INDEX(Code!B:B,MATCH(LEFT(C110,10),Code!A:A,0)))</f>
        <v>Schedule 51</v>
      </c>
    </row>
    <row r="111" spans="1:10" hidden="1">
      <c r="A111" s="597" t="s">
        <v>104</v>
      </c>
      <c r="B111" s="597" t="s">
        <v>91</v>
      </c>
      <c r="C111" s="597" t="s">
        <v>84</v>
      </c>
      <c r="D111" s="597">
        <v>0</v>
      </c>
      <c r="E111" s="597">
        <v>0</v>
      </c>
      <c r="F111" s="597">
        <v>11595.93</v>
      </c>
      <c r="G111" s="597">
        <v>0</v>
      </c>
      <c r="H111" s="174">
        <f t="shared" si="1"/>
        <v>0</v>
      </c>
      <c r="I111" s="174" cm="1">
        <f t="array" ref="I111">IF(OR(B111={"R","U"}),E111,0)</f>
        <v>0</v>
      </c>
      <c r="J111" s="174" t="str">
        <f>IF(B111="U","Unbilled",INDEX(Code!B:B,MATCH(LEFT(C111,10),Code!A:A,0)))</f>
        <v>DSM</v>
      </c>
    </row>
    <row r="112" spans="1:10" hidden="1">
      <c r="A112" s="597" t="s">
        <v>104</v>
      </c>
      <c r="B112" s="597" t="s">
        <v>91</v>
      </c>
      <c r="C112" s="597" t="s">
        <v>34</v>
      </c>
      <c r="D112" s="597">
        <v>0</v>
      </c>
      <c r="E112" s="597"/>
      <c r="F112" s="597"/>
      <c r="G112" s="597">
        <v>2648</v>
      </c>
      <c r="H112" s="174">
        <f t="shared" si="1"/>
        <v>0</v>
      </c>
      <c r="I112" s="174" cm="1">
        <f t="array" ref="I112">IF(OR(B112={"R","U"}),E112,0)</f>
        <v>0</v>
      </c>
      <c r="J112" s="174" t="str">
        <f>IF(B112="U","Unbilled",INDEX(Code!B:B,MATCH(LEFT(C112,10),Code!A:A,0)))</f>
        <v>CustIDs</v>
      </c>
    </row>
    <row r="113" spans="1:10" hidden="1">
      <c r="A113" s="597" t="s">
        <v>104</v>
      </c>
      <c r="B113" s="597" t="s">
        <v>91</v>
      </c>
      <c r="C113" s="597" t="s">
        <v>121</v>
      </c>
      <c r="D113" s="597">
        <v>0</v>
      </c>
      <c r="E113" s="597">
        <v>0</v>
      </c>
      <c r="F113" s="597">
        <v>3821.16</v>
      </c>
      <c r="G113" s="597">
        <v>0</v>
      </c>
      <c r="H113" s="174">
        <f t="shared" si="1"/>
        <v>0</v>
      </c>
      <c r="I113" s="174" cm="1">
        <f t="array" ref="I113">IF(OR(B113={"R","U"}),E113,0)</f>
        <v>0</v>
      </c>
      <c r="J113" s="174" t="str">
        <f>IF(B113="U","Unbilled",INDEX(Code!B:B,MATCH(LEFT(C113,10),Code!A:A,0)))</f>
        <v>Income Tax Defer Adj</v>
      </c>
    </row>
    <row r="114" spans="1:10" hidden="1">
      <c r="A114" s="597" t="s">
        <v>104</v>
      </c>
      <c r="B114" s="597" t="s">
        <v>91</v>
      </c>
      <c r="C114" s="597" t="s">
        <v>76</v>
      </c>
      <c r="D114" s="597">
        <v>0</v>
      </c>
      <c r="E114" s="597">
        <v>0</v>
      </c>
      <c r="F114" s="597">
        <v>2413.6799999999998</v>
      </c>
      <c r="G114" s="597">
        <v>0</v>
      </c>
      <c r="H114" s="174">
        <f t="shared" si="1"/>
        <v>0</v>
      </c>
      <c r="I114" s="174" cm="1">
        <f t="array" ref="I114">IF(OR(B114={"R","U"}),E114,0)</f>
        <v>0</v>
      </c>
      <c r="J114" s="174" t="str">
        <f>IF(B114="U","Unbilled",INDEX(Code!B:B,MATCH(LEFT(C114,10),Code!A:A,0)))</f>
        <v>Rev Adj</v>
      </c>
    </row>
    <row r="115" spans="1:10" hidden="1">
      <c r="A115" s="597" t="s">
        <v>104</v>
      </c>
      <c r="B115" s="597" t="s">
        <v>92</v>
      </c>
      <c r="C115" s="597" t="s">
        <v>35</v>
      </c>
      <c r="D115" s="597">
        <v>0</v>
      </c>
      <c r="E115" s="597">
        <v>-290000</v>
      </c>
      <c r="F115" s="597">
        <v>-41000</v>
      </c>
      <c r="G115" s="597">
        <v>0</v>
      </c>
      <c r="H115" s="174">
        <f t="shared" si="1"/>
        <v>0</v>
      </c>
      <c r="I115" s="174" cm="1">
        <f t="array" ref="I115">IF(OR(B115={"R","U"}),E115,0)</f>
        <v>-290000</v>
      </c>
      <c r="J115" s="174" t="str">
        <f>IF(B115="U","Unbilled",INDEX(Code!B:B,MATCH(LEFT(C115,10),Code!A:A,0)))</f>
        <v>Unbilled</v>
      </c>
    </row>
    <row r="116" spans="1:10" hidden="1">
      <c r="A116" s="597" t="s">
        <v>2</v>
      </c>
      <c r="B116" s="597" t="s">
        <v>224</v>
      </c>
      <c r="C116" s="597" t="s">
        <v>75</v>
      </c>
      <c r="D116" s="597">
        <v>20367</v>
      </c>
      <c r="E116" s="597">
        <v>16740375</v>
      </c>
      <c r="F116" s="597">
        <v>-163915.70000000001</v>
      </c>
      <c r="G116" s="597">
        <v>0</v>
      </c>
      <c r="H116" s="174">
        <f t="shared" si="1"/>
        <v>0</v>
      </c>
      <c r="I116" s="174" cm="1">
        <f t="array" ref="I116">IF(OR(B116={"R","U"}),E116,0)</f>
        <v>0</v>
      </c>
      <c r="J116" s="174" t="str">
        <f>IF(B116="U","Unbilled",INDEX(Code!B:B,MATCH(LEFT(C116,10),Code!A:A,0)))</f>
        <v>Schedule 16,17,19</v>
      </c>
    </row>
    <row r="117" spans="1:10" hidden="1">
      <c r="A117" s="597" t="s">
        <v>2</v>
      </c>
      <c r="B117" s="597" t="s">
        <v>224</v>
      </c>
      <c r="C117" s="597" t="s">
        <v>67</v>
      </c>
      <c r="D117" s="597"/>
      <c r="E117" s="597">
        <v>231779</v>
      </c>
      <c r="F117" s="597">
        <v>-2223.31</v>
      </c>
      <c r="G117" s="597"/>
      <c r="H117" s="174">
        <f t="shared" si="1"/>
        <v>0</v>
      </c>
      <c r="I117" s="174" cm="1">
        <f t="array" ref="I117">IF(OR(B117={"R","U"}),E117,0)</f>
        <v>0</v>
      </c>
      <c r="J117" s="174" t="str">
        <f>IF(B117="U","Unbilled",INDEX(Code!B:B,MATCH(LEFT(C117,10),Code!A:A,0)))</f>
        <v>Schedule 15</v>
      </c>
    </row>
    <row r="118" spans="1:10" hidden="1">
      <c r="A118" s="597" t="s">
        <v>2</v>
      </c>
      <c r="B118" s="597" t="s">
        <v>224</v>
      </c>
      <c r="C118" s="597" t="s">
        <v>241</v>
      </c>
      <c r="D118" s="597">
        <v>1240103</v>
      </c>
      <c r="E118" s="597">
        <v>1524840786</v>
      </c>
      <c r="F118" s="597">
        <v>-14425806.08</v>
      </c>
      <c r="G118" s="597">
        <v>0</v>
      </c>
      <c r="H118" s="174">
        <f t="shared" si="1"/>
        <v>0</v>
      </c>
      <c r="I118" s="174" cm="1">
        <f t="array" ref="I118">IF(OR(B118={"R","U"}),E118,0)</f>
        <v>0</v>
      </c>
      <c r="J118" s="174" t="str">
        <f>IF(B118="U","Unbilled",INDEX(Code!B:B,MATCH(LEFT(C118,10),Code!A:A,0)))</f>
        <v>Schedule 16,17,19</v>
      </c>
    </row>
    <row r="119" spans="1:10" hidden="1">
      <c r="A119" s="597" t="s">
        <v>2</v>
      </c>
      <c r="B119" s="597" t="s">
        <v>224</v>
      </c>
      <c r="C119" s="597" t="s">
        <v>49</v>
      </c>
      <c r="D119" s="597">
        <v>69949</v>
      </c>
      <c r="E119" s="597">
        <v>91914289</v>
      </c>
      <c r="F119" s="597">
        <v>-891393.14</v>
      </c>
      <c r="G119" s="597">
        <v>0</v>
      </c>
      <c r="H119" s="174">
        <f t="shared" si="1"/>
        <v>0</v>
      </c>
      <c r="I119" s="174" cm="1">
        <f t="array" ref="I119">IF(OR(B119={"R","U"}),E119,0)</f>
        <v>0</v>
      </c>
      <c r="J119" s="174" t="str">
        <f>IF(B119="U","Unbilled",INDEX(Code!B:B,MATCH(LEFT(C119,10),Code!A:A,0)))</f>
        <v>Schedule 16,17,19</v>
      </c>
    </row>
    <row r="120" spans="1:10" hidden="1">
      <c r="A120" s="597" t="s">
        <v>2</v>
      </c>
      <c r="B120" s="597" t="s">
        <v>224</v>
      </c>
      <c r="C120" s="597" t="s">
        <v>242</v>
      </c>
      <c r="D120" s="597">
        <v>896</v>
      </c>
      <c r="E120" s="597">
        <v>2005705</v>
      </c>
      <c r="F120" s="597">
        <v>-18695</v>
      </c>
      <c r="G120" s="597">
        <v>0</v>
      </c>
      <c r="H120" s="174">
        <f t="shared" si="1"/>
        <v>0</v>
      </c>
      <c r="I120" s="174" cm="1">
        <f t="array" ref="I120">IF(OR(B120={"R","U"}),E120,0)</f>
        <v>0</v>
      </c>
      <c r="J120" s="174" t="str">
        <f>IF(B120="U","Unbilled",INDEX(Code!B:B,MATCH(LEFT(C120,10),Code!A:A,0)))</f>
        <v>Schedule 16,17,19</v>
      </c>
    </row>
    <row r="121" spans="1:10" hidden="1">
      <c r="A121" s="597" t="s">
        <v>2</v>
      </c>
      <c r="B121" s="597" t="s">
        <v>224</v>
      </c>
      <c r="C121" s="597" t="s">
        <v>243</v>
      </c>
      <c r="D121" s="597">
        <v>132</v>
      </c>
      <c r="E121" s="597">
        <v>265708</v>
      </c>
      <c r="F121" s="597">
        <v>-2435.77</v>
      </c>
      <c r="G121" s="597">
        <v>0</v>
      </c>
      <c r="H121" s="174">
        <f t="shared" si="1"/>
        <v>0</v>
      </c>
      <c r="I121" s="174" cm="1">
        <f t="array" ref="I121">IF(OR(B121={"R","U"}),E121,0)</f>
        <v>0</v>
      </c>
      <c r="J121" s="174" t="str">
        <f>IF(B121="U","Unbilled",INDEX(Code!B:B,MATCH(LEFT(C121,10),Code!A:A,0)))</f>
        <v>Schedule 16,17,19</v>
      </c>
    </row>
    <row r="122" spans="1:10" hidden="1">
      <c r="A122" s="597" t="s">
        <v>2</v>
      </c>
      <c r="B122" s="597" t="s">
        <v>224</v>
      </c>
      <c r="C122" s="597" t="s">
        <v>244</v>
      </c>
      <c r="D122" s="597">
        <v>48</v>
      </c>
      <c r="E122" s="597">
        <v>70126</v>
      </c>
      <c r="F122" s="597">
        <v>-706.1</v>
      </c>
      <c r="G122" s="597">
        <v>0</v>
      </c>
      <c r="H122" s="174">
        <f t="shared" si="1"/>
        <v>0</v>
      </c>
      <c r="I122" s="174" cm="1">
        <f t="array" ref="I122">IF(OR(B122={"R","U"}),E122,0)</f>
        <v>0</v>
      </c>
      <c r="J122" s="174" t="str">
        <f>IF(B122="U","Unbilled",INDEX(Code!B:B,MATCH(LEFT(C122,10),Code!A:A,0)))</f>
        <v>Schedule 16,17,19</v>
      </c>
    </row>
    <row r="123" spans="1:10" hidden="1">
      <c r="A123" s="597" t="s">
        <v>2</v>
      </c>
      <c r="B123" s="597" t="s">
        <v>224</v>
      </c>
      <c r="C123" s="597" t="s">
        <v>245</v>
      </c>
      <c r="D123" s="597">
        <v>41393</v>
      </c>
      <c r="E123" s="597">
        <v>21009516</v>
      </c>
      <c r="F123" s="597">
        <v>-196609.71</v>
      </c>
      <c r="G123" s="597">
        <v>0</v>
      </c>
      <c r="H123" s="174">
        <f t="shared" si="1"/>
        <v>0</v>
      </c>
      <c r="I123" s="174" cm="1">
        <f t="array" ref="I123">IF(OR(B123={"R","U"}),E123,0)</f>
        <v>0</v>
      </c>
      <c r="J123" s="174" t="str">
        <f>IF(B123="U","Unbilled",INDEX(Code!B:B,MATCH(LEFT(C123,10),Code!A:A,0)))</f>
        <v>Schedule 24</v>
      </c>
    </row>
    <row r="124" spans="1:10" hidden="1">
      <c r="A124" s="597" t="s">
        <v>2</v>
      </c>
      <c r="B124" s="597" t="s">
        <v>224</v>
      </c>
      <c r="C124" s="597" t="s">
        <v>246</v>
      </c>
      <c r="D124" s="597">
        <v>41</v>
      </c>
      <c r="E124" s="597">
        <v>1856460</v>
      </c>
      <c r="F124" s="597">
        <v>-18017.96</v>
      </c>
      <c r="G124" s="597">
        <v>0</v>
      </c>
      <c r="H124" s="174">
        <f t="shared" si="1"/>
        <v>0</v>
      </c>
      <c r="I124" s="174" cm="1">
        <f t="array" ref="I124">IF(OR(B124={"R","U"}),E124,0)</f>
        <v>0</v>
      </c>
      <c r="J124" s="174" t="str">
        <f>IF(B124="U","Unbilled",INDEX(Code!B:B,MATCH(LEFT(C124,10),Code!A:A,0)))</f>
        <v>Schedule 29,36</v>
      </c>
    </row>
    <row r="125" spans="1:10" hidden="1">
      <c r="A125" s="597" t="s">
        <v>2</v>
      </c>
      <c r="B125" s="597" t="s">
        <v>224</v>
      </c>
      <c r="C125" s="597" t="s">
        <v>247</v>
      </c>
      <c r="D125" s="597">
        <v>628</v>
      </c>
      <c r="E125" s="597">
        <v>269997</v>
      </c>
      <c r="F125" s="597">
        <v>-2641.22</v>
      </c>
      <c r="G125" s="597">
        <v>0</v>
      </c>
      <c r="H125" s="174">
        <f t="shared" si="1"/>
        <v>0</v>
      </c>
      <c r="I125" s="174" cm="1">
        <f t="array" ref="I125">IF(OR(B125={"R","U"}),E125,0)</f>
        <v>0</v>
      </c>
      <c r="J125" s="174" t="str">
        <f>IF(B125="U","Unbilled",INDEX(Code!B:B,MATCH(LEFT(C125,10),Code!A:A,0)))</f>
        <v>Schedule 24</v>
      </c>
    </row>
    <row r="126" spans="1:10" hidden="1">
      <c r="A126" s="597" t="s">
        <v>2</v>
      </c>
      <c r="B126" s="597" t="s">
        <v>224</v>
      </c>
      <c r="C126" s="597" t="s">
        <v>32</v>
      </c>
      <c r="D126" s="597">
        <v>0</v>
      </c>
      <c r="E126" s="597">
        <v>0</v>
      </c>
      <c r="F126" s="597">
        <v>481076.4</v>
      </c>
      <c r="G126" s="597">
        <v>0</v>
      </c>
      <c r="H126" s="174">
        <f t="shared" si="1"/>
        <v>0</v>
      </c>
      <c r="I126" s="174" cm="1">
        <f t="array" ref="I126">IF(OR(B126={"R","U"}),E126,0)</f>
        <v>0</v>
      </c>
      <c r="J126" s="174" t="str">
        <f>IF(B126="U","Unbilled",INDEX(Code!B:B,MATCH(LEFT(C126,10),Code!A:A,0)))</f>
        <v>BPA Bal Acct</v>
      </c>
    </row>
    <row r="127" spans="1:10" hidden="1">
      <c r="A127" s="597" t="s">
        <v>2</v>
      </c>
      <c r="B127" s="597" t="s">
        <v>224</v>
      </c>
      <c r="C127" s="597" t="s">
        <v>33</v>
      </c>
      <c r="D127" s="597">
        <v>0</v>
      </c>
      <c r="E127" s="597"/>
      <c r="F127" s="597"/>
      <c r="G127" s="597">
        <v>1353168</v>
      </c>
      <c r="H127" s="174">
        <f t="shared" si="1"/>
        <v>0</v>
      </c>
      <c r="I127" s="174" cm="1">
        <f t="array" ref="I127">IF(OR(B127={"R","U"}),E127,0)</f>
        <v>0</v>
      </c>
      <c r="J127" s="174" t="str">
        <f>IF(B127="U","Unbilled",INDEX(Code!B:B,MATCH(LEFT(C127,10),Code!A:A,0)))</f>
        <v>CustIDs</v>
      </c>
    </row>
    <row r="128" spans="1:10" hidden="1">
      <c r="A128" s="597" t="s">
        <v>2</v>
      </c>
      <c r="B128" s="597" t="s">
        <v>91</v>
      </c>
      <c r="C128" s="597" t="s">
        <v>71</v>
      </c>
      <c r="D128" s="597"/>
      <c r="E128" s="597">
        <v>0</v>
      </c>
      <c r="F128" s="597">
        <v>-0.81</v>
      </c>
      <c r="G128" s="597"/>
      <c r="H128" s="174">
        <f t="shared" si="1"/>
        <v>0</v>
      </c>
      <c r="I128" s="174" cm="1">
        <f t="array" ref="I128">IF(OR(B128={"R","U"}),E128,0)</f>
        <v>0</v>
      </c>
      <c r="J128" s="174" t="str">
        <f>IF(B128="U","Unbilled",INDEX(Code!B:B,MATCH(LEFT(C128,10),Code!A:A,0)))</f>
        <v>Blue Sky</v>
      </c>
    </row>
    <row r="129" spans="1:10" hidden="1">
      <c r="A129" s="597" t="s">
        <v>2</v>
      </c>
      <c r="B129" s="597" t="s">
        <v>91</v>
      </c>
      <c r="C129" s="597" t="s">
        <v>248</v>
      </c>
      <c r="D129" s="597">
        <v>5</v>
      </c>
      <c r="E129" s="597"/>
      <c r="F129" s="597"/>
      <c r="G129" s="597">
        <v>0</v>
      </c>
      <c r="H129" s="174">
        <f t="shared" si="1"/>
        <v>0</v>
      </c>
      <c r="I129" s="174" cm="1">
        <f t="array" ref="I129">IF(OR(B129={"R","U"}),E129,0)</f>
        <v>0</v>
      </c>
      <c r="J129" s="174" t="str">
        <f>IF(B129="U","Unbilled",INDEX(Code!B:B,MATCH(LEFT(C129,10),Code!A:A,0)))</f>
        <v>Ignore</v>
      </c>
    </row>
    <row r="130" spans="1:10" hidden="1">
      <c r="A130" s="597" t="s">
        <v>2</v>
      </c>
      <c r="B130" s="597" t="s">
        <v>91</v>
      </c>
      <c r="C130" s="597" t="s">
        <v>27</v>
      </c>
      <c r="D130" s="597"/>
      <c r="E130" s="597">
        <v>0</v>
      </c>
      <c r="F130" s="597">
        <v>1155.94</v>
      </c>
      <c r="G130" s="597"/>
      <c r="H130" s="174">
        <f t="shared" si="1"/>
        <v>0</v>
      </c>
      <c r="I130" s="174" cm="1">
        <f t="array" ref="I130">IF(OR(B130={"R","U"}),E130,0)</f>
        <v>0</v>
      </c>
      <c r="J130" s="174" t="str">
        <f>IF(B130="U","Unbilled",INDEX(Code!B:B,MATCH(LEFT(C130,10),Code!A:A,0)))</f>
        <v>Annual Guarantee Adjustments</v>
      </c>
    </row>
    <row r="131" spans="1:10" hidden="1">
      <c r="A131" s="597" t="s">
        <v>2</v>
      </c>
      <c r="B131" s="597" t="s">
        <v>91</v>
      </c>
      <c r="C131" s="597" t="s">
        <v>73</v>
      </c>
      <c r="D131" s="597">
        <v>20367</v>
      </c>
      <c r="E131" s="597">
        <v>16777922</v>
      </c>
      <c r="F131" s="597">
        <v>1701920.47</v>
      </c>
      <c r="G131" s="597">
        <v>0</v>
      </c>
      <c r="H131" s="174">
        <f t="shared" si="1"/>
        <v>20367</v>
      </c>
      <c r="I131" s="174" cm="1">
        <f t="array" ref="I131">IF(OR(B131={"R","U"}),E131,0)</f>
        <v>16777922</v>
      </c>
      <c r="J131" s="174" t="str">
        <f>IF(B131="U","Unbilled",INDEX(Code!B:B,MATCH(LEFT(C131,10),Code!A:A,0)))</f>
        <v>Schedule 16,17,19</v>
      </c>
    </row>
    <row r="132" spans="1:10" hidden="1">
      <c r="A132" s="597" t="s">
        <v>2</v>
      </c>
      <c r="B132" s="597" t="s">
        <v>91</v>
      </c>
      <c r="C132" s="597" t="s">
        <v>66</v>
      </c>
      <c r="D132" s="597">
        <v>11608</v>
      </c>
      <c r="E132" s="597">
        <v>875642</v>
      </c>
      <c r="F132" s="597">
        <v>95101.24</v>
      </c>
      <c r="G132" s="597">
        <v>0</v>
      </c>
      <c r="H132" s="174">
        <f t="shared" ref="H132:H151" si="2">IF(AND(B132&lt;&gt;"B",J132&lt;&gt;"Blue Sky",J132&lt;&gt;"Ignore"),D132,0)</f>
        <v>11608</v>
      </c>
      <c r="I132" s="174" cm="1">
        <f t="array" ref="I132">IF(OR(B132={"R","U"}),E132,0)</f>
        <v>875642</v>
      </c>
      <c r="J132" s="174" t="str">
        <f>IF(B132="U","Unbilled",INDEX(Code!B:B,MATCH(LEFT(C132,10),Code!A:A,0)))</f>
        <v>Schedule 15</v>
      </c>
    </row>
    <row r="133" spans="1:10" hidden="1">
      <c r="A133" s="597" t="s">
        <v>2</v>
      </c>
      <c r="B133" s="597" t="s">
        <v>91</v>
      </c>
      <c r="C133" s="597" t="s">
        <v>47</v>
      </c>
      <c r="D133" s="597">
        <v>1240103</v>
      </c>
      <c r="E133" s="597">
        <v>1526013574</v>
      </c>
      <c r="F133" s="597">
        <v>146761614.22</v>
      </c>
      <c r="G133" s="597">
        <v>0</v>
      </c>
      <c r="H133" s="174">
        <f t="shared" si="2"/>
        <v>1240103</v>
      </c>
      <c r="I133" s="174" cm="1">
        <f t="array" ref="I133">IF(OR(B133={"R","U"}),E133,0)</f>
        <v>1526013574</v>
      </c>
      <c r="J133" s="174" t="str">
        <f>IF(B133="U","Unbilled",INDEX(Code!B:B,MATCH(LEFT(C133,10),Code!A:A,0)))</f>
        <v>Schedule 16,17,19</v>
      </c>
    </row>
    <row r="134" spans="1:10" hidden="1">
      <c r="A134" s="597" t="s">
        <v>2</v>
      </c>
      <c r="B134" s="597" t="s">
        <v>91</v>
      </c>
      <c r="C134" s="597" t="s">
        <v>48</v>
      </c>
      <c r="D134" s="597">
        <v>69949</v>
      </c>
      <c r="E134" s="597">
        <v>91914213</v>
      </c>
      <c r="F134" s="597">
        <v>8865181.0600000005</v>
      </c>
      <c r="G134" s="597">
        <v>0</v>
      </c>
      <c r="H134" s="174">
        <f t="shared" si="2"/>
        <v>69949</v>
      </c>
      <c r="I134" s="174" cm="1">
        <f t="array" ref="I134">IF(OR(B134={"R","U"}),E134,0)</f>
        <v>91914213</v>
      </c>
      <c r="J134" s="174" t="str">
        <f>IF(B134="U","Unbilled",INDEX(Code!B:B,MATCH(LEFT(C134,10),Code!A:A,0)))</f>
        <v>Schedule 16,17,19</v>
      </c>
    </row>
    <row r="135" spans="1:10" hidden="1">
      <c r="A135" s="597" t="s">
        <v>2</v>
      </c>
      <c r="B135" s="597" t="s">
        <v>91</v>
      </c>
      <c r="C135" s="597" t="s">
        <v>50</v>
      </c>
      <c r="D135" s="597">
        <v>896</v>
      </c>
      <c r="E135" s="597">
        <v>2005705</v>
      </c>
      <c r="F135" s="597">
        <v>210341.85</v>
      </c>
      <c r="G135" s="597">
        <v>0</v>
      </c>
      <c r="H135" s="174">
        <f t="shared" si="2"/>
        <v>896</v>
      </c>
      <c r="I135" s="174" cm="1">
        <f t="array" ref="I135">IF(OR(B135={"R","U"}),E135,0)</f>
        <v>2005705</v>
      </c>
      <c r="J135" s="174" t="str">
        <f>IF(B135="U","Unbilled",INDEX(Code!B:B,MATCH(LEFT(C135,10),Code!A:A,0)))</f>
        <v>Schedule 16,17,19</v>
      </c>
    </row>
    <row r="136" spans="1:10" hidden="1">
      <c r="A136" s="597" t="s">
        <v>2</v>
      </c>
      <c r="B136" s="597" t="s">
        <v>91</v>
      </c>
      <c r="C136" s="597" t="s">
        <v>51</v>
      </c>
      <c r="D136" s="597">
        <v>132</v>
      </c>
      <c r="E136" s="597">
        <v>265708</v>
      </c>
      <c r="F136" s="597">
        <v>27196.58</v>
      </c>
      <c r="G136" s="597">
        <v>0</v>
      </c>
      <c r="H136" s="174">
        <f t="shared" si="2"/>
        <v>132</v>
      </c>
      <c r="I136" s="174" cm="1">
        <f t="array" ref="I136">IF(OR(B136={"R","U"}),E136,0)</f>
        <v>265708</v>
      </c>
      <c r="J136" s="174" t="str">
        <f>IF(B136="U","Unbilled",INDEX(Code!B:B,MATCH(LEFT(C136,10),Code!A:A,0)))</f>
        <v>Schedule 16,17,19</v>
      </c>
    </row>
    <row r="137" spans="1:10" hidden="1">
      <c r="A137" s="597" t="s">
        <v>2</v>
      </c>
      <c r="B137" s="597" t="s">
        <v>91</v>
      </c>
      <c r="C137" s="597" t="s">
        <v>249</v>
      </c>
      <c r="D137" s="597">
        <v>62</v>
      </c>
      <c r="E137" s="597">
        <v>70126</v>
      </c>
      <c r="F137" s="597">
        <v>6316.42</v>
      </c>
      <c r="G137" s="597">
        <v>0</v>
      </c>
      <c r="H137" s="174">
        <f t="shared" si="2"/>
        <v>62</v>
      </c>
      <c r="I137" s="174" cm="1">
        <f t="array" ref="I137">IF(OR(B137={"R","U"}),E137,0)</f>
        <v>70126</v>
      </c>
      <c r="J137" s="174" t="str">
        <f>IF(B137="U","Unbilled",INDEX(Code!B:B,MATCH(LEFT(C137,10),Code!A:A,0)))</f>
        <v>Schedule 16,17,19</v>
      </c>
    </row>
    <row r="138" spans="1:10" hidden="1">
      <c r="A138" s="597" t="s">
        <v>2</v>
      </c>
      <c r="B138" s="597" t="s">
        <v>91</v>
      </c>
      <c r="C138" s="597" t="s">
        <v>250</v>
      </c>
      <c r="D138" s="597">
        <v>41393</v>
      </c>
      <c r="E138" s="597">
        <v>21313438</v>
      </c>
      <c r="F138" s="597">
        <v>2575720.86</v>
      </c>
      <c r="G138" s="597">
        <v>0</v>
      </c>
      <c r="H138" s="174">
        <f t="shared" si="2"/>
        <v>41393</v>
      </c>
      <c r="I138" s="174" cm="1">
        <f t="array" ref="I138">IF(OR(B138={"R","U"}),E138,0)</f>
        <v>21313438</v>
      </c>
      <c r="J138" s="174" t="str">
        <f>IF(B138="U","Unbilled",INDEX(Code!B:B,MATCH(LEFT(C138,10),Code!A:A,0)))</f>
        <v>Schedule 24</v>
      </c>
    </row>
    <row r="139" spans="1:10" hidden="1">
      <c r="A139" s="597" t="s">
        <v>2</v>
      </c>
      <c r="B139" s="597" t="s">
        <v>91</v>
      </c>
      <c r="C139" s="597" t="s">
        <v>251</v>
      </c>
      <c r="D139" s="597">
        <v>53</v>
      </c>
      <c r="E139" s="597">
        <v>2291100</v>
      </c>
      <c r="F139" s="597">
        <v>183887.08</v>
      </c>
      <c r="G139" s="597">
        <v>0</v>
      </c>
      <c r="H139" s="174">
        <f t="shared" si="2"/>
        <v>53</v>
      </c>
      <c r="I139" s="174" cm="1">
        <f t="array" ref="I139">IF(OR(B139={"R","U"}),E139,0)</f>
        <v>2291100</v>
      </c>
      <c r="J139" s="174" t="str">
        <f>IF(B139="U","Unbilled",INDEX(Code!B:B,MATCH(LEFT(C139,10),Code!A:A,0)))</f>
        <v>Schedule 29,36</v>
      </c>
    </row>
    <row r="140" spans="1:10" hidden="1">
      <c r="A140" s="597" t="s">
        <v>2</v>
      </c>
      <c r="B140" s="597" t="s">
        <v>91</v>
      </c>
      <c r="C140" s="597" t="s">
        <v>252</v>
      </c>
      <c r="D140" s="597">
        <v>628</v>
      </c>
      <c r="E140" s="597">
        <v>269997</v>
      </c>
      <c r="F140" s="597">
        <v>33340.199999999997</v>
      </c>
      <c r="G140" s="597">
        <v>0</v>
      </c>
      <c r="H140" s="174">
        <f t="shared" si="2"/>
        <v>628</v>
      </c>
      <c r="I140" s="174" cm="1">
        <f t="array" ref="I140">IF(OR(B140={"R","U"}),E140,0)</f>
        <v>269997</v>
      </c>
      <c r="J140" s="174" t="str">
        <f>IF(B140="U","Unbilled",INDEX(Code!B:B,MATCH(LEFT(C140,10),Code!A:A,0)))</f>
        <v>Schedule 24</v>
      </c>
    </row>
    <row r="141" spans="1:10" hidden="1">
      <c r="A141" s="597" t="s">
        <v>2</v>
      </c>
      <c r="B141" s="597" t="s">
        <v>91</v>
      </c>
      <c r="C141" s="597" t="s">
        <v>253</v>
      </c>
      <c r="D141" s="597">
        <v>0</v>
      </c>
      <c r="E141" s="597">
        <v>0</v>
      </c>
      <c r="F141" s="597">
        <v>-239412.93</v>
      </c>
      <c r="G141" s="597">
        <v>0</v>
      </c>
      <c r="H141" s="174">
        <f t="shared" si="2"/>
        <v>0</v>
      </c>
      <c r="I141" s="174" cm="1">
        <f t="array" ref="I141">IF(OR(B141={"R","U"}),E141,0)</f>
        <v>0</v>
      </c>
      <c r="J141" s="174" t="str">
        <f>IF(B141="U","Unbilled",INDEX(Code!B:B,MATCH(LEFT(C141,10),Code!A:A,0)))</f>
        <v>Customer Bill Credits</v>
      </c>
    </row>
    <row r="142" spans="1:10" hidden="1">
      <c r="A142" s="597" t="s">
        <v>2</v>
      </c>
      <c r="B142" s="597" t="s">
        <v>91</v>
      </c>
      <c r="C142" s="597" t="s">
        <v>85</v>
      </c>
      <c r="D142" s="597">
        <v>0</v>
      </c>
      <c r="E142" s="597">
        <v>0</v>
      </c>
      <c r="F142" s="597">
        <v>5647775.6699999999</v>
      </c>
      <c r="G142" s="597">
        <v>0</v>
      </c>
      <c r="H142" s="174">
        <f t="shared" si="2"/>
        <v>0</v>
      </c>
      <c r="I142" s="174" cm="1">
        <f t="array" ref="I142">IF(OR(B142={"R","U"}),E142,0)</f>
        <v>0</v>
      </c>
      <c r="J142" s="174" t="str">
        <f>IF(B142="U","Unbilled",INDEX(Code!B:B,MATCH(LEFT(C142,10),Code!A:A,0)))</f>
        <v>DSM</v>
      </c>
    </row>
    <row r="143" spans="1:10" hidden="1">
      <c r="A143" s="597" t="s">
        <v>2</v>
      </c>
      <c r="B143" s="597" t="s">
        <v>91</v>
      </c>
      <c r="C143" s="597" t="s">
        <v>86</v>
      </c>
      <c r="D143" s="597">
        <v>0</v>
      </c>
      <c r="E143" s="597">
        <v>0</v>
      </c>
      <c r="F143" s="597">
        <v>357146.52</v>
      </c>
      <c r="G143" s="597">
        <v>0</v>
      </c>
      <c r="H143" s="174">
        <f t="shared" si="2"/>
        <v>0</v>
      </c>
      <c r="I143" s="174" cm="1">
        <f t="array" ref="I143">IF(OR(B143={"R","U"}),E143,0)</f>
        <v>0</v>
      </c>
      <c r="J143" s="174" t="str">
        <f>IF(B143="U","Unbilled",INDEX(Code!B:B,MATCH(LEFT(C143,10),Code!A:A,0)))</f>
        <v>Blue Sky</v>
      </c>
    </row>
    <row r="144" spans="1:10" hidden="1">
      <c r="A144" s="597" t="s">
        <v>2</v>
      </c>
      <c r="B144" s="597" t="s">
        <v>91</v>
      </c>
      <c r="C144" s="597" t="s">
        <v>117</v>
      </c>
      <c r="D144" s="597">
        <v>0</v>
      </c>
      <c r="E144" s="597">
        <v>0</v>
      </c>
      <c r="F144" s="597">
        <v>50185.9</v>
      </c>
      <c r="G144" s="597">
        <v>0</v>
      </c>
      <c r="H144" s="174">
        <f t="shared" si="2"/>
        <v>0</v>
      </c>
      <c r="I144" s="174" cm="1">
        <f t="array" ref="I144">IF(OR(B144={"R","U"}),E144,0)</f>
        <v>0</v>
      </c>
      <c r="J144" s="174" t="str">
        <f>IF(B144="U","Unbilled",INDEX(Code!B:B,MATCH(LEFT(C144,10),Code!A:A,0)))</f>
        <v>Rev Adj Property Insur</v>
      </c>
    </row>
    <row r="145" spans="1:10" hidden="1">
      <c r="A145" s="597" t="s">
        <v>2</v>
      </c>
      <c r="B145" s="597" t="s">
        <v>91</v>
      </c>
      <c r="C145" s="597" t="s">
        <v>233</v>
      </c>
      <c r="D145" s="597">
        <v>0</v>
      </c>
      <c r="E145" s="597">
        <v>0</v>
      </c>
      <c r="F145" s="597">
        <v>4868922.92</v>
      </c>
      <c r="G145" s="597">
        <v>0</v>
      </c>
      <c r="H145" s="174">
        <f t="shared" si="2"/>
        <v>0</v>
      </c>
      <c r="I145" s="174" cm="1">
        <f t="array" ref="I145">IF(OR(B145={"R","U"}),E145,0)</f>
        <v>0</v>
      </c>
      <c r="J145" s="174" t="str">
        <f>IF(B145="U","Unbilled",INDEX(Code!B:B,MATCH(LEFT(C145,10),Code!A:A,0)))</f>
        <v>Alt Rev Program</v>
      </c>
    </row>
    <row r="146" spans="1:10" hidden="1">
      <c r="A146" s="597" t="s">
        <v>2</v>
      </c>
      <c r="B146" s="597" t="s">
        <v>91</v>
      </c>
      <c r="C146" s="597" t="s">
        <v>34</v>
      </c>
      <c r="D146" s="597">
        <v>0</v>
      </c>
      <c r="E146" s="597"/>
      <c r="F146" s="597"/>
      <c r="G146" s="597">
        <v>1353553</v>
      </c>
      <c r="H146" s="174">
        <f t="shared" si="2"/>
        <v>0</v>
      </c>
      <c r="I146" s="174" cm="1">
        <f t="array" ref="I146">IF(OR(B146={"R","U"}),E146,0)</f>
        <v>0</v>
      </c>
      <c r="J146" s="174" t="str">
        <f>IF(B146="U","Unbilled",INDEX(Code!B:B,MATCH(LEFT(C146,10),Code!A:A,0)))</f>
        <v>CustIDs</v>
      </c>
    </row>
    <row r="147" spans="1:10" hidden="1">
      <c r="A147" s="597" t="s">
        <v>2</v>
      </c>
      <c r="B147" s="597" t="s">
        <v>91</v>
      </c>
      <c r="C147" s="597" t="s">
        <v>121</v>
      </c>
      <c r="D147" s="597">
        <v>0</v>
      </c>
      <c r="E147" s="597">
        <v>0</v>
      </c>
      <c r="F147" s="597">
        <v>854934.48</v>
      </c>
      <c r="G147" s="597">
        <v>0</v>
      </c>
      <c r="H147" s="174">
        <f t="shared" si="2"/>
        <v>0</v>
      </c>
      <c r="I147" s="174" cm="1">
        <f t="array" ref="I147">IF(OR(B147={"R","U"}),E147,0)</f>
        <v>0</v>
      </c>
      <c r="J147" s="174" t="str">
        <f>IF(B147="U","Unbilled",INDEX(Code!B:B,MATCH(LEFT(C147,10),Code!A:A,0)))</f>
        <v>Income Tax Defer Adj</v>
      </c>
    </row>
    <row r="148" spans="1:10" hidden="1">
      <c r="A148" s="597" t="s">
        <v>2</v>
      </c>
      <c r="B148" s="597" t="s">
        <v>91</v>
      </c>
      <c r="C148" s="597" t="s">
        <v>76</v>
      </c>
      <c r="D148" s="597">
        <v>0</v>
      </c>
      <c r="E148" s="597">
        <v>0</v>
      </c>
      <c r="F148" s="597">
        <v>-2337560.9500000002</v>
      </c>
      <c r="G148" s="597">
        <v>0</v>
      </c>
      <c r="H148" s="174">
        <f t="shared" si="2"/>
        <v>0</v>
      </c>
      <c r="I148" s="174" cm="1">
        <f t="array" ref="I148">IF(OR(B148={"R","U"}),E148,0)</f>
        <v>0</v>
      </c>
      <c r="J148" s="174" t="str">
        <f>IF(B148="U","Unbilled",INDEX(Code!B:B,MATCH(LEFT(C148,10),Code!A:A,0)))</f>
        <v>Rev Adj</v>
      </c>
    </row>
    <row r="149" spans="1:10" hidden="1">
      <c r="A149" s="597" t="s">
        <v>2</v>
      </c>
      <c r="B149" s="597" t="s">
        <v>91</v>
      </c>
      <c r="C149" s="597" t="s">
        <v>79</v>
      </c>
      <c r="D149" s="597">
        <v>0</v>
      </c>
      <c r="E149" s="597">
        <v>0</v>
      </c>
      <c r="F149" s="597">
        <v>39427</v>
      </c>
      <c r="G149" s="597">
        <v>0</v>
      </c>
      <c r="H149" s="174">
        <f t="shared" si="2"/>
        <v>0</v>
      </c>
      <c r="I149" s="174" cm="1">
        <f t="array" ref="I149">IF(OR(B149={"R","U"}),E149,0)</f>
        <v>0</v>
      </c>
      <c r="J149" s="174" t="str">
        <f>IF(B149="U","Unbilled",INDEX(Code!B:B,MATCH(LEFT(C149,10),Code!A:A,0)))</f>
        <v>Rev Adj</v>
      </c>
    </row>
    <row r="150" spans="1:10" hidden="1">
      <c r="A150" s="597" t="s">
        <v>2</v>
      </c>
      <c r="B150" s="597" t="s">
        <v>92</v>
      </c>
      <c r="C150" s="597" t="s">
        <v>55</v>
      </c>
      <c r="D150" s="597">
        <v>0</v>
      </c>
      <c r="E150" s="597">
        <v>0</v>
      </c>
      <c r="F150" s="597">
        <v>66000</v>
      </c>
      <c r="G150" s="597">
        <v>0</v>
      </c>
      <c r="H150" s="174">
        <f t="shared" si="2"/>
        <v>0</v>
      </c>
      <c r="I150" s="174" cm="1">
        <f t="array" ref="I150">IF(OR(B150={"R","U"}),E150,0)</f>
        <v>0</v>
      </c>
      <c r="J150" s="174" t="str">
        <f>IF(B150="U","Unbilled",INDEX(Code!B:B,MATCH(LEFT(C150,10),Code!A:A,0)))</f>
        <v>Unbilled</v>
      </c>
    </row>
    <row r="151" spans="1:10" hidden="1">
      <c r="A151" s="597" t="s">
        <v>2</v>
      </c>
      <c r="B151" s="597" t="s">
        <v>92</v>
      </c>
      <c r="C151" s="597" t="s">
        <v>35</v>
      </c>
      <c r="D151" s="597">
        <v>0</v>
      </c>
      <c r="E151" s="597">
        <v>14061000</v>
      </c>
      <c r="F151" s="597">
        <v>5698000</v>
      </c>
      <c r="G151" s="597">
        <v>0</v>
      </c>
      <c r="H151" s="174">
        <f t="shared" si="2"/>
        <v>0</v>
      </c>
      <c r="I151" s="174" cm="1">
        <f t="array" ref="I151">IF(OR(B151={"R","U"}),E151,0)</f>
        <v>14061000</v>
      </c>
      <c r="J151" s="174" t="str">
        <f>IF(B151="U","Unbilled",INDEX(Code!B:B,MATCH(LEFT(C151,10),Code!A:A,0)))</f>
        <v>Unbilled</v>
      </c>
    </row>
    <row r="152" spans="1:10" s="260" customFormat="1">
      <c r="H152" s="115"/>
      <c r="I152" s="115"/>
      <c r="J152" s="115"/>
    </row>
  </sheetData>
  <autoFilter ref="A2:J151" xr:uid="{A7C9C501-BE83-455E-BF52-996D377EA438}">
    <filterColumn colId="9">
      <filters>
        <filter val="Schedule 51"/>
      </filters>
    </filterColumn>
  </autoFilter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BA3F-3D71-4ABF-B53F-3A4430BD3E82}">
  <sheetPr>
    <pageSetUpPr autoPageBreaks="0" fitToPage="1"/>
  </sheetPr>
  <dimension ref="A1:C79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defaultColWidth="8" defaultRowHeight="15.75"/>
  <cols>
    <col min="1" max="1" width="15.375" style="66" bestFit="1" customWidth="1"/>
    <col min="2" max="2" width="28.75" style="64" bestFit="1" customWidth="1"/>
    <col min="3" max="3" width="19.875" style="62" customWidth="1"/>
    <col min="4" max="85" width="19.875" style="63" customWidth="1"/>
    <col min="86" max="16384" width="8" style="63"/>
  </cols>
  <sheetData>
    <row r="1" spans="1:3" s="593" customFormat="1">
      <c r="A1" s="21" t="s">
        <v>93</v>
      </c>
      <c r="B1" s="595" t="s">
        <v>147</v>
      </c>
      <c r="C1" s="592"/>
    </row>
    <row r="2" spans="1:3">
      <c r="A2" s="594" t="s">
        <v>162</v>
      </c>
      <c r="B2" s="594" t="s">
        <v>288</v>
      </c>
    </row>
    <row r="3" spans="1:3">
      <c r="A3" s="594" t="s">
        <v>170</v>
      </c>
      <c r="B3" s="594" t="s">
        <v>288</v>
      </c>
    </row>
    <row r="4" spans="1:3">
      <c r="A4" s="594" t="s">
        <v>171</v>
      </c>
      <c r="B4" s="594" t="s">
        <v>288</v>
      </c>
    </row>
    <row r="5" spans="1:3">
      <c r="A5" s="594" t="s">
        <v>172</v>
      </c>
      <c r="B5" s="594" t="s">
        <v>288</v>
      </c>
    </row>
    <row r="6" spans="1:3">
      <c r="A6" s="594" t="s">
        <v>173</v>
      </c>
      <c r="B6" s="594" t="s">
        <v>288</v>
      </c>
    </row>
    <row r="7" spans="1:3">
      <c r="A7" s="594" t="s">
        <v>174</v>
      </c>
      <c r="B7" s="594" t="s">
        <v>288</v>
      </c>
    </row>
    <row r="8" spans="1:3">
      <c r="A8" s="594" t="s">
        <v>175</v>
      </c>
      <c r="B8" s="594" t="s">
        <v>288</v>
      </c>
    </row>
    <row r="9" spans="1:3">
      <c r="A9" s="594" t="s">
        <v>176</v>
      </c>
      <c r="B9" s="594" t="s">
        <v>288</v>
      </c>
    </row>
    <row r="10" spans="1:3">
      <c r="A10" s="594" t="s">
        <v>177</v>
      </c>
      <c r="B10" s="594" t="s">
        <v>288</v>
      </c>
    </row>
    <row r="11" spans="1:3">
      <c r="A11" s="594" t="s">
        <v>178</v>
      </c>
      <c r="B11" s="594" t="s">
        <v>288</v>
      </c>
    </row>
    <row r="12" spans="1:3">
      <c r="A12" s="594" t="s">
        <v>179</v>
      </c>
      <c r="B12" s="594" t="s">
        <v>288</v>
      </c>
    </row>
    <row r="13" spans="1:3">
      <c r="A13" s="594" t="s">
        <v>205</v>
      </c>
      <c r="B13" s="594" t="s">
        <v>206</v>
      </c>
    </row>
    <row r="14" spans="1:3">
      <c r="A14" s="594" t="s">
        <v>159</v>
      </c>
      <c r="B14" s="594" t="s">
        <v>83</v>
      </c>
    </row>
    <row r="15" spans="1:3">
      <c r="A15" s="594" t="s">
        <v>96</v>
      </c>
      <c r="B15" s="594" t="s">
        <v>83</v>
      </c>
    </row>
    <row r="16" spans="1:3">
      <c r="A16" s="594" t="s">
        <v>97</v>
      </c>
      <c r="B16" s="594" t="s">
        <v>83</v>
      </c>
    </row>
    <row r="17" spans="1:2">
      <c r="A17" s="594" t="s">
        <v>98</v>
      </c>
      <c r="B17" s="594" t="s">
        <v>83</v>
      </c>
    </row>
    <row r="18" spans="1:2">
      <c r="A18" s="594" t="s">
        <v>100</v>
      </c>
      <c r="B18" s="594" t="s">
        <v>83</v>
      </c>
    </row>
    <row r="19" spans="1:2">
      <c r="A19" s="594" t="s">
        <v>160</v>
      </c>
      <c r="B19" s="594" t="s">
        <v>161</v>
      </c>
    </row>
    <row r="20" spans="1:2">
      <c r="A20" s="594" t="s">
        <v>207</v>
      </c>
      <c r="B20" s="594" t="s">
        <v>208</v>
      </c>
    </row>
    <row r="21" spans="1:2">
      <c r="A21" s="594" t="s">
        <v>210</v>
      </c>
      <c r="B21" s="594" t="s">
        <v>208</v>
      </c>
    </row>
    <row r="22" spans="1:2">
      <c r="A22" s="594" t="s">
        <v>196</v>
      </c>
      <c r="B22" s="594" t="s">
        <v>197</v>
      </c>
    </row>
    <row r="23" spans="1:2">
      <c r="A23" s="594" t="s">
        <v>198</v>
      </c>
      <c r="B23" s="594" t="s">
        <v>197</v>
      </c>
    </row>
    <row r="24" spans="1:2">
      <c r="A24" s="594" t="s">
        <v>200</v>
      </c>
      <c r="B24" s="594" t="s">
        <v>197</v>
      </c>
    </row>
    <row r="25" spans="1:2">
      <c r="A25" s="594" t="s">
        <v>202</v>
      </c>
      <c r="B25" s="594" t="s">
        <v>197</v>
      </c>
    </row>
    <row r="26" spans="1:2">
      <c r="A26" s="594" t="s">
        <v>204</v>
      </c>
      <c r="B26" s="594" t="s">
        <v>197</v>
      </c>
    </row>
    <row r="27" spans="1:2">
      <c r="A27" s="594" t="s">
        <v>95</v>
      </c>
      <c r="B27" s="594" t="s">
        <v>87</v>
      </c>
    </row>
    <row r="28" spans="1:2">
      <c r="A28" s="594" t="s">
        <v>199</v>
      </c>
      <c r="B28" s="594" t="s">
        <v>87</v>
      </c>
    </row>
    <row r="29" spans="1:2">
      <c r="A29" s="594" t="s">
        <v>201</v>
      </c>
      <c r="B29" s="594" t="s">
        <v>87</v>
      </c>
    </row>
    <row r="30" spans="1:2">
      <c r="A30" s="594" t="s">
        <v>99</v>
      </c>
      <c r="B30" s="594" t="s">
        <v>87</v>
      </c>
    </row>
    <row r="31" spans="1:2">
      <c r="A31" s="594" t="s">
        <v>101</v>
      </c>
      <c r="B31" s="594" t="s">
        <v>87</v>
      </c>
    </row>
    <row r="32" spans="1:2">
      <c r="A32" s="594" t="s">
        <v>126</v>
      </c>
      <c r="B32" s="594" t="s">
        <v>209</v>
      </c>
    </row>
    <row r="33" spans="1:2">
      <c r="A33" s="594" t="s">
        <v>150</v>
      </c>
      <c r="B33" s="596" t="s">
        <v>158</v>
      </c>
    </row>
    <row r="34" spans="1:2">
      <c r="A34" s="594" t="s">
        <v>123</v>
      </c>
      <c r="B34" s="597" t="s">
        <v>127</v>
      </c>
    </row>
    <row r="35" spans="1:2">
      <c r="A35" s="594" t="s">
        <v>124</v>
      </c>
      <c r="B35" s="597" t="s">
        <v>127</v>
      </c>
    </row>
    <row r="36" spans="1:2">
      <c r="A36" s="594" t="s">
        <v>125</v>
      </c>
      <c r="B36" s="597" t="s">
        <v>127</v>
      </c>
    </row>
    <row r="37" spans="1:2">
      <c r="A37" s="594" t="s">
        <v>122</v>
      </c>
      <c r="B37" s="597" t="s">
        <v>127</v>
      </c>
    </row>
    <row r="38" spans="1:2">
      <c r="A38" s="594" t="s">
        <v>203</v>
      </c>
      <c r="B38" s="594" t="s">
        <v>258</v>
      </c>
    </row>
    <row r="39" spans="1:2">
      <c r="A39" s="594" t="s">
        <v>102</v>
      </c>
      <c r="B39" s="594" t="s">
        <v>110</v>
      </c>
    </row>
    <row r="40" spans="1:2">
      <c r="A40" s="594" t="s">
        <v>103</v>
      </c>
      <c r="B40" s="594" t="s">
        <v>110</v>
      </c>
    </row>
    <row r="41" spans="1:2">
      <c r="A41" s="594" t="s">
        <v>12</v>
      </c>
      <c r="B41" s="594" t="s">
        <v>106</v>
      </c>
    </row>
    <row r="42" spans="1:2">
      <c r="A42" s="594" t="s">
        <v>186</v>
      </c>
      <c r="B42" s="594" t="s">
        <v>106</v>
      </c>
    </row>
    <row r="43" spans="1:2">
      <c r="A43" s="594" t="s">
        <v>187</v>
      </c>
      <c r="B43" s="594" t="s">
        <v>106</v>
      </c>
    </row>
    <row r="44" spans="1:2">
      <c r="A44" s="594" t="s">
        <v>74</v>
      </c>
      <c r="B44" s="594" t="s">
        <v>356</v>
      </c>
    </row>
    <row r="45" spans="1:2">
      <c r="A45" s="594" t="s">
        <v>189</v>
      </c>
      <c r="B45" s="594" t="s">
        <v>356</v>
      </c>
    </row>
    <row r="46" spans="1:2">
      <c r="A46" s="594" t="s">
        <v>190</v>
      </c>
      <c r="B46" s="594" t="s">
        <v>356</v>
      </c>
    </row>
    <row r="47" spans="1:2">
      <c r="A47" s="594" t="s">
        <v>191</v>
      </c>
      <c r="B47" s="594" t="s">
        <v>356</v>
      </c>
    </row>
    <row r="48" spans="1:2">
      <c r="A48" s="594" t="s">
        <v>192</v>
      </c>
      <c r="B48" s="594" t="s">
        <v>356</v>
      </c>
    </row>
    <row r="49" spans="1:2">
      <c r="A49" s="594" t="s">
        <v>211</v>
      </c>
      <c r="B49" s="594" t="s">
        <v>356</v>
      </c>
    </row>
    <row r="50" spans="1:2">
      <c r="A50" s="594" t="s">
        <v>164</v>
      </c>
      <c r="B50" s="594" t="s">
        <v>165</v>
      </c>
    </row>
    <row r="51" spans="1:2">
      <c r="A51" s="594" t="s">
        <v>166</v>
      </c>
      <c r="B51" s="594" t="s">
        <v>165</v>
      </c>
    </row>
    <row r="52" spans="1:2">
      <c r="A52" s="594" t="s">
        <v>167</v>
      </c>
      <c r="B52" s="594" t="s">
        <v>165</v>
      </c>
    </row>
    <row r="53" spans="1:2">
      <c r="A53" s="594" t="s">
        <v>168</v>
      </c>
      <c r="B53" s="594" t="s">
        <v>165</v>
      </c>
    </row>
    <row r="54" spans="1:2">
      <c r="A54" s="594" t="s">
        <v>8</v>
      </c>
      <c r="B54" s="594" t="s">
        <v>165</v>
      </c>
    </row>
    <row r="55" spans="1:2">
      <c r="A55" s="594" t="s">
        <v>9</v>
      </c>
      <c r="B55" s="594" t="s">
        <v>165</v>
      </c>
    </row>
    <row r="56" spans="1:2">
      <c r="A56" s="594" t="s">
        <v>180</v>
      </c>
      <c r="B56" s="594" t="s">
        <v>165</v>
      </c>
    </row>
    <row r="57" spans="1:2">
      <c r="A57" s="594" t="s">
        <v>181</v>
      </c>
      <c r="B57" s="594" t="s">
        <v>165</v>
      </c>
    </row>
    <row r="58" spans="1:2">
      <c r="A58" s="594" t="s">
        <v>88</v>
      </c>
      <c r="B58" s="594" t="s">
        <v>165</v>
      </c>
    </row>
    <row r="59" spans="1:2">
      <c r="A59" s="594" t="s">
        <v>194</v>
      </c>
      <c r="B59" s="594" t="s">
        <v>165</v>
      </c>
    </row>
    <row r="60" spans="1:2">
      <c r="A60" s="594" t="s">
        <v>194</v>
      </c>
      <c r="B60" s="594" t="s">
        <v>165</v>
      </c>
    </row>
    <row r="61" spans="1:2">
      <c r="A61" s="594" t="s">
        <v>254</v>
      </c>
      <c r="B61" s="594" t="s">
        <v>215</v>
      </c>
    </row>
    <row r="62" spans="1:2">
      <c r="A62" s="594" t="s">
        <v>169</v>
      </c>
      <c r="B62" s="594" t="s">
        <v>215</v>
      </c>
    </row>
    <row r="63" spans="1:2">
      <c r="A63" s="594" t="s">
        <v>10</v>
      </c>
      <c r="B63" s="594" t="s">
        <v>215</v>
      </c>
    </row>
    <row r="64" spans="1:2">
      <c r="A64" s="594" t="s">
        <v>182</v>
      </c>
      <c r="B64" s="594" t="s">
        <v>215</v>
      </c>
    </row>
    <row r="65" spans="1:2">
      <c r="A65" s="594" t="s">
        <v>193</v>
      </c>
      <c r="B65" s="594" t="s">
        <v>215</v>
      </c>
    </row>
    <row r="66" spans="1:2">
      <c r="A66" s="594" t="s">
        <v>193</v>
      </c>
      <c r="B66" s="594" t="s">
        <v>215</v>
      </c>
    </row>
    <row r="67" spans="1:2">
      <c r="A67" s="594" t="s">
        <v>14</v>
      </c>
      <c r="B67" s="594" t="s">
        <v>89</v>
      </c>
    </row>
    <row r="68" spans="1:2">
      <c r="A68" s="594" t="s">
        <v>15</v>
      </c>
      <c r="B68" s="594" t="s">
        <v>89</v>
      </c>
    </row>
    <row r="69" spans="1:2">
      <c r="A69" s="594" t="s">
        <v>183</v>
      </c>
      <c r="B69" s="594" t="s">
        <v>89</v>
      </c>
    </row>
    <row r="70" spans="1:2">
      <c r="A70" s="594" t="s">
        <v>185</v>
      </c>
      <c r="B70" s="594" t="s">
        <v>89</v>
      </c>
    </row>
    <row r="71" spans="1:2">
      <c r="A71" s="594" t="s">
        <v>52</v>
      </c>
      <c r="B71" s="594" t="s">
        <v>188</v>
      </c>
    </row>
    <row r="72" spans="1:2">
      <c r="A72" s="594" t="s">
        <v>16</v>
      </c>
      <c r="B72" s="594" t="s">
        <v>223</v>
      </c>
    </row>
    <row r="73" spans="1:2">
      <c r="A73" s="594" t="s">
        <v>11</v>
      </c>
      <c r="B73" s="594" t="s">
        <v>109</v>
      </c>
    </row>
    <row r="74" spans="1:2">
      <c r="A74" s="594" t="s">
        <v>184</v>
      </c>
      <c r="B74" s="594" t="s">
        <v>109</v>
      </c>
    </row>
    <row r="75" spans="1:2">
      <c r="A75" s="594" t="s">
        <v>195</v>
      </c>
      <c r="B75" s="594" t="s">
        <v>107</v>
      </c>
    </row>
    <row r="76" spans="1:2">
      <c r="A76" s="594" t="s">
        <v>17</v>
      </c>
      <c r="B76" s="594" t="s">
        <v>163</v>
      </c>
    </row>
    <row r="77" spans="1:2">
      <c r="A77" s="594" t="s">
        <v>18</v>
      </c>
      <c r="B77" s="594" t="s">
        <v>163</v>
      </c>
    </row>
    <row r="78" spans="1:2">
      <c r="A78" s="594" t="s">
        <v>13</v>
      </c>
      <c r="B78" s="594" t="s">
        <v>108</v>
      </c>
    </row>
    <row r="79" spans="1:2">
      <c r="A79" s="594" t="s">
        <v>255</v>
      </c>
      <c r="B79" s="594" t="s">
        <v>256</v>
      </c>
    </row>
  </sheetData>
  <printOptions horizontalCentered="1"/>
  <pageMargins left="0.22" right="0.5" top="0.5" bottom="0.55000000000000004" header="0.5" footer="0.38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2025-01-16T08:00:00+00:00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EE80A6-B83E-4D91-B40F-40ABAABCDB53}"/>
</file>

<file path=customXml/itemProps2.xml><?xml version="1.0" encoding="utf-8"?>
<ds:datastoreItem xmlns:ds="http://schemas.openxmlformats.org/officeDocument/2006/customXml" ds:itemID="{AB580840-9039-451B-9111-6306D39D4F11}"/>
</file>

<file path=customXml/itemProps3.xml><?xml version="1.0" encoding="utf-8"?>
<ds:datastoreItem xmlns:ds="http://schemas.openxmlformats.org/officeDocument/2006/customXml" ds:itemID="{22BB51E9-76EE-413F-80CB-91A83760E19E}"/>
</file>

<file path=customXml/itemProps4.xml><?xml version="1.0" encoding="utf-8"?>
<ds:datastoreItem xmlns:ds="http://schemas.openxmlformats.org/officeDocument/2006/customXml" ds:itemID="{20FAC3E1-560C-43DD-A246-D6C23BA8F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Summary</vt:lpstr>
      <vt:lpstr>Sch.16 Bill Comparisons wRiders</vt:lpstr>
      <vt:lpstr>Sch.16,17,19</vt:lpstr>
      <vt:lpstr>Sch.24</vt:lpstr>
      <vt:lpstr>Sch.29,36</vt:lpstr>
      <vt:lpstr>Sch.48T</vt:lpstr>
      <vt:lpstr>Sch.48T-DF</vt:lpstr>
      <vt:lpstr>Sch.47T</vt:lpstr>
      <vt:lpstr>Sch.40</vt:lpstr>
      <vt:lpstr>Sch.15,51,53,54</vt:lpstr>
      <vt:lpstr>Cost of Service and Proposed $</vt:lpstr>
      <vt:lpstr>Normalized Units</vt:lpstr>
      <vt:lpstr>AutoPay&amp;Paperless</vt:lpstr>
      <vt:lpstr>Unbilled</vt:lpstr>
      <vt:lpstr>Normalized Summary</vt:lpstr>
      <vt:lpstr>Sch.24,29,36,40 Customers</vt:lpstr>
      <vt:lpstr>Sch.40 Bills</vt:lpstr>
      <vt:lpstr>RVN</vt:lpstr>
      <vt:lpstr>Code</vt:lpstr>
      <vt:lpstr>'AutoPay&amp;Paperless'!Print_Area</vt:lpstr>
      <vt:lpstr>'Normalized Summary'!Print_Area</vt:lpstr>
      <vt:lpstr>'Normalized Units'!Print_Area</vt:lpstr>
      <vt:lpstr>'Sch.15,51,53,54'!Print_Area</vt:lpstr>
      <vt:lpstr>'Sch.16,17,19'!Print_Area</vt:lpstr>
      <vt:lpstr>Sch.24!Print_Area</vt:lpstr>
      <vt:lpstr>'Sch.24,29,36,40 Customers'!Print_Area</vt:lpstr>
      <vt:lpstr>'Sch.29,36'!Print_Area</vt:lpstr>
      <vt:lpstr>Sch.40!Print_Area</vt:lpstr>
      <vt:lpstr>'Sch.40 Bills'!Print_Area</vt:lpstr>
      <vt:lpstr>Sch.47T!Print_Area</vt:lpstr>
      <vt:lpstr>Sch.48T!Print_Area</vt:lpstr>
      <vt:lpstr>'Sch.48T-DF'!Print_Area</vt:lpstr>
      <vt:lpstr>Summary!Print_Area</vt:lpstr>
      <vt:lpstr>Unbilled!Print_Area</vt:lpstr>
      <vt:lpstr>'AutoPay&amp;Paperless'!Print_Titles</vt:lpstr>
      <vt:lpstr>'Normalized Summary'!Print_Titles</vt:lpstr>
      <vt:lpstr>'Normalized Units'!Print_Titles</vt:lpstr>
      <vt:lpstr>'Sch.15,51,53,54'!Print_Titles</vt:lpstr>
      <vt:lpstr>'Sch.16,17,19'!Print_Titles</vt:lpstr>
      <vt:lpstr>Sch.24!Print_Titles</vt:lpstr>
      <vt:lpstr>'Sch.29,36'!Print_Titles</vt:lpstr>
      <vt:lpstr>Sch.40!Print_Titles</vt:lpstr>
      <vt:lpstr>Sch.47T!Print_Titles</vt:lpstr>
      <vt:lpstr>Sch.48T!Print_Titles</vt:lpstr>
      <vt:lpstr>'Sch.48T-DF'!Print_Titles</vt:lpstr>
      <vt:lpstr>Unbilled!Print_Titles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Booth, Avery (UTC)</cp:lastModifiedBy>
  <cp:lastPrinted>2024-03-26T19:27:07Z</cp:lastPrinted>
  <dcterms:created xsi:type="dcterms:W3CDTF">1997-08-20T18:29:19Z</dcterms:created>
  <dcterms:modified xsi:type="dcterms:W3CDTF">2025-01-16T23:31:32Z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