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uzmj\Dropbox\Work\Witnesses\McArthur\"/>
    </mc:Choice>
  </mc:AlternateContent>
  <xr:revisionPtr revIDLastSave="0" documentId="13_ncr:1_{7EC9AF15-0ED6-4E86-BE72-13C1DEE2663F}" xr6:coauthVersionLast="41" xr6:coauthVersionMax="41" xr10:uidLastSave="{00000000-0000-0000-0000-000000000000}"/>
  <bookViews>
    <workbookView xWindow="-108" yWindow="-108" windowWidth="23256" windowHeight="12576" tabRatio="780" activeTab="3" xr2:uid="{00000000-000D-0000-FFFF-FFFF00000000}"/>
  </bookViews>
  <sheets>
    <sheet name="Pg 1 CofCap" sheetId="3" r:id="rId1"/>
    <sheet name="Pg 2 Cost of Total Debt" sheetId="7" r:id="rId2"/>
    <sheet name="Pg 3 STD Int &amp; Fees-Details" sheetId="84" r:id="rId3"/>
    <sheet name="Pg 4 Reacquired Debt" sheetId="29" r:id="rId4"/>
  </sheets>
  <externalReferences>
    <externalReference r:id="rId5"/>
    <externalReference r:id="rId6"/>
    <externalReference r:id="rId7"/>
  </externalReferences>
  <definedNames>
    <definedName name="_C_._DOWN_TERM_">'[1]CST STD!'!#REF!</definedName>
    <definedName name="_DOWN___COUPON_">'[1]CST STD!'!#REF!</definedName>
    <definedName name="_END__DOWN__DOW">'[1]CST STD!'!#REF!</definedName>
    <definedName name="_GOTO_TABLE__PR">'[1]CST STD!'!#REF!</definedName>
    <definedName name="_HOME__GOTO_YIE">'[1]CST STD!'!#REF!</definedName>
    <definedName name="_LET_YIELD__IRR">'[1]CST STD!'!#REF!</definedName>
    <definedName name="_RECASHFLOWS_">'[1]CST STD!'!#REF!</definedName>
    <definedName name="_RNCCASHFLOWS__">'[1]CST STD!'!#REF!</definedName>
    <definedName name="_WINDOWSOFF__PA">'[1]CST STD!'!#REF!</definedName>
    <definedName name="a">'[2]STD Cost'!#REF!</definedName>
    <definedName name="CASHFLOWS">'[1]CST STD!'!#REF!</definedName>
    <definedName name="_xlnm.Database">#REF!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P">#REF!</definedName>
    <definedName name="pagea">#REF!</definedName>
    <definedName name="pageb">#REF!</definedName>
    <definedName name="_xlnm.Print_Area" localSheetId="0">'Pg 1 CofCap'!$A$1:$F$42</definedName>
    <definedName name="_xlnm.Print_Area" localSheetId="1">'Pg 2 Cost of Total Debt'!$A$1:$I$42</definedName>
    <definedName name="_xlnm.Print_Area" localSheetId="2">'Pg 3 STD Int &amp; Fees-Details'!$A$1:$P$61</definedName>
    <definedName name="_xlnm.Print_Area" localSheetId="3">'Pg 4 Reacquired Debt'!$A$1:$K$35</definedName>
    <definedName name="_xlnm.Print_Titles" localSheetId="3">'Pg 4 Reacquired Debt'!$1:$7</definedName>
    <definedName name="TABLE">'[1]CST STD!'!#REF!</definedName>
    <definedName name="Total_Annual_Charge">[2]BONDRATE!#REF!</definedName>
    <definedName name="Total_OS_Amount">[2]BONDRATE!#REF!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1" i="7" l="1"/>
  <c r="H11" i="7" s="1"/>
  <c r="C16" i="84"/>
  <c r="D57" i="84" l="1"/>
  <c r="K27" i="29" l="1"/>
  <c r="K26" i="29"/>
  <c r="K25" i="29"/>
  <c r="K24" i="29"/>
  <c r="K23" i="29"/>
  <c r="K22" i="29"/>
  <c r="K21" i="29"/>
  <c r="K20" i="29"/>
  <c r="K19" i="29"/>
  <c r="D19" i="29"/>
  <c r="K18" i="29"/>
  <c r="D18" i="29"/>
  <c r="K17" i="29"/>
  <c r="D17" i="29"/>
  <c r="K16" i="29"/>
  <c r="D16" i="29"/>
  <c r="K15" i="29"/>
  <c r="K14" i="29"/>
  <c r="K13" i="29"/>
  <c r="K12" i="29"/>
  <c r="K29" i="29" s="1"/>
  <c r="K11" i="29"/>
  <c r="H11" i="29"/>
  <c r="D11" i="29"/>
  <c r="K10" i="29"/>
  <c r="H10" i="29"/>
  <c r="D10" i="29"/>
  <c r="K9" i="29"/>
  <c r="A6" i="29"/>
  <c r="A7" i="29" s="1"/>
  <c r="A8" i="29" s="1"/>
  <c r="A9" i="29" s="1"/>
  <c r="A10" i="29" s="1"/>
  <c r="A11" i="29" s="1"/>
  <c r="A12" i="29" s="1"/>
  <c r="A13" i="29" s="1"/>
  <c r="A14" i="29" s="1"/>
  <c r="A15" i="29" s="1"/>
  <c r="A16" i="29" s="1"/>
  <c r="A17" i="29" s="1"/>
  <c r="A18" i="29" s="1"/>
  <c r="A19" i="29" s="1"/>
  <c r="A20" i="29" s="1"/>
  <c r="A21" i="29" s="1"/>
  <c r="A22" i="29" s="1"/>
  <c r="A23" i="29" s="1"/>
  <c r="A24" i="29" s="1"/>
  <c r="A25" i="29" s="1"/>
  <c r="A26" i="29" s="1"/>
  <c r="A27" i="29" s="1"/>
  <c r="A28" i="29" s="1"/>
  <c r="A29" i="29" s="1"/>
  <c r="A30" i="29" s="1"/>
  <c r="A31" i="29" s="1"/>
  <c r="A32" i="29" s="1"/>
  <c r="A33" i="29" s="1"/>
  <c r="A34" i="29" s="1"/>
  <c r="A35" i="29" s="1"/>
  <c r="A3" i="29"/>
  <c r="O57" i="84"/>
  <c r="N57" i="84"/>
  <c r="M57" i="84"/>
  <c r="L57" i="84"/>
  <c r="K57" i="84"/>
  <c r="J57" i="84"/>
  <c r="I57" i="84"/>
  <c r="H57" i="84"/>
  <c r="G57" i="84"/>
  <c r="F57" i="84"/>
  <c r="E57" i="84"/>
  <c r="P57" i="84"/>
  <c r="P56" i="84"/>
  <c r="P55" i="84"/>
  <c r="P54" i="84"/>
  <c r="P53" i="84"/>
  <c r="P52" i="84"/>
  <c r="P51" i="84"/>
  <c r="N43" i="84"/>
  <c r="M43" i="84"/>
  <c r="L43" i="84"/>
  <c r="J43" i="84"/>
  <c r="I43" i="84"/>
  <c r="H43" i="84"/>
  <c r="G43" i="84"/>
  <c r="O43" i="84" s="1"/>
  <c r="D43" i="84"/>
  <c r="F43" i="84" s="1"/>
  <c r="E42" i="84"/>
  <c r="D33" i="84"/>
  <c r="E33" i="84" s="1"/>
  <c r="F33" i="84" s="1"/>
  <c r="G33" i="84" s="1"/>
  <c r="H33" i="84" s="1"/>
  <c r="I33" i="84" s="1"/>
  <c r="J33" i="84" s="1"/>
  <c r="K33" i="84" s="1"/>
  <c r="L33" i="84" s="1"/>
  <c r="M33" i="84" s="1"/>
  <c r="N33" i="84" s="1"/>
  <c r="O33" i="84" s="1"/>
  <c r="D23" i="84"/>
  <c r="C21" i="84"/>
  <c r="C20" i="84"/>
  <c r="D17" i="84"/>
  <c r="D21" i="84" s="1"/>
  <c r="E16" i="84"/>
  <c r="F16" i="84" s="1"/>
  <c r="D16" i="84"/>
  <c r="D20" i="84" s="1"/>
  <c r="E6" i="84"/>
  <c r="D6" i="84"/>
  <c r="A6" i="84"/>
  <c r="A7" i="84" s="1"/>
  <c r="A9" i="84" s="1"/>
  <c r="A10" i="84" s="1"/>
  <c r="A11" i="84" s="1"/>
  <c r="A12" i="84" s="1"/>
  <c r="A14" i="84" s="1"/>
  <c r="A15" i="84" s="1"/>
  <c r="A16" i="84" s="1"/>
  <c r="A17" i="84" s="1"/>
  <c r="A19" i="84" s="1"/>
  <c r="A20" i="84" s="1"/>
  <c r="A21" i="84" s="1"/>
  <c r="A23" i="84" s="1"/>
  <c r="A25" i="84" s="1"/>
  <c r="A26" i="84" s="1"/>
  <c r="A27" i="84" s="1"/>
  <c r="A28" i="84" s="1"/>
  <c r="A30" i="84" s="1"/>
  <c r="A32" i="84" s="1"/>
  <c r="A33" i="84" s="1"/>
  <c r="A34" i="84" s="1"/>
  <c r="A35" i="84" s="1"/>
  <c r="A37" i="84" s="1"/>
  <c r="A38" i="84" s="1"/>
  <c r="A39" i="84" s="1"/>
  <c r="A41" i="84" s="1"/>
  <c r="A42" i="84" s="1"/>
  <c r="A43" i="84" s="1"/>
  <c r="A44" i="84" s="1"/>
  <c r="A50" i="84" s="1"/>
  <c r="A51" i="84" s="1"/>
  <c r="A52" i="84" s="1"/>
  <c r="A53" i="84" s="1"/>
  <c r="A54" i="84" s="1"/>
  <c r="A55" i="84" s="1"/>
  <c r="A56" i="84" s="1"/>
  <c r="A57" i="84" s="1"/>
  <c r="A61" i="84" s="1"/>
  <c r="A3" i="84"/>
  <c r="J46" i="7"/>
  <c r="I27" i="7"/>
  <c r="I28" i="7" s="1"/>
  <c r="F27" i="7"/>
  <c r="E27" i="7"/>
  <c r="D27" i="7"/>
  <c r="C27" i="7"/>
  <c r="G26" i="7"/>
  <c r="H26" i="7" s="1"/>
  <c r="G25" i="7"/>
  <c r="H25" i="7" s="1"/>
  <c r="G24" i="7"/>
  <c r="H24" i="7" s="1"/>
  <c r="G23" i="7"/>
  <c r="H23" i="7" s="1"/>
  <c r="G22" i="7"/>
  <c r="H22" i="7" s="1"/>
  <c r="G21" i="7"/>
  <c r="H21" i="7" s="1"/>
  <c r="G20" i="7"/>
  <c r="H20" i="7" s="1"/>
  <c r="G19" i="7"/>
  <c r="H19" i="7" s="1"/>
  <c r="G18" i="7"/>
  <c r="H18" i="7" s="1"/>
  <c r="G17" i="7"/>
  <c r="H17" i="7" s="1"/>
  <c r="G16" i="7"/>
  <c r="H16" i="7" s="1"/>
  <c r="G15" i="7"/>
  <c r="H15" i="7" s="1"/>
  <c r="G14" i="7"/>
  <c r="H14" i="7" s="1"/>
  <c r="G13" i="7"/>
  <c r="H13" i="7" s="1"/>
  <c r="G12" i="7"/>
  <c r="H12" i="7" s="1"/>
  <c r="G10" i="7"/>
  <c r="A6" i="7"/>
  <c r="A7" i="7" s="1"/>
  <c r="A8" i="7" s="1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F22" i="3"/>
  <c r="D18" i="3"/>
  <c r="A9" i="3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E23" i="84" l="1"/>
  <c r="E44" i="84" s="1"/>
  <c r="F6" i="84"/>
  <c r="G16" i="84"/>
  <c r="F20" i="84"/>
  <c r="E20" i="84"/>
  <c r="E17" i="84"/>
  <c r="F42" i="84"/>
  <c r="E43" i="84"/>
  <c r="D44" i="84"/>
  <c r="K43" i="84"/>
  <c r="I31" i="7"/>
  <c r="H36" i="7" s="1"/>
  <c r="G27" i="7"/>
  <c r="H27" i="7" s="1"/>
  <c r="D21" i="3"/>
  <c r="H37" i="7"/>
  <c r="G42" i="84" l="1"/>
  <c r="H16" i="84"/>
  <c r="G20" i="84"/>
  <c r="E21" i="84"/>
  <c r="F17" i="84"/>
  <c r="G6" i="84"/>
  <c r="F23" i="84"/>
  <c r="F44" i="84" s="1"/>
  <c r="H38" i="7"/>
  <c r="C7" i="84" s="1"/>
  <c r="C10" i="84" s="1"/>
  <c r="H28" i="7"/>
  <c r="H31" i="7" s="1"/>
  <c r="G31" i="7" s="1"/>
  <c r="E18" i="3" s="1"/>
  <c r="F18" i="3" s="1"/>
  <c r="P58" i="84"/>
  <c r="P59" i="84" s="1"/>
  <c r="F16" i="3" s="1"/>
  <c r="P46" i="84"/>
  <c r="K31" i="29"/>
  <c r="K33" i="29" s="1"/>
  <c r="F19" i="3" s="1"/>
  <c r="H20" i="84" l="1"/>
  <c r="I16" i="84"/>
  <c r="H42" i="84"/>
  <c r="H6" i="84"/>
  <c r="G23" i="84"/>
  <c r="G44" i="84" s="1"/>
  <c r="F21" i="84"/>
  <c r="G17" i="84"/>
  <c r="F20" i="3"/>
  <c r="D7" i="84"/>
  <c r="H23" i="84" l="1"/>
  <c r="I6" i="84"/>
  <c r="H44" i="84"/>
  <c r="I42" i="84"/>
  <c r="J16" i="84"/>
  <c r="I20" i="84"/>
  <c r="G21" i="84"/>
  <c r="H17" i="84"/>
  <c r="E7" i="84"/>
  <c r="D10" i="84"/>
  <c r="D26" i="84"/>
  <c r="C11" i="84"/>
  <c r="I23" i="84" l="1"/>
  <c r="J6" i="84"/>
  <c r="K16" i="84"/>
  <c r="J20" i="84"/>
  <c r="H21" i="84"/>
  <c r="I17" i="84"/>
  <c r="I44" i="84"/>
  <c r="J42" i="84"/>
  <c r="C34" i="84"/>
  <c r="C35" i="84" s="1"/>
  <c r="F7" i="84"/>
  <c r="E10" i="84"/>
  <c r="E11" i="84" s="1"/>
  <c r="C12" i="84"/>
  <c r="D11" i="84"/>
  <c r="L16" i="84" l="1"/>
  <c r="K20" i="84"/>
  <c r="I21" i="84"/>
  <c r="J17" i="84"/>
  <c r="K42" i="84"/>
  <c r="K6" i="84"/>
  <c r="J23" i="84"/>
  <c r="J44" i="84" s="1"/>
  <c r="E26" i="84"/>
  <c r="D34" i="84"/>
  <c r="D35" i="84" s="1"/>
  <c r="E27" i="84"/>
  <c r="F10" i="84"/>
  <c r="F11" i="84" s="1"/>
  <c r="F27" i="84" s="1"/>
  <c r="G7" i="84"/>
  <c r="D12" i="84"/>
  <c r="D27" i="84"/>
  <c r="E34" i="84"/>
  <c r="E35" i="84" s="1"/>
  <c r="E12" i="84"/>
  <c r="J21" i="84" l="1"/>
  <c r="K17" i="84"/>
  <c r="L6" i="84"/>
  <c r="K23" i="84"/>
  <c r="K44" i="84" s="1"/>
  <c r="L42" i="84"/>
  <c r="L20" i="84"/>
  <c r="M16" i="84"/>
  <c r="E28" i="84"/>
  <c r="E38" i="84"/>
  <c r="E39" i="84" s="1"/>
  <c r="D38" i="84"/>
  <c r="E30" i="84"/>
  <c r="F26" i="84"/>
  <c r="F28" i="84" s="1"/>
  <c r="H7" i="84"/>
  <c r="G10" i="84"/>
  <c r="G11" i="84" s="1"/>
  <c r="F34" i="84"/>
  <c r="F35" i="84" s="1"/>
  <c r="D28" i="84"/>
  <c r="F12" i="84"/>
  <c r="N16" i="84" l="1"/>
  <c r="M20" i="84"/>
  <c r="K21" i="84"/>
  <c r="L17" i="84"/>
  <c r="L23" i="84"/>
  <c r="M6" i="84"/>
  <c r="L44" i="84"/>
  <c r="M42" i="84"/>
  <c r="G34" i="84"/>
  <c r="G35" i="84" s="1"/>
  <c r="G27" i="84"/>
  <c r="G26" i="84"/>
  <c r="G38" i="84"/>
  <c r="G39" i="84" s="1"/>
  <c r="G12" i="84"/>
  <c r="I7" i="84"/>
  <c r="H10" i="84"/>
  <c r="D39" i="84"/>
  <c r="D30" i="84"/>
  <c r="F38" i="84"/>
  <c r="F39" i="84" s="1"/>
  <c r="F30" i="84"/>
  <c r="N42" i="84" l="1"/>
  <c r="L21" i="84"/>
  <c r="M17" i="84"/>
  <c r="M23" i="84"/>
  <c r="M44" i="84" s="1"/>
  <c r="N6" i="84"/>
  <c r="O16" i="84"/>
  <c r="O20" i="84" s="1"/>
  <c r="N20" i="84"/>
  <c r="G28" i="84"/>
  <c r="H26" i="84"/>
  <c r="J7" i="84"/>
  <c r="I10" i="84"/>
  <c r="I26" i="84" s="1"/>
  <c r="H11" i="84"/>
  <c r="M21" i="84" l="1"/>
  <c r="N17" i="84"/>
  <c r="O6" i="84"/>
  <c r="O23" i="84" s="1"/>
  <c r="N23" i="84"/>
  <c r="N44" i="84" s="1"/>
  <c r="O42" i="84"/>
  <c r="H34" i="84"/>
  <c r="H35" i="84" s="1"/>
  <c r="H27" i="84"/>
  <c r="J10" i="84"/>
  <c r="K7" i="84"/>
  <c r="I11" i="84"/>
  <c r="H12" i="84"/>
  <c r="G30" i="84"/>
  <c r="O44" i="84" l="1"/>
  <c r="P44" i="84" s="1"/>
  <c r="N21" i="84"/>
  <c r="O17" i="84"/>
  <c r="O21" i="84" s="1"/>
  <c r="I34" i="84"/>
  <c r="I35" i="84" s="1"/>
  <c r="I12" i="84"/>
  <c r="J26" i="84"/>
  <c r="K10" i="84"/>
  <c r="K26" i="84" s="1"/>
  <c r="L7" i="84"/>
  <c r="I27" i="84"/>
  <c r="I28" i="84" s="1"/>
  <c r="I30" i="84" s="1"/>
  <c r="H28" i="84"/>
  <c r="J11" i="84"/>
  <c r="J27" i="84" s="1"/>
  <c r="I38" i="84"/>
  <c r="I39" i="84" s="1"/>
  <c r="H38" i="84"/>
  <c r="K11" i="84" l="1"/>
  <c r="K34" i="84"/>
  <c r="K35" i="84" s="1"/>
  <c r="H39" i="84"/>
  <c r="H30" i="84"/>
  <c r="J28" i="84"/>
  <c r="M7" i="84"/>
  <c r="L10" i="84"/>
  <c r="J34" i="84"/>
  <c r="J35" i="84" s="1"/>
  <c r="K38" i="84" s="1"/>
  <c r="K39" i="84" s="1"/>
  <c r="K27" i="84"/>
  <c r="K28" i="84" s="1"/>
  <c r="K12" i="84"/>
  <c r="J12" i="84"/>
  <c r="K30" i="84" l="1"/>
  <c r="J30" i="84"/>
  <c r="L26" i="84"/>
  <c r="N7" i="84"/>
  <c r="M10" i="84"/>
  <c r="M26" i="84" s="1"/>
  <c r="J38" i="84"/>
  <c r="L11" i="84"/>
  <c r="L12" i="84" s="1"/>
  <c r="N10" i="84" l="1"/>
  <c r="N26" i="84" s="1"/>
  <c r="O7" i="84"/>
  <c r="L34" i="84"/>
  <c r="L35" i="84" s="1"/>
  <c r="L27" i="84"/>
  <c r="L28" i="84" s="1"/>
  <c r="J39" i="84"/>
  <c r="M11" i="84"/>
  <c r="M12" i="84" s="1"/>
  <c r="L38" i="84" l="1"/>
  <c r="L30" i="84"/>
  <c r="O10" i="84"/>
  <c r="O26" i="84" s="1"/>
  <c r="P7" i="84"/>
  <c r="I33" i="7" s="1"/>
  <c r="I34" i="7" s="1"/>
  <c r="M34" i="84"/>
  <c r="M35" i="84" s="1"/>
  <c r="M38" i="84" s="1"/>
  <c r="M39" i="84" s="1"/>
  <c r="M27" i="84"/>
  <c r="M28" i="84" s="1"/>
  <c r="M30" i="84" s="1"/>
  <c r="N11" i="84"/>
  <c r="N12" i="84" s="1"/>
  <c r="L39" i="84" l="1"/>
  <c r="P26" i="84"/>
  <c r="P10" i="84"/>
  <c r="N34" i="84"/>
  <c r="N35" i="84" s="1"/>
  <c r="N38" i="84" s="1"/>
  <c r="N27" i="84"/>
  <c r="N28" i="84" s="1"/>
  <c r="N30" i="84" s="1"/>
  <c r="O11" i="84"/>
  <c r="N39" i="84" l="1"/>
  <c r="O34" i="84"/>
  <c r="O35" i="84" s="1"/>
  <c r="O38" i="84" s="1"/>
  <c r="P11" i="84"/>
  <c r="O27" i="84"/>
  <c r="O12" i="84"/>
  <c r="P12" i="84" s="1"/>
  <c r="O39" i="84" l="1"/>
  <c r="P39" i="84" s="1"/>
  <c r="P45" i="84" s="1"/>
  <c r="P47" i="84" s="1"/>
  <c r="F15" i="3" s="1"/>
  <c r="P38" i="84"/>
  <c r="P27" i="84"/>
  <c r="O28" i="84"/>
  <c r="O30" i="84" l="1"/>
  <c r="P28" i="84"/>
  <c r="H33" i="7" s="1"/>
  <c r="P30" i="84" l="1"/>
  <c r="H34" i="7" l="1"/>
  <c r="G34" i="7" s="1"/>
  <c r="G33" i="7"/>
  <c r="E14" i="3" s="1"/>
  <c r="F14" i="3" l="1"/>
  <c r="F17" i="3" s="1"/>
  <c r="F21" i="3" s="1"/>
  <c r="F23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Flekser, Clifford</author>
  </authors>
  <commentList>
    <comment ref="C7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Flekser, Clifford:</t>
        </r>
        <r>
          <rPr>
            <sz val="9"/>
            <color indexed="81"/>
            <rFont val="Tahoma"/>
            <family val="2"/>
          </rPr>
          <t xml:space="preserve">
Total Capitlization * STD Weighting of Cap Structure</t>
        </r>
      </text>
    </comment>
  </commentList>
</comments>
</file>

<file path=xl/sharedStrings.xml><?xml version="1.0" encoding="utf-8"?>
<sst xmlns="http://schemas.openxmlformats.org/spreadsheetml/2006/main" count="211" uniqueCount="151">
  <si>
    <t xml:space="preserve"> </t>
  </si>
  <si>
    <t>(A)</t>
  </si>
  <si>
    <t>Utility Capital Structure</t>
  </si>
  <si>
    <t>Cost of</t>
  </si>
  <si>
    <t>Description</t>
  </si>
  <si>
    <t>Ratio</t>
  </si>
  <si>
    <t>Cost</t>
  </si>
  <si>
    <t>Capital</t>
  </si>
  <si>
    <t>Issue</t>
  </si>
  <si>
    <t>Annual</t>
  </si>
  <si>
    <t>Rate</t>
  </si>
  <si>
    <t>MTN-A</t>
  </si>
  <si>
    <t>MTN-B</t>
  </si>
  <si>
    <t>MTN-C</t>
  </si>
  <si>
    <t>PCB</t>
  </si>
  <si>
    <t>Schedule of Annual Charges on Reacquired Debt</t>
  </si>
  <si>
    <t>(B)</t>
  </si>
  <si>
    <t xml:space="preserve">Total Amortization on Reacquired Debt </t>
  </si>
  <si>
    <t>8.40% Capital Trust II</t>
  </si>
  <si>
    <t>Interest</t>
  </si>
  <si>
    <t>PCB Series 1991A</t>
  </si>
  <si>
    <t>PCB Series 1991B</t>
  </si>
  <si>
    <t>PCB Series 1992</t>
  </si>
  <si>
    <t>PCB Series 1993</t>
  </si>
  <si>
    <t>WNG 8.4%</t>
  </si>
  <si>
    <t>WNG 8.39%</t>
  </si>
  <si>
    <t>(C)</t>
  </si>
  <si>
    <t>Commitment Fees</t>
  </si>
  <si>
    <t>(D)</t>
  </si>
  <si>
    <t>(E)</t>
  </si>
  <si>
    <t>(F)</t>
  </si>
  <si>
    <t>(G)</t>
  </si>
  <si>
    <t>(H)</t>
  </si>
  <si>
    <t>(I)</t>
  </si>
  <si>
    <t>Maturity Date</t>
  </si>
  <si>
    <t>(J)</t>
  </si>
  <si>
    <t>(K)</t>
  </si>
  <si>
    <t>(L)</t>
  </si>
  <si>
    <t>(M)</t>
  </si>
  <si>
    <t>(N)</t>
  </si>
  <si>
    <t>(O)</t>
  </si>
  <si>
    <t>Annual Charge</t>
  </si>
  <si>
    <t>Cost Rate (ii)</t>
  </si>
  <si>
    <t>SN</t>
  </si>
  <si>
    <t>$200mm VRN</t>
  </si>
  <si>
    <t>30 Yr 5.483%</t>
  </si>
  <si>
    <t>Maturity</t>
  </si>
  <si>
    <t>Date</t>
  </si>
  <si>
    <t>8.231% Capital Trust I (Tender)</t>
  </si>
  <si>
    <t>WNG 8.25%</t>
  </si>
  <si>
    <t>20 Yr 6.740%</t>
  </si>
  <si>
    <t>30 Yr 7.350%</t>
  </si>
  <si>
    <t>2003 PCB's</t>
  </si>
  <si>
    <t>30 Yr 6.724%</t>
  </si>
  <si>
    <t>9.14% PP</t>
  </si>
  <si>
    <t>9.625% PP</t>
  </si>
  <si>
    <t>Amortization (i)</t>
  </si>
  <si>
    <t>Redemption</t>
  </si>
  <si>
    <t>Refinance</t>
  </si>
  <si>
    <t>for Amort.</t>
  </si>
  <si>
    <t>WNG 7.19%</t>
  </si>
  <si>
    <t>Totals</t>
  </si>
  <si>
    <t>$25M 9.57% Gas FMB's</t>
  </si>
  <si>
    <t>40 Yr 4.70%</t>
  </si>
  <si>
    <t>PCB Series 2003</t>
  </si>
  <si>
    <t>2013 PCB's</t>
  </si>
  <si>
    <t>SN 5.197%</t>
  </si>
  <si>
    <t>SN 6.75%</t>
  </si>
  <si>
    <t>30 Yr 4.30%</t>
  </si>
  <si>
    <t>Interest Rate Components:</t>
  </si>
  <si>
    <t>Monthly</t>
  </si>
  <si>
    <t>No. of Months</t>
  </si>
  <si>
    <t>in Period</t>
  </si>
  <si>
    <t>Weighted Cost of Reacquired Debt</t>
  </si>
  <si>
    <t>(i) Amortization is over life of replacement issue or remaining life of called bond if no replacement issue.</t>
  </si>
  <si>
    <t>Puget Sound Energy</t>
  </si>
  <si>
    <t>Short Term Debt Interest and Fees Details</t>
  </si>
  <si>
    <t>Avg of Mo Avg</t>
  </si>
  <si>
    <t>STD Average Balance (in 000's)</t>
  </si>
  <si>
    <t>Borrowings (000's):</t>
  </si>
  <si>
    <t>Commercial Paper (CP)</t>
  </si>
  <si>
    <t>Credit Facilities</t>
  </si>
  <si>
    <t>Total Short-term Debt</t>
  </si>
  <si>
    <t>Projected LIBO Rates (1 mo)</t>
  </si>
  <si>
    <t>Est'd CP Spread</t>
  </si>
  <si>
    <t>Credit Facilities Margin</t>
  </si>
  <si>
    <t>Annual Interest Rates:</t>
  </si>
  <si>
    <t>CP</t>
  </si>
  <si>
    <t>Number of Days in Month</t>
  </si>
  <si>
    <t>Interest Expense (i):</t>
  </si>
  <si>
    <t>CP Interest</t>
  </si>
  <si>
    <t>Credit Facilities Interest</t>
  </si>
  <si>
    <t>Total Interest</t>
  </si>
  <si>
    <t>Avg Monthly Borrowing Rate</t>
  </si>
  <si>
    <t>Loan Commitments (000's):</t>
  </si>
  <si>
    <t>Credit Facility Commitments</t>
  </si>
  <si>
    <t>Loan &amp; LOC Utilization</t>
  </si>
  <si>
    <t>Unutilized Portion</t>
  </si>
  <si>
    <t>Commitment Fees:</t>
  </si>
  <si>
    <t>Commitment Fees (Unutilized portion)</t>
  </si>
  <si>
    <t>Total Commitment Fees</t>
  </si>
  <si>
    <t>Letters of Credit:</t>
  </si>
  <si>
    <t>LC Outstanding under Cr Agrmt (000's)</t>
  </si>
  <si>
    <t>LC Outstanding with Wells (000's)</t>
  </si>
  <si>
    <t>Commitment Fees + Letter of Credit</t>
  </si>
  <si>
    <t>Weight Cost of Commitment Fees</t>
  </si>
  <si>
    <t>Total Amortization</t>
  </si>
  <si>
    <t>Weight Cost of Short-Term Debt Issuance Cost Amortization</t>
  </si>
  <si>
    <t xml:space="preserve">Amortization of Short-Term Debt Issue Cost </t>
  </si>
  <si>
    <t>Amortization of Reacquired Debt</t>
  </si>
  <si>
    <t>Total Debt</t>
  </si>
  <si>
    <t>Common Equity</t>
  </si>
  <si>
    <t xml:space="preserve">Total </t>
  </si>
  <si>
    <t>Rates</t>
  </si>
  <si>
    <t>Short-Term Debt Cost of Interest</t>
  </si>
  <si>
    <t>Blended Cost of Interest (ST&amp;LT Debt)</t>
  </si>
  <si>
    <t>Implied Rate Year Capitalization</t>
  </si>
  <si>
    <t>Bond</t>
  </si>
  <si>
    <t>Net Proceeds Per $100 (i)</t>
  </si>
  <si>
    <t>Proposed Cost of Capital and Rate of Return</t>
  </si>
  <si>
    <t>General Rate Case Request</t>
  </si>
  <si>
    <t>Requested Long-term Debt Ratio in Rate Year</t>
  </si>
  <si>
    <t>Projected AMA Long-term Debt in Rate year ($ in 000's)</t>
  </si>
  <si>
    <t>Implied AMA Total Capitalization in Rate Year ($ in 000's)</t>
  </si>
  <si>
    <t>Annual Charge ($'000)</t>
  </si>
  <si>
    <t>Requested Cost of Debt</t>
  </si>
  <si>
    <t>Total First Mortgage Bonds and Senior Notes</t>
  </si>
  <si>
    <t>Total Long-term Debt Cost of Interest</t>
  </si>
  <si>
    <t>Principal    
in 000's</t>
  </si>
  <si>
    <t>Weighted Short-Term Debt Rate</t>
  </si>
  <si>
    <t>Marginal Short-Term Debt Rate</t>
  </si>
  <si>
    <t>Marginal Long-Term Debt Rate</t>
  </si>
  <si>
    <t>Weighted Long-Term Debt Rate</t>
  </si>
  <si>
    <t>Short Term Debt Issue Cost Amortization:</t>
  </si>
  <si>
    <r>
      <t xml:space="preserve">(i) </t>
    </r>
    <r>
      <rPr>
        <sz val="8"/>
        <rFont val="Times New Roman"/>
        <family val="1"/>
      </rPr>
      <t>Net proceeds are face amount less underwriter's fees and issuance expenses.</t>
    </r>
  </si>
  <si>
    <r>
      <t>(ii)</t>
    </r>
    <r>
      <rPr>
        <sz val="8"/>
        <rFont val="Times New Roman"/>
        <family val="1"/>
      </rPr>
      <t xml:space="preserve"> Cost Rate for each bond is the yield to maturity based on net proceeds.</t>
    </r>
  </si>
  <si>
    <r>
      <t xml:space="preserve">Total LC Fees </t>
    </r>
    <r>
      <rPr>
        <sz val="8"/>
        <rFont val="Times New Roman"/>
        <family val="1"/>
      </rPr>
      <t>($ not in 000's)</t>
    </r>
  </si>
  <si>
    <r>
      <t xml:space="preserve">(i) </t>
    </r>
    <r>
      <rPr>
        <sz val="8"/>
        <rFont val="Times New Roman"/>
        <family val="1"/>
      </rPr>
      <t>Monthly short-term interest is calculated on the average balance for the month times the interest rate for the month times the actual days in the month divided by 360 days.</t>
    </r>
  </si>
  <si>
    <t>Requested For Rate Year April 2020 through March 2021</t>
  </si>
  <si>
    <t>For The 12 Months Ended March 31, 2021</t>
  </si>
  <si>
    <t xml:space="preserve"> --&gt; exclude $200M June 2018 Mortgage Bond from calculation (refinanced in June 2018)</t>
  </si>
  <si>
    <t>Jr. Subordinated Notes</t>
  </si>
  <si>
    <t xml:space="preserve"> --&gt; include the June 2018 $600M issuance</t>
  </si>
  <si>
    <t>$400mm Operating Capital Facility (18101083/18900403)</t>
  </si>
  <si>
    <t>$400mm Capital Expenditure Facility (18900423)</t>
  </si>
  <si>
    <t>$650mm Liquidity Fac (18100673)</t>
  </si>
  <si>
    <t>$650mm Liquidity Refinance (18900443)</t>
  </si>
  <si>
    <t>$800mm Liquidity Fac (18100683)</t>
  </si>
  <si>
    <t>$650mm Liquidity Refinance (18900473)</t>
  </si>
  <si>
    <r>
      <t>(iii)</t>
    </r>
    <r>
      <rPr>
        <sz val="8"/>
        <rFont val="Times New Roman"/>
        <family val="1"/>
      </rPr>
      <t xml:space="preserve"> For blended cost of interest for short-term debt and long-term debt, the cost rate is the total annual interest charge divided by the average outstanding balance for the period.</t>
    </r>
  </si>
  <si>
    <t>(iii)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</si>
</sst>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0">
    <numFmt numFmtId="5" formatCode="&quot;$&quot;#,##0_);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mmmm\ d\,\ yyyy"/>
    <numFmt numFmtId="166" formatCode="0.000%"/>
    <numFmt numFmtId="167" formatCode="&quot;$&quot;#,##0"/>
    <numFmt numFmtId="168" formatCode="_(* #,##0_);_(* \(#,##0\);_(* &quot;-&quot;??_);_(@_)"/>
    <numFmt numFmtId="169" formatCode="#,##0.0000_);\(#,##0.0000\)"/>
    <numFmt numFmtId="170" formatCode="&quot; As of &quot;mmmm\ d\,\ yyyy"/>
    <numFmt numFmtId="171" formatCode="#,###,;\(#,###,\)"/>
    <numFmt numFmtId="172" formatCode="0.00_);\(0.00\)"/>
    <numFmt numFmtId="173" formatCode="#,###.000,;\(#,###.000,\)"/>
    <numFmt numFmtId="174" formatCode="&quot;$&quot;#,##0\ ;\(&quot;$&quot;#,##0\)"/>
    <numFmt numFmtId="175" formatCode="#,###.00,;\(#,###.00,\)"/>
    <numFmt numFmtId="176" formatCode="&quot;$&quot;#,000,;\(&quot;$&quot;#,000,\)"/>
    <numFmt numFmtId="177" formatCode="[$-409]d\-mmm\-yy;@"/>
    <numFmt numFmtId="178" formatCode="&quot;$&quot;#,##0.000_);\(&quot;$&quot;#,##0.000\)"/>
    <numFmt numFmtId="179" formatCode="0.0_);[Red]\(0.0\)"/>
  </numFmts>
  <fonts count="56">
    <font>
      <sz val="8"/>
      <name val="Arial"/>
      <family val="2"/>
    </font>
    <font>
      <sz val="10"/>
      <name val="Arial"/>
      <family val="2"/>
    </font>
    <font>
      <sz val="10"/>
      <name val="Geneva"/>
    </font>
    <font>
      <sz val="10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</font>
    <font>
      <sz val="10"/>
      <color indexed="10"/>
      <name val="Times New Roman"/>
      <family val="1"/>
    </font>
    <font>
      <b/>
      <sz val="10"/>
      <color indexed="10"/>
      <name val="Times New Roman"/>
      <family val="1"/>
    </font>
    <font>
      <sz val="10"/>
      <name val="Arial"/>
      <family val="2"/>
    </font>
    <font>
      <sz val="10"/>
      <color indexed="24"/>
      <name val="Arial"/>
      <family val="2"/>
    </font>
    <font>
      <sz val="9"/>
      <name val="Arial"/>
      <family val="2"/>
    </font>
    <font>
      <sz val="9"/>
      <name val="Times New Roman"/>
      <family val="1"/>
    </font>
    <font>
      <sz val="8"/>
      <name val="Arial"/>
      <family val="2"/>
    </font>
    <font>
      <b/>
      <sz val="9"/>
      <name val="Times New Roman"/>
      <family val="1"/>
    </font>
    <font>
      <sz val="8"/>
      <name val="Times New Roman"/>
      <family val="1"/>
    </font>
    <font>
      <i/>
      <sz val="12"/>
      <color indexed="1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9"/>
      <color indexed="81"/>
      <name val="Tahoma"/>
      <family val="2"/>
    </font>
    <font>
      <b/>
      <sz val="12"/>
      <color indexed="8"/>
      <name val="Times New Roman"/>
      <family val="1"/>
    </font>
    <font>
      <b/>
      <sz val="12"/>
      <name val="Times New Roman"/>
      <family val="1"/>
    </font>
    <font>
      <b/>
      <sz val="8"/>
      <name val="Times New Roman"/>
      <family val="1"/>
    </font>
    <font>
      <b/>
      <u/>
      <sz val="10"/>
      <name val="Times New Roman"/>
      <family val="1"/>
    </font>
    <font>
      <b/>
      <sz val="10"/>
      <color indexed="12"/>
      <name val="Times New Roman"/>
      <family val="1"/>
    </font>
    <font>
      <b/>
      <u val="double"/>
      <sz val="10"/>
      <name val="Times New Roman"/>
      <family val="1"/>
    </font>
    <font>
      <i/>
      <sz val="9"/>
      <name val="Times New Roman"/>
      <family val="1"/>
    </font>
    <font>
      <u val="double"/>
      <sz val="10"/>
      <name val="Times New Roman"/>
      <family val="1"/>
    </font>
    <font>
      <b/>
      <sz val="7"/>
      <name val="Times New Roman"/>
      <family val="1"/>
    </font>
    <font>
      <u/>
      <sz val="8"/>
      <name val="Times New Roman"/>
      <family val="1"/>
    </font>
    <font>
      <b/>
      <sz val="8"/>
      <color indexed="8"/>
      <name val="Times New Roman"/>
      <family val="1"/>
    </font>
    <font>
      <sz val="8"/>
      <color indexed="8"/>
      <name val="Times New Roman"/>
      <family val="1"/>
    </font>
    <font>
      <sz val="8"/>
      <color indexed="12"/>
      <name val="Times New Roman"/>
      <family val="1"/>
    </font>
    <font>
      <b/>
      <sz val="9"/>
      <color indexed="10"/>
      <name val="Times New Roman"/>
      <family val="1"/>
    </font>
    <font>
      <b/>
      <u/>
      <sz val="8"/>
      <name val="Times New Roman"/>
      <family val="1"/>
    </font>
    <font>
      <sz val="7"/>
      <name val="Times New Roman"/>
      <family val="1"/>
    </font>
    <font>
      <sz val="9"/>
      <color indexed="10"/>
      <name val="Times New Roman"/>
      <family val="1"/>
    </font>
    <font>
      <b/>
      <i/>
      <sz val="9"/>
      <name val="Times New Roman"/>
      <family val="1"/>
    </font>
    <font>
      <sz val="9"/>
      <color indexed="12"/>
      <name val="Times New Roman"/>
      <family val="1"/>
    </font>
    <font>
      <u/>
      <sz val="9"/>
      <name val="Times New Roman"/>
      <family val="1"/>
    </font>
    <font>
      <i/>
      <sz val="8"/>
      <name val="Times New Roman"/>
      <family val="1"/>
    </font>
    <font>
      <b/>
      <sz val="9"/>
      <color indexed="81"/>
      <name val="Tahoma"/>
      <family val="2"/>
    </font>
    <font>
      <sz val="8"/>
      <color rgb="FF0000FF"/>
      <name val="Times New Roman"/>
      <family val="1"/>
    </font>
  </fonts>
  <fills count="18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1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6">
    <xf numFmtId="37" fontId="0" fillId="0" borderId="0"/>
    <xf numFmtId="0" fontId="16" fillId="2" borderId="0" applyNumberFormat="0" applyBorder="0" applyAlignment="0" applyProtection="0"/>
    <xf numFmtId="0" fontId="16" fillId="2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9" fillId="16" borderId="1" applyNumberFormat="0" applyAlignment="0" applyProtection="0"/>
    <xf numFmtId="0" fontId="19" fillId="16" borderId="1" applyNumberFormat="0" applyAlignment="0" applyProtection="0"/>
    <xf numFmtId="0" fontId="20" fillId="17" borderId="2" applyNumberFormat="0" applyAlignment="0" applyProtection="0"/>
    <xf numFmtId="0" fontId="20" fillId="17" borderId="2" applyNumberFormat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3" fontId="9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174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3" fillId="0" borderId="3" applyNumberFormat="0" applyFill="0" applyAlignment="0" applyProtection="0"/>
    <xf numFmtId="0" fontId="23" fillId="0" borderId="3" applyNumberFormat="0" applyFill="0" applyAlignment="0" applyProtection="0"/>
    <xf numFmtId="0" fontId="24" fillId="0" borderId="4" applyNumberFormat="0" applyFill="0" applyAlignment="0" applyProtection="0"/>
    <xf numFmtId="0" fontId="24" fillId="0" borderId="4" applyNumberFormat="0" applyFill="0" applyAlignment="0" applyProtection="0"/>
    <xf numFmtId="0" fontId="25" fillId="0" borderId="5" applyNumberFormat="0" applyFill="0" applyAlignment="0" applyProtection="0"/>
    <xf numFmtId="0" fontId="25" fillId="0" borderId="5" applyNumberFormat="0" applyFill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7" fillId="0" borderId="6" applyNumberFormat="0" applyFill="0" applyAlignment="0" applyProtection="0"/>
    <xf numFmtId="0" fontId="27" fillId="0" borderId="6" applyNumberFormat="0" applyFill="0" applyAlignment="0" applyProtection="0"/>
    <xf numFmtId="172" fontId="12" fillId="0" borderId="0"/>
    <xf numFmtId="0" fontId="28" fillId="7" borderId="0" applyNumberFormat="0" applyBorder="0" applyAlignment="0" applyProtection="0"/>
    <xf numFmtId="0" fontId="28" fillId="7" borderId="0" applyNumberFormat="0" applyBorder="0" applyAlignment="0" applyProtection="0"/>
    <xf numFmtId="0" fontId="1" fillId="0" borderId="0"/>
    <xf numFmtId="0" fontId="8" fillId="0" borderId="0"/>
    <xf numFmtId="0" fontId="8" fillId="0" borderId="0"/>
    <xf numFmtId="37" fontId="12" fillId="0" borderId="0"/>
    <xf numFmtId="37" fontId="10" fillId="0" borderId="0"/>
    <xf numFmtId="0" fontId="2" fillId="0" borderId="0"/>
    <xf numFmtId="37" fontId="2" fillId="0" borderId="0"/>
    <xf numFmtId="37" fontId="2" fillId="0" borderId="0"/>
    <xf numFmtId="3" fontId="10" fillId="0" borderId="0"/>
    <xf numFmtId="10" fontId="2" fillId="0" borderId="0"/>
    <xf numFmtId="0" fontId="2" fillId="0" borderId="0"/>
    <xf numFmtId="0" fontId="10" fillId="4" borderId="7" applyNumberFormat="0" applyFont="0" applyAlignment="0" applyProtection="0"/>
    <xf numFmtId="0" fontId="10" fillId="4" borderId="7" applyNumberFormat="0" applyFont="0" applyAlignment="0" applyProtection="0"/>
    <xf numFmtId="0" fontId="29" fillId="16" borderId="8" applyNumberFormat="0" applyAlignment="0" applyProtection="0"/>
    <xf numFmtId="0" fontId="29" fillId="16" borderId="8" applyNumberFormat="0" applyAlignment="0" applyProtection="0"/>
    <xf numFmtId="9" fontId="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9" applyNumberFormat="0" applyFill="0" applyAlignment="0" applyProtection="0"/>
    <xf numFmtId="0" fontId="31" fillId="0" borderId="9" applyNumberFormat="0" applyFill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</cellStyleXfs>
  <cellXfs count="274">
    <xf numFmtId="37" fontId="0" fillId="0" borderId="0" xfId="0"/>
    <xf numFmtId="10" fontId="3" fillId="0" borderId="0" xfId="91" applyFont="1"/>
    <xf numFmtId="10" fontId="3" fillId="0" borderId="0" xfId="91" applyFont="1" applyAlignment="1">
      <alignment horizontal="centerContinuous"/>
    </xf>
    <xf numFmtId="1" fontId="3" fillId="0" borderId="0" xfId="91" applyNumberFormat="1" applyFont="1" applyAlignment="1" applyProtection="1">
      <alignment horizontal="center"/>
    </xf>
    <xf numFmtId="37" fontId="3" fillId="0" borderId="0" xfId="0" applyFont="1"/>
    <xf numFmtId="5" fontId="3" fillId="0" borderId="0" xfId="91" applyNumberFormat="1" applyFont="1" applyProtection="1"/>
    <xf numFmtId="164" fontId="3" fillId="0" borderId="0" xfId="91" applyNumberFormat="1" applyFont="1" applyProtection="1"/>
    <xf numFmtId="10" fontId="3" fillId="0" borderId="0" xfId="91" applyNumberFormat="1" applyFont="1" applyProtection="1"/>
    <xf numFmtId="37" fontId="3" fillId="0" borderId="0" xfId="89" applyFont="1"/>
    <xf numFmtId="37" fontId="3" fillId="0" borderId="0" xfId="89" applyFont="1" applyAlignment="1" applyProtection="1">
      <alignment horizontal="center"/>
    </xf>
    <xf numFmtId="37" fontId="5" fillId="0" borderId="0" xfId="89" applyFont="1" applyAlignment="1">
      <alignment horizontal="center"/>
    </xf>
    <xf numFmtId="5" fontId="3" fillId="0" borderId="0" xfId="89" applyNumberFormat="1" applyFont="1"/>
    <xf numFmtId="37" fontId="6" fillId="0" borderId="0" xfId="89" applyFont="1"/>
    <xf numFmtId="37" fontId="6" fillId="0" borderId="0" xfId="89" applyFont="1" applyFill="1"/>
    <xf numFmtId="15" fontId="3" fillId="0" borderId="0" xfId="89" applyNumberFormat="1" applyFont="1" applyProtection="1"/>
    <xf numFmtId="0" fontId="3" fillId="0" borderId="0" xfId="92" applyFont="1" applyAlignment="1" applyProtection="1">
      <alignment horizontal="left"/>
    </xf>
    <xf numFmtId="0" fontId="4" fillId="0" borderId="0" xfId="92" applyFont="1"/>
    <xf numFmtId="5" fontId="4" fillId="0" borderId="0" xfId="92" applyNumberFormat="1" applyFont="1" applyProtection="1"/>
    <xf numFmtId="37" fontId="7" fillId="0" borderId="0" xfId="89" applyFont="1" applyFill="1" applyAlignment="1">
      <alignment horizontal="center"/>
    </xf>
    <xf numFmtId="5" fontId="6" fillId="0" borderId="0" xfId="89" applyNumberFormat="1" applyFont="1" applyFill="1"/>
    <xf numFmtId="37" fontId="6" fillId="0" borderId="0" xfId="89" applyFont="1" applyFill="1" applyAlignment="1">
      <alignment horizontal="center"/>
    </xf>
    <xf numFmtId="37" fontId="6" fillId="0" borderId="0" xfId="0" applyFont="1" applyFill="1"/>
    <xf numFmtId="10" fontId="6" fillId="0" borderId="0" xfId="0" applyNumberFormat="1" applyFont="1" applyFill="1" applyAlignment="1">
      <alignment horizontal="left"/>
    </xf>
    <xf numFmtId="15" fontId="6" fillId="0" borderId="0" xfId="0" applyNumberFormat="1" applyFont="1" applyFill="1" applyAlignment="1">
      <alignment horizontal="center"/>
    </xf>
    <xf numFmtId="167" fontId="6" fillId="0" borderId="0" xfId="0" applyNumberFormat="1" applyFont="1" applyFill="1"/>
    <xf numFmtId="2" fontId="6" fillId="0" borderId="0" xfId="0" applyNumberFormat="1" applyFont="1" applyFill="1"/>
    <xf numFmtId="10" fontId="6" fillId="0" borderId="0" xfId="0" applyNumberFormat="1" applyFont="1" applyFill="1"/>
    <xf numFmtId="37" fontId="7" fillId="0" borderId="0" xfId="89" applyFont="1" applyFill="1" applyAlignment="1" applyProtection="1">
      <alignment horizontal="center"/>
    </xf>
    <xf numFmtId="10" fontId="6" fillId="0" borderId="0" xfId="89" applyNumberFormat="1" applyFont="1" applyFill="1" applyProtection="1"/>
    <xf numFmtId="166" fontId="6" fillId="0" borderId="0" xfId="89" applyNumberFormat="1" applyFont="1" applyFill="1" applyAlignment="1" applyProtection="1">
      <alignment horizontal="fill"/>
    </xf>
    <xf numFmtId="165" fontId="3" fillId="0" borderId="0" xfId="89" applyNumberFormat="1" applyFont="1" applyFill="1"/>
    <xf numFmtId="15" fontId="13" fillId="0" borderId="0" xfId="92" applyNumberFormat="1" applyFont="1" applyBorder="1" applyAlignment="1">
      <alignment horizontal="left"/>
    </xf>
    <xf numFmtId="37" fontId="11" fillId="0" borderId="0" xfId="0" applyFont="1" applyBorder="1"/>
    <xf numFmtId="37" fontId="14" fillId="0" borderId="0" xfId="89" applyFont="1"/>
    <xf numFmtId="0" fontId="15" fillId="0" borderId="0" xfId="92" applyFont="1"/>
    <xf numFmtId="0" fontId="4" fillId="0" borderId="0" xfId="92" applyFont="1" applyFill="1"/>
    <xf numFmtId="0" fontId="4" fillId="0" borderId="0" xfId="92" applyFont="1" applyAlignment="1">
      <alignment horizontal="center"/>
    </xf>
    <xf numFmtId="37" fontId="3" fillId="0" borderId="0" xfId="91" applyNumberFormat="1" applyFont="1"/>
    <xf numFmtId="5" fontId="14" fillId="0" borderId="0" xfId="89" applyNumberFormat="1" applyFont="1" applyFill="1"/>
    <xf numFmtId="5" fontId="3" fillId="0" borderId="0" xfId="89" applyNumberFormat="1" applyFont="1" applyFill="1"/>
    <xf numFmtId="37" fontId="3" fillId="0" borderId="0" xfId="89" applyFont="1" applyFill="1"/>
    <xf numFmtId="5" fontId="4" fillId="0" borderId="0" xfId="92" applyNumberFormat="1" applyFont="1"/>
    <xf numFmtId="5" fontId="33" fillId="0" borderId="0" xfId="87" applyNumberFormat="1" applyFont="1" applyFill="1" applyBorder="1" applyAlignment="1" applyProtection="1">
      <alignment horizontal="left"/>
    </xf>
    <xf numFmtId="168" fontId="3" fillId="0" borderId="0" xfId="91" applyNumberFormat="1" applyFont="1"/>
    <xf numFmtId="43" fontId="3" fillId="0" borderId="0" xfId="56" applyFont="1"/>
    <xf numFmtId="10" fontId="3" fillId="0" borderId="0" xfId="97" applyNumberFormat="1" applyFont="1"/>
    <xf numFmtId="10" fontId="5" fillId="0" borderId="0" xfId="91" applyFont="1" applyAlignment="1">
      <alignment horizontal="centerContinuous"/>
    </xf>
    <xf numFmtId="1" fontId="14" fillId="0" borderId="0" xfId="91" applyNumberFormat="1" applyFont="1" applyAlignment="1" applyProtection="1">
      <alignment horizontal="center"/>
    </xf>
    <xf numFmtId="37" fontId="35" fillId="0" borderId="0" xfId="88" applyFont="1" applyAlignment="1" applyProtection="1">
      <alignment horizontal="center"/>
    </xf>
    <xf numFmtId="10" fontId="5" fillId="0" borderId="0" xfId="91" applyFont="1" applyFill="1" applyBorder="1" applyAlignment="1" applyProtection="1">
      <alignment horizontal="center" wrapText="1"/>
    </xf>
    <xf numFmtId="10" fontId="5" fillId="0" borderId="0" xfId="91" applyFont="1" applyAlignment="1">
      <alignment horizontal="center"/>
    </xf>
    <xf numFmtId="10" fontId="5" fillId="0" borderId="0" xfId="91" applyFont="1" applyAlignment="1" applyProtection="1">
      <alignment horizontal="center"/>
    </xf>
    <xf numFmtId="10" fontId="36" fillId="0" borderId="0" xfId="91" applyFont="1" applyAlignment="1" applyProtection="1">
      <alignment horizontal="left"/>
    </xf>
    <xf numFmtId="10" fontId="36" fillId="0" borderId="0" xfId="91" applyFont="1" applyAlignment="1" applyProtection="1">
      <alignment horizontal="center"/>
    </xf>
    <xf numFmtId="10" fontId="3" fillId="0" borderId="0" xfId="91" applyFont="1" applyAlignment="1" applyProtection="1">
      <alignment horizontal="left"/>
    </xf>
    <xf numFmtId="10" fontId="3" fillId="0" borderId="0" xfId="91" applyFont="1" applyAlignment="1" applyProtection="1">
      <alignment horizontal="left" indent="2"/>
    </xf>
    <xf numFmtId="164" fontId="3" fillId="0" borderId="0" xfId="91" applyNumberFormat="1" applyFont="1" applyAlignment="1" applyProtection="1"/>
    <xf numFmtId="10" fontId="3" fillId="0" borderId="0" xfId="91" applyNumberFormat="1" applyFont="1" applyAlignment="1" applyProtection="1"/>
    <xf numFmtId="10" fontId="3" fillId="0" borderId="0" xfId="91" applyFont="1" applyAlignment="1">
      <alignment horizontal="left" indent="2"/>
    </xf>
    <xf numFmtId="10" fontId="3" fillId="0" borderId="10" xfId="91" applyFont="1" applyBorder="1" applyAlignment="1">
      <alignment horizontal="left" indent="2"/>
    </xf>
    <xf numFmtId="37" fontId="35" fillId="0" borderId="10" xfId="88" applyFont="1" applyBorder="1" applyAlignment="1" applyProtection="1">
      <alignment horizontal="center"/>
    </xf>
    <xf numFmtId="164" fontId="3" fillId="0" borderId="10" xfId="91" applyNumberFormat="1" applyFont="1" applyBorder="1" applyAlignment="1" applyProtection="1"/>
    <xf numFmtId="10" fontId="3" fillId="0" borderId="10" xfId="91" applyNumberFormat="1" applyFont="1" applyBorder="1" applyAlignment="1" applyProtection="1"/>
    <xf numFmtId="10" fontId="5" fillId="0" borderId="0" xfId="91" applyFont="1" applyAlignment="1" applyProtection="1">
      <alignment horizontal="left" indent="1"/>
    </xf>
    <xf numFmtId="10" fontId="5" fillId="0" borderId="0" xfId="91" applyNumberFormat="1" applyFont="1" applyAlignment="1" applyProtection="1"/>
    <xf numFmtId="5" fontId="3" fillId="0" borderId="0" xfId="91" applyNumberFormat="1" applyFont="1" applyAlignment="1" applyProtection="1"/>
    <xf numFmtId="10" fontId="5" fillId="0" borderId="11" xfId="91" applyFont="1" applyBorder="1" applyAlignment="1" applyProtection="1">
      <alignment horizontal="left" indent="1"/>
    </xf>
    <xf numFmtId="37" fontId="35" fillId="0" borderId="11" xfId="88" applyFont="1" applyBorder="1" applyAlignment="1" applyProtection="1">
      <alignment horizontal="center"/>
    </xf>
    <xf numFmtId="164" fontId="3" fillId="0" borderId="11" xfId="91" applyNumberFormat="1" applyFont="1" applyBorder="1" applyAlignment="1" applyProtection="1"/>
    <xf numFmtId="10" fontId="3" fillId="0" borderId="11" xfId="91" applyNumberFormat="1" applyFont="1" applyBorder="1" applyAlignment="1" applyProtection="1"/>
    <xf numFmtId="10" fontId="5" fillId="0" borderId="11" xfId="91" applyNumberFormat="1" applyFont="1" applyBorder="1" applyAlignment="1" applyProtection="1"/>
    <xf numFmtId="10" fontId="5" fillId="0" borderId="0" xfId="91" applyFont="1" applyAlignment="1" applyProtection="1">
      <alignment horizontal="left"/>
    </xf>
    <xf numFmtId="164" fontId="5" fillId="0" borderId="0" xfId="91" applyNumberFormat="1" applyFont="1" applyAlignment="1" applyProtection="1"/>
    <xf numFmtId="164" fontId="36" fillId="0" borderId="0" xfId="91" applyNumberFormat="1" applyFont="1" applyAlignment="1" applyProtection="1"/>
    <xf numFmtId="10" fontId="37" fillId="0" borderId="0" xfId="91" applyNumberFormat="1" applyFont="1" applyFill="1" applyBorder="1" applyAlignment="1" applyProtection="1">
      <alignment horizontal="right"/>
    </xf>
    <xf numFmtId="10" fontId="36" fillId="0" borderId="0" xfId="91" applyNumberFormat="1" applyFont="1" applyAlignment="1" applyProtection="1"/>
    <xf numFmtId="5" fontId="38" fillId="0" borderId="0" xfId="91" applyNumberFormat="1" applyFont="1" applyBorder="1" applyAlignment="1" applyProtection="1"/>
    <xf numFmtId="164" fontId="38" fillId="0" borderId="0" xfId="91" applyNumberFormat="1" applyFont="1" applyBorder="1" applyAlignment="1" applyProtection="1">
      <alignment horizontal="right"/>
    </xf>
    <xf numFmtId="10" fontId="38" fillId="0" borderId="0" xfId="91" applyNumberFormat="1" applyFont="1" applyBorder="1" applyAlignment="1" applyProtection="1">
      <alignment horizontal="right"/>
    </xf>
    <xf numFmtId="10" fontId="3" fillId="0" borderId="0" xfId="91" applyNumberFormat="1" applyFont="1" applyBorder="1"/>
    <xf numFmtId="10" fontId="3" fillId="0" borderId="0" xfId="91" applyFont="1" applyBorder="1" applyAlignment="1">
      <alignment horizontal="right"/>
    </xf>
    <xf numFmtId="10" fontId="3" fillId="0" borderId="0" xfId="91" applyFont="1" applyBorder="1" applyAlignment="1">
      <alignment horizontal="center"/>
    </xf>
    <xf numFmtId="10" fontId="3" fillId="0" borderId="0" xfId="91" applyNumberFormat="1" applyFont="1" applyBorder="1" applyAlignment="1">
      <alignment horizontal="right"/>
    </xf>
    <xf numFmtId="0" fontId="5" fillId="0" borderId="0" xfId="92" quotePrefix="1" applyFont="1" applyFill="1" applyBorder="1" applyAlignment="1" applyProtection="1">
      <alignment horizontal="centerContinuous" vertical="center" wrapText="1"/>
    </xf>
    <xf numFmtId="3" fontId="14" fillId="0" borderId="0" xfId="90" applyFont="1" applyAlignment="1">
      <alignment horizontal="center"/>
    </xf>
    <xf numFmtId="37" fontId="41" fillId="0" borderId="0" xfId="88" applyFont="1" applyAlignment="1" applyProtection="1">
      <alignment horizontal="center"/>
    </xf>
    <xf numFmtId="3" fontId="3" fillId="0" borderId="0" xfId="90" applyFont="1" applyAlignment="1">
      <alignment horizontal="center"/>
    </xf>
    <xf numFmtId="166" fontId="35" fillId="0" borderId="0" xfId="90" applyNumberFormat="1" applyFont="1" applyAlignment="1" applyProtection="1">
      <alignment horizontal="center"/>
    </xf>
    <xf numFmtId="3" fontId="35" fillId="0" borderId="0" xfId="90" applyFont="1" applyAlignment="1">
      <alignment horizontal="center"/>
    </xf>
    <xf numFmtId="3" fontId="35" fillId="0" borderId="10" xfId="90" applyFont="1" applyBorder="1" applyAlignment="1" applyProtection="1">
      <alignment horizontal="center"/>
    </xf>
    <xf numFmtId="3" fontId="35" fillId="0" borderId="10" xfId="90" quotePrefix="1" applyFont="1" applyBorder="1" applyAlignment="1" applyProtection="1">
      <alignment horizontal="center"/>
    </xf>
    <xf numFmtId="17" fontId="14" fillId="0" borderId="0" xfId="0" applyNumberFormat="1" applyFont="1" applyAlignment="1">
      <alignment horizontal="center"/>
    </xf>
    <xf numFmtId="39" fontId="14" fillId="0" borderId="0" xfId="0" applyNumberFormat="1" applyFont="1" applyFill="1" applyAlignment="1">
      <alignment horizontal="center"/>
    </xf>
    <xf numFmtId="171" fontId="14" fillId="0" borderId="0" xfId="87" applyNumberFormat="1" applyFont="1" applyFill="1" applyProtection="1"/>
    <xf numFmtId="171" fontId="14" fillId="0" borderId="0" xfId="87" applyNumberFormat="1" applyFont="1" applyFill="1" applyBorder="1" applyProtection="1"/>
    <xf numFmtId="166" fontId="14" fillId="0" borderId="0" xfId="0" applyNumberFormat="1" applyFont="1"/>
    <xf numFmtId="39" fontId="14" fillId="0" borderId="0" xfId="0" applyNumberFormat="1" applyFont="1" applyFill="1" applyAlignment="1">
      <alignment horizontal="right"/>
    </xf>
    <xf numFmtId="171" fontId="35" fillId="0" borderId="0" xfId="87" applyNumberFormat="1" applyFont="1" applyFill="1" applyBorder="1" applyProtection="1"/>
    <xf numFmtId="37" fontId="14" fillId="0" borderId="0" xfId="0" applyNumberFormat="1" applyFont="1"/>
    <xf numFmtId="10" fontId="14" fillId="0" borderId="0" xfId="0" applyNumberFormat="1" applyFont="1"/>
    <xf numFmtId="171" fontId="35" fillId="0" borderId="0" xfId="87" applyNumberFormat="1" applyFont="1" applyFill="1" applyProtection="1"/>
    <xf numFmtId="17" fontId="14" fillId="0" borderId="0" xfId="89" applyNumberFormat="1" applyFont="1" applyAlignment="1" applyProtection="1">
      <alignment horizontal="left"/>
    </xf>
    <xf numFmtId="37" fontId="35" fillId="0" borderId="0" xfId="89" applyNumberFormat="1" applyFont="1" applyAlignment="1" applyProtection="1">
      <alignment horizontal="left"/>
    </xf>
    <xf numFmtId="10" fontId="35" fillId="0" borderId="0" xfId="97" applyNumberFormat="1" applyFont="1" applyFill="1"/>
    <xf numFmtId="171" fontId="35" fillId="0" borderId="12" xfId="87" applyNumberFormat="1" applyFont="1" applyFill="1" applyBorder="1" applyProtection="1"/>
    <xf numFmtId="176" fontId="43" fillId="0" borderId="12" xfId="87" applyNumberFormat="1" applyFont="1" applyBorder="1" applyProtection="1"/>
    <xf numFmtId="169" fontId="14" fillId="0" borderId="0" xfId="0" applyNumberFormat="1" applyFont="1" applyFill="1"/>
    <xf numFmtId="3" fontId="14" fillId="0" borderId="0" xfId="90" applyFont="1"/>
    <xf numFmtId="10" fontId="14" fillId="0" borderId="0" xfId="97" applyNumberFormat="1" applyFont="1" applyFill="1"/>
    <xf numFmtId="37" fontId="35" fillId="0" borderId="0" xfId="86" applyNumberFormat="1" applyFont="1" applyFill="1" applyBorder="1"/>
    <xf numFmtId="10" fontId="35" fillId="0" borderId="12" xfId="0" applyNumberFormat="1" applyFont="1" applyFill="1" applyBorder="1"/>
    <xf numFmtId="169" fontId="14" fillId="0" borderId="0" xfId="0" applyNumberFormat="1" applyFont="1" applyFill="1" applyAlignment="1">
      <alignment horizontal="center"/>
    </xf>
    <xf numFmtId="10" fontId="35" fillId="0" borderId="0" xfId="89" applyNumberFormat="1" applyFont="1" applyFill="1" applyBorder="1" applyProtection="1"/>
    <xf numFmtId="175" fontId="45" fillId="0" borderId="0" xfId="87" applyNumberFormat="1" applyFont="1" applyFill="1" applyBorder="1" applyProtection="1"/>
    <xf numFmtId="176" fontId="43" fillId="0" borderId="0" xfId="87" applyNumberFormat="1" applyFont="1" applyBorder="1" applyProtection="1"/>
    <xf numFmtId="3" fontId="35" fillId="0" borderId="0" xfId="90" quotePrefix="1" applyFont="1"/>
    <xf numFmtId="37" fontId="35" fillId="0" borderId="0" xfId="89" applyNumberFormat="1" applyFont="1"/>
    <xf numFmtId="37" fontId="14" fillId="0" borderId="0" xfId="89" applyNumberFormat="1" applyFont="1"/>
    <xf numFmtId="169" fontId="14" fillId="0" borderId="0" xfId="0" applyNumberFormat="1" applyFont="1"/>
    <xf numFmtId="173" fontId="44" fillId="0" borderId="0" xfId="87" applyNumberFormat="1" applyFont="1" applyFill="1" applyProtection="1"/>
    <xf numFmtId="37" fontId="14" fillId="0" borderId="0" xfId="86" applyFont="1" applyFill="1"/>
    <xf numFmtId="37" fontId="11" fillId="0" borderId="0" xfId="86" applyFont="1" applyFill="1"/>
    <xf numFmtId="37" fontId="7" fillId="0" borderId="0" xfId="86" applyFont="1" applyFill="1"/>
    <xf numFmtId="37" fontId="14" fillId="0" borderId="0" xfId="88" applyFont="1" applyFill="1" applyAlignment="1" applyProtection="1">
      <alignment horizontal="center"/>
    </xf>
    <xf numFmtId="37" fontId="35" fillId="0" borderId="0" xfId="88" applyFont="1" applyFill="1" applyAlignment="1" applyProtection="1">
      <alignment horizontal="center"/>
    </xf>
    <xf numFmtId="17" fontId="42" fillId="0" borderId="0" xfId="86" applyNumberFormat="1" applyFont="1" applyFill="1" applyBorder="1" applyAlignment="1">
      <alignment horizontal="center"/>
    </xf>
    <xf numFmtId="37" fontId="42" fillId="0" borderId="0" xfId="86" applyFont="1" applyFill="1" applyBorder="1" applyAlignment="1">
      <alignment horizontal="center" wrapText="1"/>
    </xf>
    <xf numFmtId="37" fontId="35" fillId="0" borderId="0" xfId="86" applyFont="1" applyFill="1" applyBorder="1"/>
    <xf numFmtId="5" fontId="14" fillId="0" borderId="0" xfId="87" applyNumberFormat="1" applyFont="1" applyFill="1" applyBorder="1" applyProtection="1"/>
    <xf numFmtId="5" fontId="44" fillId="0" borderId="0" xfId="87" applyNumberFormat="1" applyFont="1" applyFill="1" applyBorder="1" applyProtection="1"/>
    <xf numFmtId="5" fontId="43" fillId="0" borderId="0" xfId="87" applyNumberFormat="1" applyFont="1" applyFill="1" applyBorder="1" applyProtection="1"/>
    <xf numFmtId="37" fontId="14" fillId="0" borderId="0" xfId="86" applyFont="1" applyFill="1" applyBorder="1"/>
    <xf numFmtId="168" fontId="14" fillId="0" borderId="0" xfId="56" applyNumberFormat="1" applyFont="1" applyFill="1" applyBorder="1" applyProtection="1"/>
    <xf numFmtId="37" fontId="44" fillId="0" borderId="0" xfId="87" applyNumberFormat="1" applyFont="1" applyFill="1" applyBorder="1" applyProtection="1"/>
    <xf numFmtId="37" fontId="14" fillId="0" borderId="0" xfId="86" applyFont="1" applyFill="1" applyBorder="1" applyAlignment="1">
      <alignment horizontal="left" indent="1"/>
    </xf>
    <xf numFmtId="5" fontId="44" fillId="0" borderId="13" xfId="87" applyNumberFormat="1" applyFont="1" applyFill="1" applyBorder="1" applyProtection="1"/>
    <xf numFmtId="5" fontId="43" fillId="0" borderId="13" xfId="87" applyNumberFormat="1" applyFont="1" applyFill="1" applyBorder="1" applyProtection="1"/>
    <xf numFmtId="37" fontId="11" fillId="0" borderId="0" xfId="86" applyFont="1" applyFill="1" applyBorder="1"/>
    <xf numFmtId="37" fontId="35" fillId="0" borderId="0" xfId="86" applyFont="1" applyFill="1" applyBorder="1" applyAlignment="1">
      <alignment horizontal="centerContinuous" vertical="center" wrapText="1"/>
    </xf>
    <xf numFmtId="37" fontId="13" fillId="0" borderId="0" xfId="86" applyFont="1" applyFill="1" applyBorder="1" applyAlignment="1">
      <alignment horizontal="centerContinuous" vertical="center" wrapText="1"/>
    </xf>
    <xf numFmtId="164" fontId="44" fillId="0" borderId="0" xfId="98" applyNumberFormat="1" applyFont="1" applyFill="1" applyBorder="1" applyProtection="1"/>
    <xf numFmtId="10" fontId="55" fillId="0" borderId="0" xfId="86" applyNumberFormat="1" applyFont="1" applyFill="1"/>
    <xf numFmtId="166" fontId="14" fillId="0" borderId="0" xfId="86" applyNumberFormat="1" applyFont="1" applyFill="1"/>
    <xf numFmtId="37" fontId="14" fillId="0" borderId="0" xfId="86" applyFont="1" applyFill="1" applyBorder="1" applyAlignment="1">
      <alignment horizontal="left"/>
    </xf>
    <xf numFmtId="10" fontId="44" fillId="0" borderId="11" xfId="87" applyNumberFormat="1" applyFont="1" applyFill="1" applyBorder="1" applyProtection="1"/>
    <xf numFmtId="37" fontId="46" fillId="0" borderId="0" xfId="86" applyFont="1" applyFill="1" applyBorder="1" applyAlignment="1">
      <alignment horizontal="center"/>
    </xf>
    <xf numFmtId="37" fontId="47" fillId="0" borderId="0" xfId="86" applyFont="1" applyFill="1" applyBorder="1" applyAlignment="1">
      <alignment horizontal="center" wrapText="1"/>
    </xf>
    <xf numFmtId="37" fontId="35" fillId="0" borderId="0" xfId="86" applyFont="1" applyFill="1" applyBorder="1" applyAlignment="1">
      <alignment horizontal="left" indent="1"/>
    </xf>
    <xf numFmtId="37" fontId="14" fillId="0" borderId="12" xfId="86" applyFont="1" applyFill="1" applyBorder="1"/>
    <xf numFmtId="5" fontId="43" fillId="0" borderId="12" xfId="87" applyNumberFormat="1" applyFont="1" applyFill="1" applyBorder="1" applyProtection="1"/>
    <xf numFmtId="10" fontId="14" fillId="0" borderId="0" xfId="86" applyNumberFormat="1" applyFont="1" applyFill="1"/>
    <xf numFmtId="5" fontId="55" fillId="0" borderId="0" xfId="87" applyNumberFormat="1" applyFont="1" applyFill="1" applyBorder="1" applyProtection="1"/>
    <xf numFmtId="37" fontId="14" fillId="0" borderId="0" xfId="86" applyFont="1" applyFill="1" applyBorder="1" applyAlignment="1">
      <alignment horizontal="left" indent="2"/>
    </xf>
    <xf numFmtId="5" fontId="44" fillId="0" borderId="11" xfId="87" applyNumberFormat="1" applyFont="1" applyFill="1" applyBorder="1" applyProtection="1"/>
    <xf numFmtId="37" fontId="42" fillId="0" borderId="0" xfId="86" applyFont="1" applyFill="1" applyBorder="1" applyAlignment="1">
      <alignment horizontal="center"/>
    </xf>
    <xf numFmtId="166" fontId="14" fillId="0" borderId="0" xfId="98" applyNumberFormat="1" applyFont="1" applyFill="1"/>
    <xf numFmtId="5" fontId="44" fillId="0" borderId="12" xfId="87" applyNumberFormat="1" applyFont="1" applyFill="1" applyBorder="1" applyProtection="1"/>
    <xf numFmtId="10" fontId="14" fillId="0" borderId="0" xfId="98" applyNumberFormat="1" applyFont="1" applyFill="1"/>
    <xf numFmtId="177" fontId="14" fillId="0" borderId="0" xfId="86" applyNumberFormat="1" applyFont="1" applyFill="1" applyBorder="1" applyAlignment="1">
      <alignment horizontal="left"/>
    </xf>
    <xf numFmtId="10" fontId="14" fillId="0" borderId="0" xfId="86" applyNumberFormat="1" applyFont="1" applyFill="1" applyBorder="1"/>
    <xf numFmtId="166" fontId="48" fillId="0" borderId="0" xfId="98" applyNumberFormat="1" applyFont="1" applyFill="1" applyAlignment="1">
      <alignment horizontal="center"/>
    </xf>
    <xf numFmtId="10" fontId="48" fillId="0" borderId="0" xfId="98" applyNumberFormat="1" applyFont="1" applyFill="1" applyAlignment="1">
      <alignment horizontal="center"/>
    </xf>
    <xf numFmtId="178" fontId="44" fillId="0" borderId="0" xfId="87" applyNumberFormat="1" applyFont="1" applyFill="1" applyBorder="1" applyProtection="1"/>
    <xf numFmtId="37" fontId="11" fillId="0" borderId="0" xfId="86" applyFont="1" applyFill="1" applyAlignment="1">
      <alignment horizontal="right"/>
    </xf>
    <xf numFmtId="10" fontId="43" fillId="0" borderId="0" xfId="98" applyNumberFormat="1" applyFont="1" applyFill="1" applyBorder="1" applyProtection="1"/>
    <xf numFmtId="5" fontId="14" fillId="0" borderId="12" xfId="86" applyNumberFormat="1" applyFont="1" applyFill="1" applyBorder="1"/>
    <xf numFmtId="5" fontId="14" fillId="0" borderId="0" xfId="86" applyNumberFormat="1" applyFont="1" applyFill="1" applyBorder="1"/>
    <xf numFmtId="37" fontId="49" fillId="0" borderId="0" xfId="86" applyFont="1" applyFill="1"/>
    <xf numFmtId="169" fontId="11" fillId="0" borderId="0" xfId="86" applyNumberFormat="1" applyFont="1" applyFill="1"/>
    <xf numFmtId="0" fontId="11" fillId="0" borderId="0" xfId="92" applyFont="1"/>
    <xf numFmtId="170" fontId="13" fillId="0" borderId="0" xfId="92" applyNumberFormat="1" applyFont="1" applyFill="1" applyAlignment="1">
      <alignment horizontal="left"/>
    </xf>
    <xf numFmtId="0" fontId="50" fillId="0" borderId="0" xfId="92" quotePrefix="1" applyFont="1" applyFill="1" applyAlignment="1" applyProtection="1">
      <alignment horizontal="center"/>
    </xf>
    <xf numFmtId="1" fontId="11" fillId="0" borderId="0" xfId="92" applyNumberFormat="1" applyFont="1" applyFill="1" applyAlignment="1" applyProtection="1">
      <alignment horizontal="center"/>
    </xf>
    <xf numFmtId="37" fontId="35" fillId="0" borderId="0" xfId="88" quotePrefix="1" applyFont="1" applyAlignment="1" applyProtection="1">
      <alignment horizontal="center"/>
    </xf>
    <xf numFmtId="0" fontId="13" fillId="0" borderId="0" xfId="92" applyFont="1" applyFill="1" applyAlignment="1" applyProtection="1">
      <alignment horizontal="center"/>
    </xf>
    <xf numFmtId="0" fontId="35" fillId="0" borderId="0" xfId="92" applyFont="1" applyFill="1" applyAlignment="1" applyProtection="1">
      <alignment horizontal="center"/>
    </xf>
    <xf numFmtId="0" fontId="35" fillId="0" borderId="0" xfId="92" applyFont="1" applyFill="1" applyAlignment="1">
      <alignment horizontal="center"/>
    </xf>
    <xf numFmtId="0" fontId="35" fillId="0" borderId="0" xfId="92" applyFont="1" applyFill="1" applyBorder="1" applyAlignment="1" applyProtection="1">
      <alignment horizontal="center" wrapText="1"/>
    </xf>
    <xf numFmtId="0" fontId="35" fillId="0" borderId="10" xfId="92" applyFont="1" applyFill="1" applyBorder="1" applyAlignment="1" applyProtection="1">
      <alignment horizontal="left"/>
    </xf>
    <xf numFmtId="0" fontId="35" fillId="0" borderId="10" xfId="92" applyFont="1" applyFill="1" applyBorder="1" applyAlignment="1" applyProtection="1">
      <alignment horizontal="center" wrapText="1"/>
    </xf>
    <xf numFmtId="0" fontId="35" fillId="0" borderId="10" xfId="92" applyFont="1" applyFill="1" applyBorder="1" applyAlignment="1" applyProtection="1">
      <alignment horizontal="center"/>
    </xf>
    <xf numFmtId="166" fontId="11" fillId="0" borderId="0" xfId="92" applyNumberFormat="1" applyFont="1" applyFill="1" applyAlignment="1">
      <alignment horizontal="left"/>
    </xf>
    <xf numFmtId="15" fontId="11" fillId="0" borderId="0" xfId="92" applyNumberFormat="1" applyFont="1" applyFill="1" applyAlignment="1">
      <alignment horizontal="center"/>
    </xf>
    <xf numFmtId="15" fontId="11" fillId="0" borderId="0" xfId="92" applyNumberFormat="1" applyFont="1" applyFill="1" applyAlignment="1">
      <alignment horizontal="right"/>
    </xf>
    <xf numFmtId="7" fontId="11" fillId="0" borderId="0" xfId="92" applyNumberFormat="1" applyFont="1" applyFill="1"/>
    <xf numFmtId="5" fontId="11" fillId="0" borderId="0" xfId="92" applyNumberFormat="1" applyFont="1" applyFill="1"/>
    <xf numFmtId="0" fontId="11" fillId="0" borderId="0" xfId="92" applyNumberFormat="1" applyFont="1" applyFill="1" applyAlignment="1">
      <alignment horizontal="center"/>
    </xf>
    <xf numFmtId="166" fontId="11" fillId="0" borderId="0" xfId="92" applyNumberFormat="1" applyFont="1" applyFill="1" applyAlignment="1" applyProtection="1">
      <alignment horizontal="left"/>
    </xf>
    <xf numFmtId="15" fontId="11" fillId="0" borderId="0" xfId="92" applyNumberFormat="1" applyFont="1" applyFill="1" applyAlignment="1" applyProtection="1">
      <alignment horizontal="center"/>
    </xf>
    <xf numFmtId="179" fontId="51" fillId="0" borderId="0" xfId="92" applyNumberFormat="1" applyFont="1" applyFill="1"/>
    <xf numFmtId="5" fontId="52" fillId="0" borderId="0" xfId="92" applyNumberFormat="1" applyFont="1" applyFill="1"/>
    <xf numFmtId="0" fontId="13" fillId="0" borderId="0" xfId="92" quotePrefix="1" applyFont="1" applyFill="1" applyBorder="1" applyAlignment="1" applyProtection="1">
      <alignment horizontal="left"/>
    </xf>
    <xf numFmtId="5" fontId="13" fillId="0" borderId="12" xfId="92" applyNumberFormat="1" applyFont="1" applyFill="1" applyBorder="1" applyAlignment="1" applyProtection="1">
      <alignment horizontal="right"/>
    </xf>
    <xf numFmtId="5" fontId="13" fillId="0" borderId="0" xfId="92" applyNumberFormat="1" applyFont="1" applyFill="1" applyBorder="1" applyAlignment="1" applyProtection="1">
      <alignment horizontal="right"/>
    </xf>
    <xf numFmtId="5" fontId="13" fillId="0" borderId="0" xfId="91" applyNumberFormat="1" applyFont="1" applyBorder="1" applyAlignment="1" applyProtection="1"/>
    <xf numFmtId="5" fontId="11" fillId="0" borderId="0" xfId="92" applyNumberFormat="1" applyFont="1" applyProtection="1"/>
    <xf numFmtId="10" fontId="11" fillId="0" borderId="0" xfId="97" applyNumberFormat="1" applyFont="1" applyFill="1"/>
    <xf numFmtId="0" fontId="13" fillId="0" borderId="0" xfId="92" applyFont="1" applyFill="1" applyAlignment="1" applyProtection="1">
      <alignment horizontal="left"/>
    </xf>
    <xf numFmtId="0" fontId="13" fillId="0" borderId="0" xfId="92" applyFont="1" applyAlignment="1" applyProtection="1">
      <alignment horizontal="left"/>
    </xf>
    <xf numFmtId="168" fontId="6" fillId="0" borderId="0" xfId="55" applyNumberFormat="1" applyFont="1"/>
    <xf numFmtId="168" fontId="6" fillId="0" borderId="0" xfId="55" applyNumberFormat="1" applyFont="1" applyFill="1"/>
    <xf numFmtId="168" fontId="3" fillId="0" borderId="0" xfId="55" applyNumberFormat="1" applyFont="1"/>
    <xf numFmtId="37" fontId="36" fillId="0" borderId="0" xfId="89" applyFont="1" applyAlignment="1">
      <alignment horizontal="center"/>
    </xf>
    <xf numFmtId="171" fontId="53" fillId="0" borderId="0" xfId="87" applyNumberFormat="1" applyFont="1" applyFill="1" applyProtection="1"/>
    <xf numFmtId="10" fontId="3" fillId="0" borderId="0" xfId="91" applyNumberFormat="1" applyFont="1" applyFill="1" applyBorder="1" applyAlignment="1" applyProtection="1">
      <alignment horizontal="left"/>
    </xf>
    <xf numFmtId="10" fontId="3" fillId="0" borderId="0" xfId="91" applyNumberFormat="1" applyFont="1" applyFill="1" applyBorder="1" applyAlignment="1" applyProtection="1">
      <alignment horizontal="right"/>
    </xf>
    <xf numFmtId="5" fontId="3" fillId="0" borderId="0" xfId="91" applyNumberFormat="1" applyFont="1" applyFill="1" applyBorder="1" applyAlignment="1" applyProtection="1">
      <alignment horizontal="right"/>
    </xf>
    <xf numFmtId="164" fontId="3" fillId="0" borderId="0" xfId="91" applyNumberFormat="1" applyFont="1" applyFill="1" applyBorder="1" applyAlignment="1">
      <alignment horizontal="right"/>
    </xf>
    <xf numFmtId="10" fontId="3" fillId="0" borderId="0" xfId="91" applyFont="1" applyFill="1" applyBorder="1" applyAlignment="1">
      <alignment horizontal="right"/>
    </xf>
    <xf numFmtId="5" fontId="5" fillId="0" borderId="0" xfId="91" applyNumberFormat="1" applyFont="1" applyFill="1" applyBorder="1" applyAlignment="1" applyProtection="1">
      <alignment horizontal="right"/>
    </xf>
    <xf numFmtId="10" fontId="5" fillId="0" borderId="0" xfId="91" applyNumberFormat="1" applyFont="1" applyFill="1" applyBorder="1" applyAlignment="1" applyProtection="1">
      <alignment horizontal="right"/>
    </xf>
    <xf numFmtId="5" fontId="36" fillId="0" borderId="0" xfId="91" applyNumberFormat="1" applyFont="1" applyFill="1" applyBorder="1" applyAlignment="1" applyProtection="1">
      <alignment horizontal="right"/>
    </xf>
    <xf numFmtId="5" fontId="38" fillId="0" borderId="0" xfId="91" applyNumberFormat="1" applyFont="1" applyFill="1" applyBorder="1" applyAlignment="1" applyProtection="1">
      <alignment horizontal="right"/>
    </xf>
    <xf numFmtId="164" fontId="38" fillId="0" borderId="0" xfId="91" applyNumberFormat="1" applyFont="1" applyFill="1" applyBorder="1" applyAlignment="1" applyProtection="1">
      <alignment horizontal="right"/>
    </xf>
    <xf numFmtId="10" fontId="40" fillId="0" borderId="0" xfId="91" applyFont="1" applyFill="1" applyBorder="1" applyAlignment="1">
      <alignment horizontal="right"/>
    </xf>
    <xf numFmtId="10" fontId="38" fillId="0" borderId="0" xfId="91" applyNumberFormat="1" applyFont="1" applyFill="1" applyBorder="1" applyAlignment="1" applyProtection="1">
      <alignment horizontal="right"/>
    </xf>
    <xf numFmtId="10" fontId="3" fillId="0" borderId="0" xfId="91" applyNumberFormat="1" applyFont="1" applyFill="1" applyAlignment="1" applyProtection="1"/>
    <xf numFmtId="10" fontId="3" fillId="0" borderId="10" xfId="91" applyNumberFormat="1" applyFont="1" applyFill="1" applyBorder="1" applyAlignment="1" applyProtection="1"/>
    <xf numFmtId="176" fontId="44" fillId="0" borderId="0" xfId="87" applyNumberFormat="1" applyFont="1" applyFill="1" applyBorder="1" applyProtection="1"/>
    <xf numFmtId="164" fontId="42" fillId="0" borderId="0" xfId="91" applyNumberFormat="1" applyFont="1" applyFill="1" applyAlignment="1" applyProtection="1"/>
    <xf numFmtId="176" fontId="43" fillId="0" borderId="0" xfId="87" applyNumberFormat="1" applyFont="1" applyFill="1" applyBorder="1" applyProtection="1"/>
    <xf numFmtId="166" fontId="55" fillId="0" borderId="0" xfId="98" applyNumberFormat="1" applyFont="1" applyFill="1" applyAlignment="1">
      <alignment horizontal="center"/>
    </xf>
    <xf numFmtId="10" fontId="55" fillId="0" borderId="0" xfId="98" applyNumberFormat="1" applyFont="1" applyFill="1"/>
    <xf numFmtId="43" fontId="3" fillId="0" borderId="0" xfId="55" applyFont="1"/>
    <xf numFmtId="43" fontId="3" fillId="0" borderId="0" xfId="91" applyNumberFormat="1" applyFont="1"/>
    <xf numFmtId="7" fontId="44" fillId="0" borderId="0" xfId="87" applyNumberFormat="1" applyFont="1" applyFill="1" applyBorder="1" applyProtection="1"/>
    <xf numFmtId="3" fontId="14" fillId="0" borderId="0" xfId="90" applyFont="1" applyFill="1" applyAlignment="1">
      <alignment horizontal="center"/>
    </xf>
    <xf numFmtId="37" fontId="14" fillId="0" borderId="0" xfId="89" applyFont="1" applyFill="1"/>
    <xf numFmtId="37" fontId="14" fillId="0" borderId="0" xfId="89" applyNumberFormat="1" applyFont="1" applyFill="1"/>
    <xf numFmtId="164" fontId="3" fillId="0" borderId="0" xfId="91" applyNumberFormat="1" applyFont="1" applyFill="1" applyAlignment="1" applyProtection="1"/>
    <xf numFmtId="37" fontId="14" fillId="0" borderId="0" xfId="0" applyNumberFormat="1" applyFont="1" applyFill="1" applyAlignment="1">
      <alignment horizontal="left"/>
    </xf>
    <xf numFmtId="166" fontId="14" fillId="0" borderId="0" xfId="0" applyNumberFormat="1" applyFont="1" applyFill="1" applyAlignment="1">
      <alignment horizontal="center"/>
    </xf>
    <xf numFmtId="17" fontId="14" fillId="0" borderId="0" xfId="0" applyNumberFormat="1" applyFont="1" applyFill="1" applyAlignment="1">
      <alignment horizontal="center"/>
    </xf>
    <xf numFmtId="10" fontId="14" fillId="0" borderId="0" xfId="0" applyNumberFormat="1" applyFont="1" applyFill="1" applyAlignment="1">
      <alignment horizontal="right"/>
    </xf>
    <xf numFmtId="37" fontId="14" fillId="0" borderId="0" xfId="89" applyNumberFormat="1" applyFont="1" applyFill="1" applyAlignment="1" applyProtection="1">
      <alignment horizontal="left"/>
    </xf>
    <xf numFmtId="17" fontId="14" fillId="0" borderId="0" xfId="89" applyNumberFormat="1" applyFont="1" applyFill="1" applyAlignment="1" applyProtection="1">
      <alignment horizontal="center"/>
    </xf>
    <xf numFmtId="37" fontId="35" fillId="0" borderId="0" xfId="0" applyNumberFormat="1" applyFont="1" applyFill="1"/>
    <xf numFmtId="166" fontId="14" fillId="0" borderId="0" xfId="0" applyNumberFormat="1" applyFont="1" applyFill="1"/>
    <xf numFmtId="1" fontId="14" fillId="0" borderId="0" xfId="91" applyNumberFormat="1" applyFont="1" applyBorder="1" applyAlignment="1" applyProtection="1">
      <alignment horizontal="center"/>
    </xf>
    <xf numFmtId="37" fontId="35" fillId="0" borderId="0" xfId="88" applyFont="1" applyBorder="1" applyAlignment="1" applyProtection="1">
      <alignment horizontal="center"/>
    </xf>
    <xf numFmtId="10" fontId="3" fillId="0" borderId="0" xfId="91" applyFont="1" applyFill="1" applyBorder="1"/>
    <xf numFmtId="10" fontId="5" fillId="0" borderId="0" xfId="91" applyFont="1" applyFill="1" applyBorder="1" applyAlignment="1">
      <alignment horizontal="center"/>
    </xf>
    <xf numFmtId="10" fontId="39" fillId="0" borderId="0" xfId="91" applyFont="1" applyFill="1" applyBorder="1" applyAlignment="1" applyProtection="1">
      <alignment horizontal="right"/>
    </xf>
    <xf numFmtId="10" fontId="5" fillId="0" borderId="0" xfId="91" applyFont="1" applyFill="1" applyBorder="1" applyAlignment="1" applyProtection="1">
      <alignment horizontal="center"/>
    </xf>
    <xf numFmtId="10" fontId="36" fillId="0" borderId="0" xfId="91" applyFont="1" applyFill="1" applyBorder="1" applyAlignment="1" applyProtection="1">
      <alignment horizontal="left"/>
    </xf>
    <xf numFmtId="10" fontId="36" fillId="0" borderId="0" xfId="91" applyFont="1" applyFill="1" applyBorder="1" applyAlignment="1" applyProtection="1">
      <alignment horizontal="right"/>
    </xf>
    <xf numFmtId="10" fontId="36" fillId="0" borderId="0" xfId="91" applyFont="1" applyFill="1" applyBorder="1" applyAlignment="1" applyProtection="1">
      <alignment horizontal="center"/>
    </xf>
    <xf numFmtId="10" fontId="3" fillId="0" borderId="0" xfId="91" applyFont="1" applyFill="1" applyBorder="1" applyAlignment="1" applyProtection="1">
      <alignment horizontal="left"/>
    </xf>
    <xf numFmtId="10" fontId="3" fillId="0" borderId="0" xfId="91" applyFont="1" applyFill="1" applyBorder="1" applyAlignment="1" applyProtection="1">
      <alignment horizontal="left" indent="2"/>
    </xf>
    <xf numFmtId="5" fontId="3" fillId="0" borderId="0" xfId="56" applyNumberFormat="1" applyFont="1" applyFill="1" applyBorder="1" applyAlignment="1" applyProtection="1"/>
    <xf numFmtId="10" fontId="3" fillId="0" borderId="0" xfId="91" applyFont="1" applyFill="1" applyBorder="1" applyAlignment="1" applyProtection="1">
      <alignment horizontal="right"/>
    </xf>
    <xf numFmtId="10" fontId="3" fillId="0" borderId="0" xfId="91" applyFont="1" applyFill="1" applyBorder="1" applyAlignment="1">
      <alignment horizontal="left" indent="2"/>
    </xf>
    <xf numFmtId="10" fontId="3" fillId="0" borderId="0" xfId="91" applyNumberFormat="1" applyFont="1" applyFill="1" applyBorder="1" applyAlignment="1">
      <alignment horizontal="right"/>
    </xf>
    <xf numFmtId="10" fontId="5" fillId="0" borderId="0" xfId="91" applyFont="1" applyFill="1" applyBorder="1" applyAlignment="1" applyProtection="1">
      <alignment horizontal="left" indent="1"/>
    </xf>
    <xf numFmtId="10" fontId="5" fillId="0" borderId="0" xfId="91" applyNumberFormat="1" applyFont="1" applyFill="1" applyBorder="1" applyAlignment="1">
      <alignment horizontal="right"/>
    </xf>
    <xf numFmtId="164" fontId="3" fillId="0" borderId="0" xfId="91" applyNumberFormat="1" applyFont="1" applyFill="1" applyBorder="1" applyAlignment="1" applyProtection="1">
      <alignment horizontal="right"/>
    </xf>
    <xf numFmtId="10" fontId="5" fillId="0" borderId="0" xfId="91" applyFont="1" applyFill="1" applyBorder="1" applyAlignment="1" applyProtection="1">
      <alignment horizontal="left"/>
    </xf>
    <xf numFmtId="10" fontId="36" fillId="0" borderId="0" xfId="91" applyNumberFormat="1" applyFont="1" applyFill="1" applyBorder="1" applyAlignment="1" applyProtection="1">
      <alignment horizontal="right"/>
    </xf>
    <xf numFmtId="10" fontId="3" fillId="0" borderId="0" xfId="91" applyFont="1" applyBorder="1"/>
    <xf numFmtId="10" fontId="11" fillId="0" borderId="0" xfId="91" applyFont="1" applyBorder="1" applyAlignment="1" applyProtection="1">
      <alignment horizontal="left"/>
    </xf>
    <xf numFmtId="5" fontId="3" fillId="0" borderId="0" xfId="59" applyNumberFormat="1" applyFont="1" applyBorder="1" applyAlignment="1">
      <alignment horizontal="right"/>
    </xf>
    <xf numFmtId="38" fontId="3" fillId="0" borderId="0" xfId="91" applyNumberFormat="1" applyFont="1" applyBorder="1"/>
    <xf numFmtId="10" fontId="5" fillId="0" borderId="0" xfId="91" applyFont="1" applyFill="1" applyBorder="1" applyAlignment="1" applyProtection="1">
      <alignment wrapText="1"/>
    </xf>
    <xf numFmtId="10" fontId="34" fillId="0" borderId="0" xfId="91" applyFont="1" applyAlignment="1" applyProtection="1">
      <alignment horizontal="center"/>
    </xf>
    <xf numFmtId="0" fontId="34" fillId="0" borderId="0" xfId="87" applyFont="1" applyBorder="1" applyAlignment="1" applyProtection="1">
      <alignment horizontal="center" vertical="center" wrapText="1"/>
    </xf>
    <xf numFmtId="10" fontId="5" fillId="0" borderId="14" xfId="91" applyFont="1" applyFill="1" applyBorder="1" applyAlignment="1" applyProtection="1">
      <alignment horizontal="center" wrapText="1"/>
    </xf>
    <xf numFmtId="10" fontId="5" fillId="0" borderId="11" xfId="91" applyFont="1" applyFill="1" applyBorder="1" applyAlignment="1" applyProtection="1">
      <alignment horizontal="center" wrapText="1"/>
    </xf>
    <xf numFmtId="10" fontId="5" fillId="0" borderId="15" xfId="91" applyFont="1" applyFill="1" applyBorder="1" applyAlignment="1" applyProtection="1">
      <alignment horizontal="center" wrapText="1"/>
    </xf>
    <xf numFmtId="170" fontId="5" fillId="0" borderId="0" xfId="91" applyNumberFormat="1" applyFont="1" applyBorder="1" applyAlignment="1" applyProtection="1">
      <alignment horizontal="center" vertical="center" wrapText="1"/>
    </xf>
    <xf numFmtId="170" fontId="34" fillId="0" borderId="0" xfId="91" applyNumberFormat="1" applyFont="1" applyAlignment="1" applyProtection="1">
      <alignment horizontal="center"/>
    </xf>
    <xf numFmtId="3" fontId="35" fillId="0" borderId="0" xfId="90" applyFont="1" applyAlignment="1">
      <alignment horizontal="left" wrapText="1"/>
    </xf>
    <xf numFmtId="0" fontId="5" fillId="0" borderId="0" xfId="92" quotePrefix="1" applyFont="1" applyFill="1" applyBorder="1" applyAlignment="1" applyProtection="1">
      <alignment horizontal="center" vertical="center" wrapText="1"/>
    </xf>
    <xf numFmtId="37" fontId="35" fillId="0" borderId="0" xfId="89" applyNumberFormat="1" applyFont="1" applyBorder="1" applyAlignment="1" applyProtection="1">
      <alignment horizontal="center" wrapText="1"/>
    </xf>
    <xf numFmtId="37" fontId="35" fillId="0" borderId="10" xfId="89" applyNumberFormat="1" applyFont="1" applyBorder="1" applyAlignment="1" applyProtection="1">
      <alignment horizontal="center" wrapText="1"/>
    </xf>
  </cellXfs>
  <cellStyles count="106">
    <cellStyle name="20% - Accent1" xfId="1" builtinId="30" customBuiltin="1"/>
    <cellStyle name="20% - Accent1 2" xfId="2" xr:uid="{00000000-0005-0000-0000-000001000000}"/>
    <cellStyle name="20% - Accent2" xfId="3" builtinId="34" customBuiltin="1"/>
    <cellStyle name="20% - Accent2 2" xfId="4" xr:uid="{00000000-0005-0000-0000-000003000000}"/>
    <cellStyle name="20% - Accent3" xfId="5" builtinId="38" customBuiltin="1"/>
    <cellStyle name="20% - Accent3 2" xfId="6" xr:uid="{00000000-0005-0000-0000-000005000000}"/>
    <cellStyle name="20% - Accent4" xfId="7" builtinId="42" customBuiltin="1"/>
    <cellStyle name="20% - Accent4 2" xfId="8" xr:uid="{00000000-0005-0000-0000-000007000000}"/>
    <cellStyle name="20% - Accent5" xfId="9" builtinId="46" customBuiltin="1"/>
    <cellStyle name="20% - Accent5 2" xfId="10" xr:uid="{00000000-0005-0000-0000-000009000000}"/>
    <cellStyle name="20% - Accent6" xfId="11" builtinId="50" customBuiltin="1"/>
    <cellStyle name="20% - Accent6 2" xfId="12" xr:uid="{00000000-0005-0000-0000-00000B000000}"/>
    <cellStyle name="40% - Accent1" xfId="13" builtinId="31" customBuiltin="1"/>
    <cellStyle name="40% - Accent1 2" xfId="14" xr:uid="{00000000-0005-0000-0000-00000D000000}"/>
    <cellStyle name="40% - Accent2" xfId="15" builtinId="35" customBuiltin="1"/>
    <cellStyle name="40% - Accent2 2" xfId="16" xr:uid="{00000000-0005-0000-0000-00000F000000}"/>
    <cellStyle name="40% - Accent3" xfId="17" builtinId="39" customBuiltin="1"/>
    <cellStyle name="40% - Accent3 2" xfId="18" xr:uid="{00000000-0005-0000-0000-000011000000}"/>
    <cellStyle name="40% - Accent4" xfId="19" builtinId="43" customBuiltin="1"/>
    <cellStyle name="40% - Accent4 2" xfId="20" xr:uid="{00000000-0005-0000-0000-000013000000}"/>
    <cellStyle name="40% - Accent5" xfId="21" builtinId="47" customBuiltin="1"/>
    <cellStyle name="40% - Accent5 2" xfId="22" xr:uid="{00000000-0005-0000-0000-000015000000}"/>
    <cellStyle name="40% - Accent6" xfId="23" builtinId="51" customBuiltin="1"/>
    <cellStyle name="40% - Accent6 2" xfId="24" xr:uid="{00000000-0005-0000-0000-000017000000}"/>
    <cellStyle name="60% - Accent1" xfId="25" builtinId="32" customBuiltin="1"/>
    <cellStyle name="60% - Accent1 2" xfId="26" xr:uid="{00000000-0005-0000-0000-000019000000}"/>
    <cellStyle name="60% - Accent2" xfId="27" builtinId="36" customBuiltin="1"/>
    <cellStyle name="60% - Accent2 2" xfId="28" xr:uid="{00000000-0005-0000-0000-00001B000000}"/>
    <cellStyle name="60% - Accent3" xfId="29" builtinId="40" customBuiltin="1"/>
    <cellStyle name="60% - Accent3 2" xfId="30" xr:uid="{00000000-0005-0000-0000-00001D000000}"/>
    <cellStyle name="60% - Accent4" xfId="31" builtinId="44" customBuiltin="1"/>
    <cellStyle name="60% - Accent4 2" xfId="32" xr:uid="{00000000-0005-0000-0000-00001F000000}"/>
    <cellStyle name="60% - Accent5" xfId="33" builtinId="48" customBuiltin="1"/>
    <cellStyle name="60% - Accent5 2" xfId="34" xr:uid="{00000000-0005-0000-0000-000021000000}"/>
    <cellStyle name="60% - Accent6" xfId="35" builtinId="52" customBuiltin="1"/>
    <cellStyle name="60% - Accent6 2" xfId="36" xr:uid="{00000000-0005-0000-0000-000023000000}"/>
    <cellStyle name="Accent1" xfId="37" builtinId="29" customBuiltin="1"/>
    <cellStyle name="Accent1 2" xfId="38" xr:uid="{00000000-0005-0000-0000-000025000000}"/>
    <cellStyle name="Accent2" xfId="39" builtinId="33" customBuiltin="1"/>
    <cellStyle name="Accent2 2" xfId="40" xr:uid="{00000000-0005-0000-0000-000027000000}"/>
    <cellStyle name="Accent3" xfId="41" builtinId="37" customBuiltin="1"/>
    <cellStyle name="Accent3 2" xfId="42" xr:uid="{00000000-0005-0000-0000-000029000000}"/>
    <cellStyle name="Accent4" xfId="43" builtinId="41" customBuiltin="1"/>
    <cellStyle name="Accent4 2" xfId="44" xr:uid="{00000000-0005-0000-0000-00002B000000}"/>
    <cellStyle name="Accent5" xfId="45" builtinId="45" customBuiltin="1"/>
    <cellStyle name="Accent5 2" xfId="46" xr:uid="{00000000-0005-0000-0000-00002D000000}"/>
    <cellStyle name="Accent6" xfId="47" builtinId="49" customBuiltin="1"/>
    <cellStyle name="Accent6 2" xfId="48" xr:uid="{00000000-0005-0000-0000-00002F000000}"/>
    <cellStyle name="Bad" xfId="49" builtinId="27" customBuiltin="1"/>
    <cellStyle name="Bad 2" xfId="50" xr:uid="{00000000-0005-0000-0000-000031000000}"/>
    <cellStyle name="Calculation" xfId="51" builtinId="22" customBuiltin="1"/>
    <cellStyle name="Calculation 2" xfId="52" xr:uid="{00000000-0005-0000-0000-000033000000}"/>
    <cellStyle name="Check Cell" xfId="53" builtinId="23" customBuiltin="1"/>
    <cellStyle name="Check Cell 2" xfId="54" xr:uid="{00000000-0005-0000-0000-000035000000}"/>
    <cellStyle name="Comma" xfId="55" builtinId="3"/>
    <cellStyle name="Comma 2" xfId="56" xr:uid="{00000000-0005-0000-0000-000037000000}"/>
    <cellStyle name="Comma 3" xfId="57" xr:uid="{00000000-0005-0000-0000-000038000000}"/>
    <cellStyle name="Comma0" xfId="58" xr:uid="{00000000-0005-0000-0000-000039000000}"/>
    <cellStyle name="Currency 2" xfId="59" xr:uid="{00000000-0005-0000-0000-00003A000000}"/>
    <cellStyle name="Currency 3" xfId="60" xr:uid="{00000000-0005-0000-0000-00003B000000}"/>
    <cellStyle name="Currency0" xfId="61" xr:uid="{00000000-0005-0000-0000-00003C000000}"/>
    <cellStyle name="Date" xfId="62" xr:uid="{00000000-0005-0000-0000-00003D000000}"/>
    <cellStyle name="Explanatory Text" xfId="63" builtinId="53" customBuiltin="1"/>
    <cellStyle name="Explanatory Text 2" xfId="64" xr:uid="{00000000-0005-0000-0000-00003F000000}"/>
    <cellStyle name="Good" xfId="65" builtinId="26" customBuiltin="1"/>
    <cellStyle name="Good 2" xfId="66" xr:uid="{00000000-0005-0000-0000-000041000000}"/>
    <cellStyle name="Heading 1" xfId="67" builtinId="16" customBuiltin="1"/>
    <cellStyle name="Heading 1 2" xfId="68" xr:uid="{00000000-0005-0000-0000-000043000000}"/>
    <cellStyle name="Heading 2" xfId="69" builtinId="17" customBuiltin="1"/>
    <cellStyle name="Heading 2 2" xfId="70" xr:uid="{00000000-0005-0000-0000-000045000000}"/>
    <cellStyle name="Heading 3" xfId="71" builtinId="18" customBuiltin="1"/>
    <cellStyle name="Heading 3 2" xfId="72" xr:uid="{00000000-0005-0000-0000-000047000000}"/>
    <cellStyle name="Heading 4" xfId="73" builtinId="19" customBuiltin="1"/>
    <cellStyle name="Heading 4 2" xfId="74" xr:uid="{00000000-0005-0000-0000-000049000000}"/>
    <cellStyle name="Input" xfId="75" builtinId="20" customBuiltin="1"/>
    <cellStyle name="Input 2" xfId="76" xr:uid="{00000000-0005-0000-0000-00004B000000}"/>
    <cellStyle name="Linked Cell" xfId="77" builtinId="24" customBuiltin="1"/>
    <cellStyle name="Linked Cell 2" xfId="78" xr:uid="{00000000-0005-0000-0000-00004D000000}"/>
    <cellStyle name="Lisa" xfId="79" xr:uid="{00000000-0005-0000-0000-00004E000000}"/>
    <cellStyle name="Neutral" xfId="80" builtinId="28" customBuiltin="1"/>
    <cellStyle name="Neutral 2" xfId="81" xr:uid="{00000000-0005-0000-0000-000050000000}"/>
    <cellStyle name="Normal" xfId="0" builtinId="0"/>
    <cellStyle name="Normal 2" xfId="82" xr:uid="{00000000-0005-0000-0000-000052000000}"/>
    <cellStyle name="Normal 2 2" xfId="83" xr:uid="{00000000-0005-0000-0000-000053000000}"/>
    <cellStyle name="Normal 2 2 2" xfId="84" xr:uid="{00000000-0005-0000-0000-000054000000}"/>
    <cellStyle name="Normal 2 3" xfId="85" xr:uid="{00000000-0005-0000-0000-000055000000}"/>
    <cellStyle name="Normal 3" xfId="86" xr:uid="{00000000-0005-0000-0000-000056000000}"/>
    <cellStyle name="Normal_AMACAPST" xfId="87" xr:uid="{00000000-0005-0000-0000-000057000000}"/>
    <cellStyle name="Normal_COSTOF" xfId="88" xr:uid="{00000000-0005-0000-0000-000058000000}"/>
    <cellStyle name="Normal_COSTOFD" xfId="89" xr:uid="{00000000-0005-0000-0000-000059000000}"/>
    <cellStyle name="Normal_Psebonds" xfId="90" xr:uid="{00000000-0005-0000-0000-00005A000000}"/>
    <cellStyle name="Normal_RATEOFRE" xfId="91" xr:uid="{00000000-0005-0000-0000-00005B000000}"/>
    <cellStyle name="Normal_SCHEDULE" xfId="92" xr:uid="{00000000-0005-0000-0000-00005C000000}"/>
    <cellStyle name="Note" xfId="93" builtinId="10" customBuiltin="1"/>
    <cellStyle name="Note 2" xfId="94" xr:uid="{00000000-0005-0000-0000-00005E000000}"/>
    <cellStyle name="Output" xfId="95" builtinId="21" customBuiltin="1"/>
    <cellStyle name="Output 2" xfId="96" xr:uid="{00000000-0005-0000-0000-000060000000}"/>
    <cellStyle name="Percent" xfId="97" builtinId="5"/>
    <cellStyle name="Percent 2" xfId="98" xr:uid="{00000000-0005-0000-0000-000062000000}"/>
    <cellStyle name="Percent 3" xfId="99" xr:uid="{00000000-0005-0000-0000-000063000000}"/>
    <cellStyle name="Title" xfId="100" builtinId="15" customBuiltin="1"/>
    <cellStyle name="Title 2" xfId="101" xr:uid="{00000000-0005-0000-0000-000065000000}"/>
    <cellStyle name="Total" xfId="102" builtinId="25" customBuiltin="1"/>
    <cellStyle name="Total 2" xfId="103" xr:uid="{00000000-0005-0000-0000-000067000000}"/>
    <cellStyle name="Warning Text" xfId="104" builtinId="11" customBuiltin="1"/>
    <cellStyle name="Warning Text 2" xfId="105" xr:uid="{00000000-0005-0000-0000-00006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uzmj/AppData/Local/Temp/Workshare/c1ebyey3.gch/11/Keith/COC%20DEC%2000%20Company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uzmj/AppData/Local/Temp/Workshare/c1ebyey3.gch/11/Cost%20of%20Capital/Cost%20of%20Capital/COC%20Mar%2099/CocJun98/COC%20DEC%2097/AFUDC%20Dec%209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uzmj/AppData/Local/Temp/Workshare/c1ebyey3.gch/11/Users/kuzmj/Documents/Opened_From_Outlook/Capital%20Structure%20-%20Test%20Yea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TL CST DEBT! "/>
      <sheetName val="CST Reaquired LTD! "/>
      <sheetName val="MISC LTD!"/>
      <sheetName val="CST STD!"/>
      <sheetName val="CST PRFRD!"/>
      <sheetName val="CST Reaquired PRFD STK!"/>
      <sheetName val="Cost of Cap."/>
      <sheetName val="CAP STRC CALC!"/>
      <sheetName val="Capitalization Rate"/>
      <sheetName val="AFUDC Summary Sheet"/>
      <sheetName val="LTD AFUDC "/>
      <sheetName val="COMMON EQUITY AFUDC "/>
      <sheetName val="AFUDC LTD"/>
      <sheetName val="FERC FORM 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NDRATE"/>
      <sheetName val="CST Reaquired LTD!"/>
      <sheetName val="Cost of Notes"/>
      <sheetName val="Cst Prfd"/>
      <sheetName val="STD Cost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arison"/>
      <sheetName val="New Format"/>
      <sheetName val="Pg 2 CapStructure"/>
      <sheetName val="Pg 3 STD Cost Rate"/>
      <sheetName val="Pg 4 STD OS &amp; Comm Fees"/>
      <sheetName val="Pg 5 STD Amort"/>
      <sheetName val="Pg 6 LTD Cost "/>
      <sheetName val="Pg 7 Reacquired Debt"/>
      <sheetName val="Interest Only LTD Cost"/>
      <sheetName val="BS-Unamortized"/>
      <sheetName val="FERC Rpt"/>
      <sheetName val="Appendix --&gt;"/>
      <sheetName val="Sheet1"/>
      <sheetName val="A1  CofCap-PreMerger Costs"/>
      <sheetName val="A2  STD Cost Rate-Prior Fac"/>
      <sheetName val="A3  STD Int &amp; Fees-Prior Fac"/>
      <sheetName val="A4  STD Amort-Prior Fac"/>
      <sheetName val="FERC Presentation"/>
    </sheetNames>
    <sheetDataSet>
      <sheetData sheetId="0"/>
      <sheetData sheetId="1"/>
      <sheetData sheetId="2"/>
      <sheetData sheetId="3"/>
      <sheetData sheetId="4"/>
      <sheetData sheetId="5">
        <row r="15">
          <cell r="E15">
            <v>-10211.44</v>
          </cell>
        </row>
      </sheetData>
      <sheetData sheetId="6">
        <row r="24">
          <cell r="C24">
            <v>4.2229999999999997E-2</v>
          </cell>
          <cell r="D24">
            <v>43265</v>
          </cell>
          <cell r="E24">
            <v>54224</v>
          </cell>
          <cell r="G24">
            <v>98.886799999999994</v>
          </cell>
          <cell r="V24">
            <v>600000000</v>
          </cell>
        </row>
      </sheetData>
      <sheetData sheetId="7">
        <row r="29">
          <cell r="I29">
            <v>75166.02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J45"/>
  <sheetViews>
    <sheetView zoomScaleNormal="100" workbookViewId="0">
      <selection activeCell="D7" sqref="D7"/>
    </sheetView>
  </sheetViews>
  <sheetFormatPr defaultColWidth="11.42578125" defaultRowHeight="13.2"/>
  <cols>
    <col min="1" max="1" width="3.7109375" style="1" customWidth="1"/>
    <col min="2" max="2" width="52.140625" style="1" bestFit="1" customWidth="1"/>
    <col min="3" max="3" width="18.140625" style="1" customWidth="1"/>
    <col min="4" max="4" width="13.42578125" style="1" customWidth="1"/>
    <col min="5" max="5" width="13.140625" style="1" customWidth="1"/>
    <col min="6" max="6" width="13.42578125" style="1" customWidth="1"/>
    <col min="7" max="7" width="11.42578125" style="1" customWidth="1"/>
    <col min="8" max="8" width="13.7109375" style="1" customWidth="1"/>
    <col min="9" max="9" width="11.140625" style="1" customWidth="1"/>
    <col min="10" max="16384" width="11.42578125" style="1"/>
  </cols>
  <sheetData>
    <row r="1" spans="1:8" ht="15.6" customHeight="1">
      <c r="A1" s="264" t="s">
        <v>75</v>
      </c>
      <c r="B1" s="264"/>
      <c r="C1" s="264"/>
      <c r="D1" s="264"/>
      <c r="E1" s="264"/>
      <c r="F1" s="264"/>
    </row>
    <row r="2" spans="1:8">
      <c r="A2" s="46"/>
      <c r="B2" s="2"/>
      <c r="C2" s="2"/>
      <c r="D2" s="2"/>
      <c r="E2" s="2"/>
      <c r="F2" s="2"/>
    </row>
    <row r="3" spans="1:8" ht="15.6">
      <c r="A3" s="263" t="s">
        <v>2</v>
      </c>
      <c r="B3" s="263"/>
      <c r="C3" s="263"/>
      <c r="D3" s="263"/>
      <c r="E3" s="263"/>
      <c r="F3" s="263"/>
    </row>
    <row r="4" spans="1:8" ht="15.6" customHeight="1">
      <c r="A4" s="269" t="s">
        <v>119</v>
      </c>
      <c r="B4" s="269"/>
      <c r="C4" s="269"/>
      <c r="D4" s="269"/>
      <c r="E4" s="269"/>
      <c r="F4" s="269"/>
      <c r="H4" s="37"/>
    </row>
    <row r="5" spans="1:8" ht="17.399999999999999" customHeight="1">
      <c r="A5" s="268" t="s">
        <v>138</v>
      </c>
      <c r="B5" s="268"/>
      <c r="C5" s="268"/>
      <c r="D5" s="268"/>
      <c r="E5" s="268"/>
      <c r="F5" s="268"/>
      <c r="H5" s="37"/>
    </row>
    <row r="6" spans="1:8">
      <c r="A6" s="3"/>
      <c r="C6" s="4"/>
      <c r="H6" s="37"/>
    </row>
    <row r="7" spans="1:8">
      <c r="A7" s="3"/>
      <c r="H7" s="37"/>
    </row>
    <row r="8" spans="1:8">
      <c r="A8" s="47">
        <v>1</v>
      </c>
      <c r="B8" s="48" t="s">
        <v>1</v>
      </c>
      <c r="C8" s="48" t="s">
        <v>16</v>
      </c>
      <c r="D8" s="48" t="s">
        <v>26</v>
      </c>
      <c r="E8" s="48" t="s">
        <v>28</v>
      </c>
      <c r="F8" s="48" t="s">
        <v>29</v>
      </c>
      <c r="H8" s="37"/>
    </row>
    <row r="9" spans="1:8">
      <c r="A9" s="47">
        <f>A8+1</f>
        <v>2</v>
      </c>
      <c r="B9" s="265" t="s">
        <v>120</v>
      </c>
      <c r="C9" s="266"/>
      <c r="D9" s="266"/>
      <c r="E9" s="266"/>
      <c r="F9" s="267"/>
      <c r="H9" s="37"/>
    </row>
    <row r="10" spans="1:8">
      <c r="A10" s="47">
        <f>A9+1</f>
        <v>3</v>
      </c>
      <c r="B10" s="49"/>
      <c r="C10" s="49"/>
      <c r="D10" s="49"/>
      <c r="E10" s="49"/>
      <c r="F10" s="49"/>
      <c r="H10" s="37"/>
    </row>
    <row r="11" spans="1:8">
      <c r="A11" s="47">
        <f>A10+1</f>
        <v>4</v>
      </c>
      <c r="B11" s="48"/>
      <c r="C11" s="48"/>
      <c r="D11" s="50"/>
      <c r="E11" s="51" t="s">
        <v>6</v>
      </c>
      <c r="F11" s="51" t="s">
        <v>3</v>
      </c>
      <c r="H11" s="37"/>
    </row>
    <row r="12" spans="1:8">
      <c r="A12" s="47">
        <f t="shared" ref="A12:A23" si="0">A11+1</f>
        <v>5</v>
      </c>
      <c r="B12" s="52" t="s">
        <v>4</v>
      </c>
      <c r="C12" s="53"/>
      <c r="D12" s="53" t="s">
        <v>5</v>
      </c>
      <c r="E12" s="53" t="s">
        <v>113</v>
      </c>
      <c r="F12" s="53" t="s">
        <v>7</v>
      </c>
      <c r="H12" s="37"/>
    </row>
    <row r="13" spans="1:8">
      <c r="A13" s="47">
        <f t="shared" si="0"/>
        <v>6</v>
      </c>
      <c r="B13" s="54"/>
      <c r="C13" s="48"/>
      <c r="D13" s="48"/>
      <c r="E13" s="48"/>
      <c r="F13" s="48"/>
      <c r="H13" s="37"/>
    </row>
    <row r="14" spans="1:8">
      <c r="A14" s="47">
        <f t="shared" si="0"/>
        <v>7</v>
      </c>
      <c r="B14" s="55" t="s">
        <v>130</v>
      </c>
      <c r="C14" s="48"/>
      <c r="D14" s="229">
        <v>2.3199999999999998E-2</v>
      </c>
      <c r="E14" s="216">
        <f>'Pg 2 Cost of Total Debt'!G33</f>
        <v>4.1799999999999997E-2</v>
      </c>
      <c r="F14" s="57">
        <f>ROUND(D14*E14,4)</f>
        <v>1E-3</v>
      </c>
      <c r="H14" s="37"/>
    </row>
    <row r="15" spans="1:8">
      <c r="A15" s="47">
        <f t="shared" si="0"/>
        <v>8</v>
      </c>
      <c r="B15" s="58" t="s">
        <v>27</v>
      </c>
      <c r="C15" s="48"/>
      <c r="D15" s="56"/>
      <c r="E15" s="57"/>
      <c r="F15" s="216">
        <f>'Pg 3 STD Int &amp; Fees-Details'!P47</f>
        <v>2.0000000000000001E-4</v>
      </c>
      <c r="H15" s="37"/>
    </row>
    <row r="16" spans="1:8">
      <c r="A16" s="47">
        <f t="shared" si="0"/>
        <v>9</v>
      </c>
      <c r="B16" s="59" t="s">
        <v>108</v>
      </c>
      <c r="C16" s="60"/>
      <c r="D16" s="61"/>
      <c r="E16" s="62"/>
      <c r="F16" s="217">
        <f>'Pg 3 STD Int &amp; Fees-Details'!P59</f>
        <v>1E-4</v>
      </c>
      <c r="H16" s="37"/>
    </row>
    <row r="17" spans="1:8">
      <c r="A17" s="47">
        <f t="shared" si="0"/>
        <v>10</v>
      </c>
      <c r="B17" s="63" t="s">
        <v>129</v>
      </c>
      <c r="C17" s="48"/>
      <c r="D17" s="56"/>
      <c r="E17" s="57"/>
      <c r="F17" s="64">
        <f>SUM(F14:F16)</f>
        <v>1.3000000000000002E-3</v>
      </c>
      <c r="H17" s="37"/>
    </row>
    <row r="18" spans="1:8">
      <c r="A18" s="47">
        <f t="shared" si="0"/>
        <v>11</v>
      </c>
      <c r="B18" s="55" t="s">
        <v>131</v>
      </c>
      <c r="C18" s="65"/>
      <c r="D18" s="56">
        <f>D23-D22-D14</f>
        <v>0.49180000000000001</v>
      </c>
      <c r="E18" s="216">
        <f>'Pg 2 Cost of Total Debt'!G31</f>
        <v>5.5099857793091497E-2</v>
      </c>
      <c r="F18" s="216">
        <f>ROUND(D18*E18,4)</f>
        <v>2.7099999999999999E-2</v>
      </c>
      <c r="H18" s="37"/>
    </row>
    <row r="19" spans="1:8">
      <c r="A19" s="47">
        <f t="shared" si="0"/>
        <v>12</v>
      </c>
      <c r="B19" s="59" t="s">
        <v>109</v>
      </c>
      <c r="C19" s="60"/>
      <c r="D19" s="61"/>
      <c r="E19" s="62"/>
      <c r="F19" s="217">
        <f>'Pg 4 Reacquired Debt'!K33</f>
        <v>2.9999999999999997E-4</v>
      </c>
      <c r="H19" s="37"/>
    </row>
    <row r="20" spans="1:8">
      <c r="A20" s="47">
        <f t="shared" si="0"/>
        <v>13</v>
      </c>
      <c r="B20" s="66" t="s">
        <v>132</v>
      </c>
      <c r="C20" s="67"/>
      <c r="D20" s="68"/>
      <c r="E20" s="69"/>
      <c r="F20" s="70">
        <f>F18+F19</f>
        <v>2.7400000000000001E-2</v>
      </c>
      <c r="H20" s="37"/>
    </row>
    <row r="21" spans="1:8">
      <c r="A21" s="47">
        <f t="shared" si="0"/>
        <v>14</v>
      </c>
      <c r="B21" s="71" t="s">
        <v>110</v>
      </c>
      <c r="C21" s="48"/>
      <c r="D21" s="72">
        <f>D14+D18</f>
        <v>0.51500000000000001</v>
      </c>
      <c r="E21" s="57"/>
      <c r="F21" s="64">
        <f>F17+F20</f>
        <v>2.87E-2</v>
      </c>
      <c r="H21" s="37"/>
    </row>
    <row r="22" spans="1:8">
      <c r="A22" s="47">
        <f t="shared" si="0"/>
        <v>15</v>
      </c>
      <c r="B22" s="71" t="s">
        <v>111</v>
      </c>
      <c r="C22" s="48"/>
      <c r="D22" s="73">
        <v>0.48499999999999999</v>
      </c>
      <c r="E22" s="74">
        <v>9.7000000000000003E-2</v>
      </c>
      <c r="F22" s="75">
        <f>ROUND(D22*E22,4)</f>
        <v>4.7E-2</v>
      </c>
      <c r="H22" s="37"/>
    </row>
    <row r="23" spans="1:8">
      <c r="A23" s="47">
        <f t="shared" si="0"/>
        <v>16</v>
      </c>
      <c r="B23" s="71" t="s">
        <v>112</v>
      </c>
      <c r="C23" s="76"/>
      <c r="D23" s="77">
        <v>1</v>
      </c>
      <c r="E23" s="57"/>
      <c r="F23" s="78">
        <f>F21+F22</f>
        <v>7.5700000000000003E-2</v>
      </c>
      <c r="H23" s="37"/>
    </row>
    <row r="24" spans="1:8">
      <c r="A24" s="238"/>
      <c r="B24" s="239"/>
      <c r="C24" s="239"/>
      <c r="D24" s="239"/>
      <c r="E24" s="239"/>
      <c r="F24" s="239"/>
      <c r="H24" s="37"/>
    </row>
    <row r="25" spans="1:8">
      <c r="A25" s="238"/>
      <c r="B25" s="239"/>
      <c r="C25" s="239"/>
      <c r="D25" s="239"/>
      <c r="E25" s="239"/>
      <c r="F25" s="239"/>
      <c r="H25" s="37"/>
    </row>
    <row r="26" spans="1:8">
      <c r="A26" s="238"/>
      <c r="B26" s="262"/>
      <c r="C26" s="262"/>
      <c r="D26" s="262"/>
      <c r="E26" s="262"/>
      <c r="F26" s="262"/>
      <c r="H26" s="37"/>
    </row>
    <row r="27" spans="1:8">
      <c r="A27" s="238"/>
      <c r="B27" s="240"/>
      <c r="C27" s="240"/>
      <c r="D27" s="240"/>
      <c r="E27" s="240"/>
      <c r="F27" s="240"/>
      <c r="G27" s="79"/>
    </row>
    <row r="28" spans="1:8">
      <c r="A28" s="238"/>
      <c r="B28" s="241"/>
      <c r="C28" s="242"/>
      <c r="D28" s="241"/>
      <c r="E28" s="243"/>
      <c r="F28" s="243"/>
      <c r="G28" s="79"/>
    </row>
    <row r="29" spans="1:8">
      <c r="A29" s="238"/>
      <c r="B29" s="244"/>
      <c r="C29" s="245"/>
      <c r="D29" s="246"/>
      <c r="E29" s="246"/>
      <c r="F29" s="246"/>
      <c r="G29" s="79"/>
    </row>
    <row r="30" spans="1:8">
      <c r="A30" s="238"/>
      <c r="B30" s="247"/>
      <c r="C30" s="247"/>
      <c r="D30" s="204"/>
      <c r="E30" s="247"/>
      <c r="F30" s="204"/>
      <c r="G30" s="79"/>
    </row>
    <row r="31" spans="1:8">
      <c r="A31" s="238"/>
      <c r="B31" s="248"/>
      <c r="C31" s="249"/>
      <c r="D31" s="205"/>
      <c r="E31" s="250"/>
      <c r="F31" s="205"/>
      <c r="G31" s="79"/>
      <c r="H31" s="45"/>
    </row>
    <row r="32" spans="1:8">
      <c r="A32" s="238"/>
      <c r="B32" s="251"/>
      <c r="C32" s="206"/>
      <c r="D32" s="207"/>
      <c r="E32" s="208"/>
      <c r="F32" s="252"/>
      <c r="G32" s="79"/>
    </row>
    <row r="33" spans="1:10">
      <c r="A33" s="238"/>
      <c r="B33" s="251"/>
      <c r="C33" s="206"/>
      <c r="D33" s="207"/>
      <c r="E33" s="208"/>
      <c r="F33" s="252"/>
      <c r="G33" s="79"/>
    </row>
    <row r="34" spans="1:10">
      <c r="A34" s="238"/>
      <c r="B34" s="253"/>
      <c r="C34" s="206"/>
      <c r="D34" s="207"/>
      <c r="E34" s="208"/>
      <c r="F34" s="254"/>
      <c r="G34" s="79"/>
    </row>
    <row r="35" spans="1:10">
      <c r="A35" s="238"/>
      <c r="B35" s="248"/>
      <c r="C35" s="206"/>
      <c r="D35" s="205"/>
      <c r="E35" s="250"/>
      <c r="F35" s="205"/>
      <c r="G35" s="79"/>
      <c r="H35" s="45"/>
    </row>
    <row r="36" spans="1:10">
      <c r="A36" s="238"/>
      <c r="B36" s="251"/>
      <c r="C36" s="206"/>
      <c r="D36" s="207"/>
      <c r="E36" s="208"/>
      <c r="F36" s="252"/>
      <c r="G36" s="79"/>
      <c r="H36" s="223"/>
      <c r="I36" s="223"/>
      <c r="J36" s="224"/>
    </row>
    <row r="37" spans="1:10">
      <c r="A37" s="238"/>
      <c r="B37" s="253"/>
      <c r="C37" s="206"/>
      <c r="D37" s="255"/>
      <c r="E37" s="250"/>
      <c r="F37" s="210"/>
      <c r="G37" s="79"/>
    </row>
    <row r="38" spans="1:10">
      <c r="A38" s="238"/>
      <c r="B38" s="256"/>
      <c r="C38" s="209"/>
      <c r="D38" s="210"/>
      <c r="E38" s="250"/>
      <c r="F38" s="210"/>
      <c r="G38" s="79"/>
      <c r="H38" s="45"/>
      <c r="I38" s="44"/>
    </row>
    <row r="39" spans="1:10">
      <c r="A39" s="238"/>
      <c r="B39" s="256"/>
      <c r="C39" s="211"/>
      <c r="D39" s="257"/>
      <c r="E39" s="74"/>
      <c r="F39" s="257"/>
      <c r="G39" s="79"/>
      <c r="H39" s="45"/>
      <c r="I39" s="44"/>
    </row>
    <row r="40" spans="1:10">
      <c r="A40" s="238"/>
      <c r="B40" s="256"/>
      <c r="C40" s="212"/>
      <c r="D40" s="213"/>
      <c r="E40" s="214"/>
      <c r="F40" s="215"/>
      <c r="G40" s="79"/>
      <c r="H40" s="43"/>
    </row>
    <row r="41" spans="1:10">
      <c r="A41" s="238"/>
      <c r="B41" s="258"/>
      <c r="C41" s="81"/>
      <c r="D41" s="82"/>
      <c r="E41" s="80"/>
      <c r="F41" s="82"/>
      <c r="G41" s="79"/>
    </row>
    <row r="42" spans="1:10">
      <c r="A42" s="238"/>
      <c r="B42" s="259"/>
      <c r="C42" s="260"/>
      <c r="D42" s="258"/>
      <c r="E42" s="261"/>
      <c r="F42" s="261"/>
    </row>
    <row r="43" spans="1:10">
      <c r="D43" s="6"/>
    </row>
    <row r="44" spans="1:10">
      <c r="C44" s="5"/>
      <c r="D44" s="6"/>
    </row>
    <row r="45" spans="1:10">
      <c r="D45" s="7"/>
    </row>
  </sheetData>
  <mergeCells count="5">
    <mergeCell ref="A3:F3"/>
    <mergeCell ref="A1:F1"/>
    <mergeCell ref="B9:F9"/>
    <mergeCell ref="A5:F5"/>
    <mergeCell ref="A4:F4"/>
  </mergeCells>
  <phoneticPr fontId="12" type="noConversion"/>
  <printOptions horizontalCentered="1"/>
  <pageMargins left="0.5" right="0.5" top="1" bottom="1" header="0.5" footer="0.5"/>
  <pageSetup scale="92" orientation="portrait" r:id="rId1"/>
  <headerFooter scaleWithDoc="0" alignWithMargins="0">
    <oddFooter>&amp;R&amp;"Times New Roman,Regular"&amp;12Exh. MDM-9
Page 1 of 4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pageSetUpPr fitToPage="1"/>
  </sheetPr>
  <dimension ref="A1:AM67"/>
  <sheetViews>
    <sheetView view="pageBreakPreview" zoomScale="110" zoomScaleNormal="110" zoomScaleSheetLayoutView="110" workbookViewId="0">
      <selection activeCell="W29" sqref="W29"/>
    </sheetView>
  </sheetViews>
  <sheetFormatPr defaultColWidth="8.7109375" defaultRowHeight="13.2"/>
  <cols>
    <col min="1" max="1" width="5.7109375" style="10" bestFit="1" customWidth="1"/>
    <col min="2" max="2" width="11.140625" style="8" customWidth="1"/>
    <col min="3" max="6" width="10.42578125" style="8" customWidth="1"/>
    <col min="7" max="7" width="10.42578125" style="11" customWidth="1"/>
    <col min="8" max="8" width="17.42578125" style="8" customWidth="1"/>
    <col min="9" max="9" width="14.7109375" style="8" customWidth="1"/>
    <col min="10" max="10" width="11.140625" style="8" customWidth="1"/>
    <col min="11" max="12" width="6" style="8" customWidth="1"/>
    <col min="13" max="16384" width="8.7109375" style="8"/>
  </cols>
  <sheetData>
    <row r="1" spans="1:11">
      <c r="A1" s="271" t="s">
        <v>75</v>
      </c>
      <c r="B1" s="271"/>
      <c r="C1" s="271"/>
      <c r="D1" s="271"/>
      <c r="E1" s="271"/>
      <c r="F1" s="271"/>
      <c r="G1" s="271"/>
      <c r="H1" s="271"/>
      <c r="I1" s="271"/>
      <c r="J1" s="83"/>
    </row>
    <row r="2" spans="1:11" s="30" customFormat="1">
      <c r="A2" s="271" t="s">
        <v>125</v>
      </c>
      <c r="B2" s="271"/>
      <c r="C2" s="271"/>
      <c r="D2" s="271"/>
      <c r="E2" s="271"/>
      <c r="F2" s="271"/>
      <c r="G2" s="271"/>
      <c r="H2" s="271"/>
      <c r="I2" s="271"/>
      <c r="J2" s="83"/>
    </row>
    <row r="3" spans="1:11" s="30" customFormat="1">
      <c r="A3" s="271" t="s">
        <v>139</v>
      </c>
      <c r="B3" s="271"/>
      <c r="C3" s="271"/>
      <c r="D3" s="271"/>
      <c r="E3" s="271"/>
      <c r="F3" s="271"/>
      <c r="G3" s="271"/>
      <c r="H3" s="271"/>
      <c r="I3" s="271"/>
      <c r="J3" s="83"/>
    </row>
    <row r="4" spans="1:11" ht="11.1" customHeight="1">
      <c r="A4" s="8"/>
      <c r="G4" s="8"/>
    </row>
    <row r="5" spans="1:11" ht="11.1" customHeight="1">
      <c r="A5" s="84">
        <v>1</v>
      </c>
      <c r="B5" s="85" t="s">
        <v>1</v>
      </c>
      <c r="C5" s="85" t="s">
        <v>16</v>
      </c>
      <c r="D5" s="85" t="s">
        <v>26</v>
      </c>
      <c r="E5" s="85" t="s">
        <v>28</v>
      </c>
      <c r="F5" s="85" t="s">
        <v>29</v>
      </c>
      <c r="G5" s="85" t="s">
        <v>30</v>
      </c>
      <c r="H5" s="85" t="s">
        <v>31</v>
      </c>
      <c r="I5" s="85" t="s">
        <v>32</v>
      </c>
    </row>
    <row r="6" spans="1:11" ht="11.1" customHeight="1">
      <c r="A6" s="84">
        <f>A5+1</f>
        <v>2</v>
      </c>
      <c r="B6" s="85"/>
      <c r="C6" s="85"/>
      <c r="D6" s="85"/>
      <c r="E6" s="85"/>
      <c r="F6" s="272" t="s">
        <v>118</v>
      </c>
      <c r="G6" s="86"/>
      <c r="H6" s="86"/>
      <c r="I6" s="272" t="s">
        <v>128</v>
      </c>
    </row>
    <row r="7" spans="1:11" ht="11.1" customHeight="1">
      <c r="A7" s="84">
        <f t="shared" ref="A7:A25" si="0">A6+1</f>
        <v>3</v>
      </c>
      <c r="B7" s="85"/>
      <c r="C7" s="85"/>
      <c r="D7" s="85"/>
      <c r="E7" s="85"/>
      <c r="F7" s="272"/>
      <c r="G7" s="86"/>
      <c r="H7" s="86"/>
      <c r="I7" s="272"/>
    </row>
    <row r="8" spans="1:11" ht="11.1" customHeight="1">
      <c r="A8" s="84">
        <f t="shared" si="0"/>
        <v>4</v>
      </c>
      <c r="B8" s="85"/>
      <c r="C8" s="87" t="s">
        <v>19</v>
      </c>
      <c r="D8" s="87" t="s">
        <v>8</v>
      </c>
      <c r="E8" s="88" t="s">
        <v>46</v>
      </c>
      <c r="F8" s="272"/>
      <c r="G8" s="272" t="s">
        <v>42</v>
      </c>
      <c r="H8" s="272" t="s">
        <v>124</v>
      </c>
      <c r="I8" s="272"/>
      <c r="J8" s="202"/>
    </row>
    <row r="9" spans="1:11" ht="10.199999999999999" customHeight="1">
      <c r="A9" s="84">
        <f t="shared" si="0"/>
        <v>5</v>
      </c>
      <c r="B9" s="89" t="s">
        <v>117</v>
      </c>
      <c r="C9" s="90" t="s">
        <v>10</v>
      </c>
      <c r="D9" s="89" t="s">
        <v>47</v>
      </c>
      <c r="E9" s="89" t="s">
        <v>47</v>
      </c>
      <c r="F9" s="273"/>
      <c r="G9" s="273"/>
      <c r="H9" s="273" t="s">
        <v>41</v>
      </c>
      <c r="I9" s="273"/>
    </row>
    <row r="10" spans="1:11" s="12" customFormat="1">
      <c r="A10" s="84">
        <f t="shared" si="0"/>
        <v>6</v>
      </c>
      <c r="B10" s="230" t="s">
        <v>11</v>
      </c>
      <c r="C10" s="231">
        <v>6.7400000000000002E-2</v>
      </c>
      <c r="D10" s="232">
        <v>35961</v>
      </c>
      <c r="E10" s="232">
        <v>43266</v>
      </c>
      <c r="F10" s="92">
        <v>98.98509159000001</v>
      </c>
      <c r="G10" s="233">
        <f t="shared" ref="G10:G26" si="1">ROUND(YIELD(D10,E10,C10,F10,100,2,2),4)</f>
        <v>6.83E-2</v>
      </c>
      <c r="H10" s="93"/>
      <c r="I10" s="93"/>
      <c r="J10" s="203" t="s">
        <v>140</v>
      </c>
      <c r="K10" s="199"/>
    </row>
    <row r="11" spans="1:11" s="13" customFormat="1">
      <c r="A11" s="84">
        <f t="shared" si="0"/>
        <v>7</v>
      </c>
      <c r="B11" s="230" t="s">
        <v>13</v>
      </c>
      <c r="C11" s="231">
        <v>7.1499999999999994E-2</v>
      </c>
      <c r="D11" s="232">
        <v>35053</v>
      </c>
      <c r="E11" s="232">
        <v>46010</v>
      </c>
      <c r="F11" s="92">
        <v>99.211911999999998</v>
      </c>
      <c r="G11" s="233">
        <f>ROUND(YIELD(D11,E11,C11,F11,100,2,2),4)</f>
        <v>7.2099999999999997E-2</v>
      </c>
      <c r="H11" s="93">
        <f>I11*G11</f>
        <v>1081500</v>
      </c>
      <c r="I11" s="93">
        <v>15000000</v>
      </c>
      <c r="J11" s="93"/>
      <c r="K11" s="200"/>
    </row>
    <row r="12" spans="1:11" s="13" customFormat="1">
      <c r="A12" s="84">
        <f t="shared" si="0"/>
        <v>8</v>
      </c>
      <c r="B12" s="230" t="s">
        <v>13</v>
      </c>
      <c r="C12" s="231">
        <v>7.1999999999999995E-2</v>
      </c>
      <c r="D12" s="232">
        <v>35054</v>
      </c>
      <c r="E12" s="232">
        <v>46013</v>
      </c>
      <c r="F12" s="92">
        <v>99.211600000000004</v>
      </c>
      <c r="G12" s="233">
        <f t="shared" si="1"/>
        <v>7.2599999999999998E-2</v>
      </c>
      <c r="H12" s="93">
        <f t="shared" ref="H12:H26" si="2">I12*G12</f>
        <v>145200</v>
      </c>
      <c r="I12" s="93">
        <v>2000000</v>
      </c>
      <c r="J12" s="93"/>
      <c r="K12" s="200"/>
    </row>
    <row r="13" spans="1:11" s="13" customFormat="1">
      <c r="A13" s="84">
        <f t="shared" si="0"/>
        <v>9</v>
      </c>
      <c r="B13" s="230" t="s">
        <v>11</v>
      </c>
      <c r="C13" s="231">
        <v>7.0199999999999999E-2</v>
      </c>
      <c r="D13" s="232">
        <v>35786</v>
      </c>
      <c r="E13" s="232">
        <v>46722</v>
      </c>
      <c r="F13" s="92">
        <v>98.985735776666658</v>
      </c>
      <c r="G13" s="233">
        <f t="shared" si="1"/>
        <v>7.0999999999999994E-2</v>
      </c>
      <c r="H13" s="93">
        <f t="shared" si="2"/>
        <v>21299999.999999996</v>
      </c>
      <c r="I13" s="93">
        <v>300000000</v>
      </c>
      <c r="J13" s="93"/>
      <c r="K13" s="200"/>
    </row>
    <row r="14" spans="1:11">
      <c r="A14" s="84">
        <f t="shared" si="0"/>
        <v>10</v>
      </c>
      <c r="B14" s="230" t="s">
        <v>12</v>
      </c>
      <c r="C14" s="231">
        <v>7.0000000000000007E-2</v>
      </c>
      <c r="D14" s="232">
        <v>36228</v>
      </c>
      <c r="E14" s="232">
        <v>47186</v>
      </c>
      <c r="F14" s="92">
        <v>99.042870549999989</v>
      </c>
      <c r="G14" s="233">
        <f t="shared" si="1"/>
        <v>7.0800000000000002E-2</v>
      </c>
      <c r="H14" s="93">
        <f t="shared" si="2"/>
        <v>7080000</v>
      </c>
      <c r="I14" s="93">
        <v>100000000</v>
      </c>
      <c r="J14" s="93"/>
      <c r="K14" s="201"/>
    </row>
    <row r="15" spans="1:11">
      <c r="A15" s="84">
        <f t="shared" si="0"/>
        <v>11</v>
      </c>
      <c r="B15" s="234" t="s">
        <v>14</v>
      </c>
      <c r="C15" s="231">
        <v>3.9E-2</v>
      </c>
      <c r="D15" s="235">
        <v>41417</v>
      </c>
      <c r="E15" s="235">
        <v>47908</v>
      </c>
      <c r="F15" s="92">
        <v>98.939099999999996</v>
      </c>
      <c r="G15" s="233">
        <f t="shared" si="1"/>
        <v>3.9800000000000002E-2</v>
      </c>
      <c r="H15" s="93">
        <f t="shared" si="2"/>
        <v>5510708</v>
      </c>
      <c r="I15" s="93">
        <v>138460000</v>
      </c>
      <c r="J15" s="93"/>
      <c r="K15" s="201"/>
    </row>
    <row r="16" spans="1:11">
      <c r="A16" s="84">
        <f t="shared" si="0"/>
        <v>12</v>
      </c>
      <c r="B16" s="234" t="s">
        <v>14</v>
      </c>
      <c r="C16" s="231">
        <v>0.04</v>
      </c>
      <c r="D16" s="235">
        <v>41417</v>
      </c>
      <c r="E16" s="235">
        <v>47908</v>
      </c>
      <c r="F16" s="92">
        <v>98.939099999999996</v>
      </c>
      <c r="G16" s="233">
        <f t="shared" si="1"/>
        <v>4.0800000000000003E-2</v>
      </c>
      <c r="H16" s="93">
        <f t="shared" si="2"/>
        <v>954720.00000000012</v>
      </c>
      <c r="I16" s="93">
        <v>23400000</v>
      </c>
      <c r="J16" s="93"/>
      <c r="K16" s="201"/>
    </row>
    <row r="17" spans="1:11">
      <c r="A17" s="84">
        <f t="shared" si="0"/>
        <v>13</v>
      </c>
      <c r="B17" s="230" t="s">
        <v>43</v>
      </c>
      <c r="C17" s="231">
        <v>5.4829999999999997E-2</v>
      </c>
      <c r="D17" s="232">
        <v>38499</v>
      </c>
      <c r="E17" s="232">
        <v>49461</v>
      </c>
      <c r="F17" s="92">
        <v>84.886606835999999</v>
      </c>
      <c r="G17" s="233">
        <f t="shared" si="1"/>
        <v>6.6500000000000004E-2</v>
      </c>
      <c r="H17" s="94">
        <f t="shared" si="2"/>
        <v>16625000</v>
      </c>
      <c r="I17" s="93">
        <v>250000000</v>
      </c>
      <c r="J17" s="93"/>
      <c r="K17" s="201"/>
    </row>
    <row r="18" spans="1:11">
      <c r="A18" s="84">
        <f t="shared" si="0"/>
        <v>14</v>
      </c>
      <c r="B18" s="230" t="s">
        <v>43</v>
      </c>
      <c r="C18" s="231">
        <v>6.7239999999999994E-2</v>
      </c>
      <c r="D18" s="232">
        <v>38898</v>
      </c>
      <c r="E18" s="232">
        <v>49841</v>
      </c>
      <c r="F18" s="92">
        <v>107.515271756</v>
      </c>
      <c r="G18" s="233">
        <f t="shared" si="1"/>
        <v>6.1699999999999998E-2</v>
      </c>
      <c r="H18" s="94">
        <f t="shared" si="2"/>
        <v>15425000</v>
      </c>
      <c r="I18" s="93">
        <v>250000000</v>
      </c>
      <c r="J18" s="93"/>
      <c r="K18" s="201"/>
    </row>
    <row r="19" spans="1:11">
      <c r="A19" s="84">
        <f t="shared" si="0"/>
        <v>15</v>
      </c>
      <c r="B19" s="230" t="s">
        <v>43</v>
      </c>
      <c r="C19" s="231">
        <v>6.2740000000000004E-2</v>
      </c>
      <c r="D19" s="232">
        <v>38978</v>
      </c>
      <c r="E19" s="232">
        <v>50114</v>
      </c>
      <c r="F19" s="92">
        <v>98.812700000000007</v>
      </c>
      <c r="G19" s="233">
        <f t="shared" si="1"/>
        <v>6.3600000000000004E-2</v>
      </c>
      <c r="H19" s="94">
        <f t="shared" si="2"/>
        <v>19080000</v>
      </c>
      <c r="I19" s="93">
        <v>300000000</v>
      </c>
      <c r="J19" s="93"/>
      <c r="K19" s="201"/>
    </row>
    <row r="20" spans="1:11">
      <c r="A20" s="84">
        <f t="shared" si="0"/>
        <v>16</v>
      </c>
      <c r="B20" s="230" t="s">
        <v>43</v>
      </c>
      <c r="C20" s="231">
        <v>5.7570000000000003E-2</v>
      </c>
      <c r="D20" s="232">
        <v>40067</v>
      </c>
      <c r="E20" s="232">
        <v>51058</v>
      </c>
      <c r="F20" s="92">
        <v>98.983599999999996</v>
      </c>
      <c r="G20" s="233">
        <f t="shared" si="1"/>
        <v>5.8299999999999998E-2</v>
      </c>
      <c r="H20" s="94">
        <f t="shared" si="2"/>
        <v>20405000</v>
      </c>
      <c r="I20" s="93">
        <v>350000000</v>
      </c>
      <c r="J20" s="93"/>
      <c r="K20" s="201"/>
    </row>
    <row r="21" spans="1:11">
      <c r="A21" s="84">
        <f t="shared" si="0"/>
        <v>17</v>
      </c>
      <c r="B21" s="230" t="s">
        <v>43</v>
      </c>
      <c r="C21" s="231">
        <v>5.7950000000000002E-2</v>
      </c>
      <c r="D21" s="232">
        <v>40245</v>
      </c>
      <c r="E21" s="232">
        <v>51210</v>
      </c>
      <c r="F21" s="92">
        <v>98.958799999999997</v>
      </c>
      <c r="G21" s="233">
        <f t="shared" si="1"/>
        <v>5.8700000000000002E-2</v>
      </c>
      <c r="H21" s="94">
        <f t="shared" si="2"/>
        <v>19077500</v>
      </c>
      <c r="I21" s="93">
        <v>325000000</v>
      </c>
      <c r="J21" s="93"/>
      <c r="K21" s="201"/>
    </row>
    <row r="22" spans="1:11">
      <c r="A22" s="84">
        <f t="shared" si="0"/>
        <v>18</v>
      </c>
      <c r="B22" s="230" t="s">
        <v>43</v>
      </c>
      <c r="C22" s="231">
        <v>5.7639999999999997E-2</v>
      </c>
      <c r="D22" s="232">
        <v>40358</v>
      </c>
      <c r="E22" s="232">
        <v>51332</v>
      </c>
      <c r="F22" s="92">
        <v>98.965199999999996</v>
      </c>
      <c r="G22" s="233">
        <f t="shared" si="1"/>
        <v>5.8400000000000001E-2</v>
      </c>
      <c r="H22" s="94">
        <f t="shared" si="2"/>
        <v>14600000</v>
      </c>
      <c r="I22" s="93">
        <v>250000000</v>
      </c>
      <c r="J22" s="93"/>
      <c r="K22" s="201"/>
    </row>
    <row r="23" spans="1:11">
      <c r="A23" s="84">
        <f t="shared" si="0"/>
        <v>19</v>
      </c>
      <c r="B23" s="230" t="s">
        <v>43</v>
      </c>
      <c r="C23" s="231">
        <v>5.638E-2</v>
      </c>
      <c r="D23" s="232">
        <v>40627</v>
      </c>
      <c r="E23" s="232">
        <v>51606</v>
      </c>
      <c r="F23" s="92">
        <v>98.971000000000004</v>
      </c>
      <c r="G23" s="233">
        <f t="shared" si="1"/>
        <v>5.7099999999999998E-2</v>
      </c>
      <c r="H23" s="94">
        <f t="shared" si="2"/>
        <v>17130000</v>
      </c>
      <c r="I23" s="93">
        <v>300000000</v>
      </c>
      <c r="J23" s="93"/>
      <c r="K23" s="201"/>
    </row>
    <row r="24" spans="1:11">
      <c r="A24" s="84">
        <f t="shared" si="0"/>
        <v>20</v>
      </c>
      <c r="B24" s="230" t="s">
        <v>43</v>
      </c>
      <c r="C24" s="231">
        <v>4.4339999999999997E-2</v>
      </c>
      <c r="D24" s="232">
        <v>40863</v>
      </c>
      <c r="E24" s="232">
        <v>51820</v>
      </c>
      <c r="F24" s="92">
        <v>98.962999999999994</v>
      </c>
      <c r="G24" s="233">
        <f t="shared" si="1"/>
        <v>4.4999999999999998E-2</v>
      </c>
      <c r="H24" s="94">
        <f t="shared" si="2"/>
        <v>11250000</v>
      </c>
      <c r="I24" s="93">
        <v>250000000</v>
      </c>
      <c r="J24" s="93"/>
      <c r="K24" s="201"/>
    </row>
    <row r="25" spans="1:11">
      <c r="A25" s="84">
        <f t="shared" si="0"/>
        <v>21</v>
      </c>
      <c r="B25" s="230" t="s">
        <v>43</v>
      </c>
      <c r="C25" s="231">
        <v>4.7E-2</v>
      </c>
      <c r="D25" s="232">
        <v>40869</v>
      </c>
      <c r="E25" s="232">
        <v>55472</v>
      </c>
      <c r="F25" s="92">
        <v>98.863900000000001</v>
      </c>
      <c r="G25" s="233">
        <f t="shared" si="1"/>
        <v>4.7600000000000003E-2</v>
      </c>
      <c r="H25" s="94">
        <f t="shared" si="2"/>
        <v>2142000</v>
      </c>
      <c r="I25" s="93">
        <v>45000000</v>
      </c>
      <c r="J25" s="93"/>
      <c r="K25" s="201"/>
    </row>
    <row r="26" spans="1:11">
      <c r="A26" s="84">
        <f>A25+1</f>
        <v>22</v>
      </c>
      <c r="B26" s="230" t="s">
        <v>43</v>
      </c>
      <c r="C26" s="231">
        <v>4.2999999999999997E-2</v>
      </c>
      <c r="D26" s="232">
        <v>42150</v>
      </c>
      <c r="E26" s="232">
        <v>53102</v>
      </c>
      <c r="F26" s="92">
        <v>98.483341649411756</v>
      </c>
      <c r="G26" s="233">
        <f t="shared" si="1"/>
        <v>4.3900000000000002E-2</v>
      </c>
      <c r="H26" s="94">
        <f t="shared" si="2"/>
        <v>18657500</v>
      </c>
      <c r="I26" s="93">
        <v>425000000</v>
      </c>
      <c r="J26" s="93"/>
      <c r="K26" s="201"/>
    </row>
    <row r="27" spans="1:11">
      <c r="A27" s="84">
        <f>A26+1</f>
        <v>23</v>
      </c>
      <c r="B27" s="230" t="s">
        <v>43</v>
      </c>
      <c r="C27" s="231">
        <f>'[3]Pg 6 LTD Cost '!$C$24</f>
        <v>4.2229999999999997E-2</v>
      </c>
      <c r="D27" s="232">
        <f>'[3]Pg 6 LTD Cost '!$D$24</f>
        <v>43265</v>
      </c>
      <c r="E27" s="232">
        <f>'[3]Pg 6 LTD Cost '!$E$24</f>
        <v>54224</v>
      </c>
      <c r="F27" s="92">
        <f>'[3]Pg 6 LTD Cost '!$G$24</f>
        <v>98.886799999999994</v>
      </c>
      <c r="G27" s="233">
        <f>ROUND(YIELD(D27,E27,C27,F27,100,2,2),4)</f>
        <v>4.2900000000000001E-2</v>
      </c>
      <c r="H27" s="94">
        <f>I27*G27</f>
        <v>25740000</v>
      </c>
      <c r="I27" s="93">
        <f>'[3]Pg 6 LTD Cost '!$V$24</f>
        <v>600000000</v>
      </c>
      <c r="J27" s="203" t="s">
        <v>142</v>
      </c>
      <c r="K27" s="201"/>
    </row>
    <row r="28" spans="1:11">
      <c r="A28" s="84">
        <f t="shared" ref="A28:A42" si="3">A27+1</f>
        <v>24</v>
      </c>
      <c r="B28" s="236" t="s">
        <v>126</v>
      </c>
      <c r="C28" s="93"/>
      <c r="D28" s="237"/>
      <c r="E28" s="232"/>
      <c r="F28" s="232"/>
      <c r="G28" s="96"/>
      <c r="H28" s="97">
        <f>SUM(H11:H27)</f>
        <v>216204128</v>
      </c>
      <c r="I28" s="97">
        <f>SUM(I11:I27)</f>
        <v>3923860000</v>
      </c>
      <c r="K28" s="201"/>
    </row>
    <row r="29" spans="1:11">
      <c r="A29" s="84">
        <f t="shared" si="3"/>
        <v>25</v>
      </c>
      <c r="B29" s="236"/>
      <c r="C29" s="93"/>
      <c r="D29" s="237"/>
      <c r="E29" s="232"/>
      <c r="F29" s="232"/>
      <c r="G29" s="96"/>
      <c r="H29" s="97"/>
      <c r="I29" s="97"/>
      <c r="K29" s="201"/>
    </row>
    <row r="30" spans="1:11">
      <c r="A30" s="84">
        <f t="shared" si="3"/>
        <v>26</v>
      </c>
      <c r="B30" s="98"/>
      <c r="C30" s="93"/>
      <c r="D30" s="95"/>
      <c r="E30" s="91"/>
      <c r="F30" s="92"/>
      <c r="G30" s="99"/>
      <c r="H30" s="94"/>
      <c r="I30" s="93"/>
    </row>
    <row r="31" spans="1:11" ht="13.8" thickBot="1">
      <c r="A31" s="84">
        <f t="shared" si="3"/>
        <v>27</v>
      </c>
      <c r="B31" s="101" t="s">
        <v>127</v>
      </c>
      <c r="C31" s="102"/>
      <c r="D31" s="95"/>
      <c r="E31" s="91"/>
      <c r="F31" s="97"/>
      <c r="G31" s="103">
        <f>H31/I31</f>
        <v>5.5099857793091497E-2</v>
      </c>
      <c r="H31" s="104">
        <f>H28</f>
        <v>216204128</v>
      </c>
      <c r="I31" s="104">
        <f>I28</f>
        <v>3923860000</v>
      </c>
    </row>
    <row r="32" spans="1:11" ht="13.8" thickTop="1">
      <c r="A32" s="84">
        <f t="shared" si="3"/>
        <v>28</v>
      </c>
      <c r="B32" s="102"/>
      <c r="C32" s="102"/>
      <c r="D32" s="95"/>
      <c r="E32" s="91"/>
      <c r="F32" s="97"/>
      <c r="G32" s="106"/>
      <c r="H32" s="106"/>
      <c r="I32" s="97"/>
    </row>
    <row r="33" spans="1:39">
      <c r="A33" s="84">
        <f t="shared" si="3"/>
        <v>29</v>
      </c>
      <c r="B33" s="107" t="s">
        <v>114</v>
      </c>
      <c r="C33" s="107"/>
      <c r="D33" s="95"/>
      <c r="E33" s="91"/>
      <c r="F33" s="97"/>
      <c r="G33" s="108">
        <f>IFERROR(ROUND(H33/I33,4),0)</f>
        <v>4.1799999999999997E-2</v>
      </c>
      <c r="H33" s="94">
        <f>'Pg 3 STD Int &amp; Fees-Details'!P28</f>
        <v>7744719.8073424995</v>
      </c>
      <c r="I33" s="218">
        <f>'Pg 3 STD Int &amp; Fees-Details'!P7*1000</f>
        <v>185102790</v>
      </c>
    </row>
    <row r="34" spans="1:39" ht="13.8" thickBot="1">
      <c r="A34" s="84">
        <f t="shared" si="3"/>
        <v>30</v>
      </c>
      <c r="B34" s="109" t="s">
        <v>115</v>
      </c>
      <c r="C34" s="109"/>
      <c r="D34" s="95"/>
      <c r="E34" s="91"/>
      <c r="F34" s="88" t="s">
        <v>150</v>
      </c>
      <c r="G34" s="110">
        <f>ROUND(H34/I34,4)</f>
        <v>5.45E-2</v>
      </c>
      <c r="H34" s="104">
        <f>H31+H33</f>
        <v>223948847.8073425</v>
      </c>
      <c r="I34" s="105">
        <f>I31+I33</f>
        <v>4108962790</v>
      </c>
    </row>
    <row r="35" spans="1:39" ht="13.8" thickTop="1">
      <c r="A35" s="84">
        <f t="shared" si="3"/>
        <v>31</v>
      </c>
      <c r="B35" s="109"/>
      <c r="C35" s="109"/>
      <c r="D35" s="95"/>
      <c r="E35" s="91"/>
      <c r="F35" s="91"/>
      <c r="G35" s="97"/>
      <c r="H35" s="111"/>
      <c r="I35" s="112"/>
      <c r="J35" s="113"/>
    </row>
    <row r="36" spans="1:39">
      <c r="A36" s="84">
        <f t="shared" si="3"/>
        <v>32</v>
      </c>
      <c r="B36" s="109" t="s">
        <v>122</v>
      </c>
      <c r="C36" s="109"/>
      <c r="D36" s="95"/>
      <c r="E36" s="91"/>
      <c r="F36" s="91"/>
      <c r="H36" s="114">
        <f>I31</f>
        <v>3923860000</v>
      </c>
      <c r="I36" s="112"/>
      <c r="J36" s="113"/>
    </row>
    <row r="37" spans="1:39">
      <c r="A37" s="84">
        <f t="shared" si="3"/>
        <v>33</v>
      </c>
      <c r="B37" s="109" t="s">
        <v>121</v>
      </c>
      <c r="C37" s="109"/>
      <c r="D37" s="95"/>
      <c r="E37" s="91"/>
      <c r="F37" s="91"/>
      <c r="H37" s="219">
        <f>'Pg 1 CofCap'!D18</f>
        <v>0.49180000000000001</v>
      </c>
      <c r="I37" s="112"/>
      <c r="J37" s="113"/>
    </row>
    <row r="38" spans="1:39">
      <c r="A38" s="84">
        <f t="shared" si="3"/>
        <v>34</v>
      </c>
      <c r="B38" s="109" t="s">
        <v>123</v>
      </c>
      <c r="C38" s="109"/>
      <c r="D38" s="95"/>
      <c r="E38" s="91"/>
      <c r="F38" s="91"/>
      <c r="H38" s="220">
        <f>H36/H37</f>
        <v>7978568523.7901583</v>
      </c>
      <c r="I38" s="112"/>
      <c r="J38" s="113"/>
    </row>
    <row r="39" spans="1:39">
      <c r="A39" s="84">
        <f t="shared" si="3"/>
        <v>35</v>
      </c>
      <c r="B39" s="109"/>
      <c r="C39" s="109"/>
      <c r="D39" s="95"/>
      <c r="E39" s="91"/>
      <c r="F39" s="91"/>
      <c r="G39" s="97"/>
      <c r="H39" s="111"/>
      <c r="I39" s="112"/>
      <c r="J39" s="113"/>
    </row>
    <row r="40" spans="1:39">
      <c r="A40" s="84">
        <f t="shared" si="3"/>
        <v>36</v>
      </c>
      <c r="B40" s="115" t="s">
        <v>134</v>
      </c>
      <c r="C40" s="116"/>
      <c r="D40" s="117"/>
      <c r="E40" s="117"/>
      <c r="F40" s="117"/>
      <c r="G40" s="117"/>
      <c r="H40" s="117"/>
      <c r="I40" s="117"/>
    </row>
    <row r="41" spans="1:39">
      <c r="A41" s="84">
        <f t="shared" si="3"/>
        <v>37</v>
      </c>
      <c r="B41" s="115" t="s">
        <v>135</v>
      </c>
      <c r="C41" s="116"/>
      <c r="D41" s="117"/>
      <c r="E41" s="117"/>
      <c r="F41" s="117"/>
      <c r="G41" s="117"/>
      <c r="H41" s="118"/>
      <c r="I41" s="117"/>
    </row>
    <row r="42" spans="1:39" ht="21.75" customHeight="1">
      <c r="A42" s="84">
        <f t="shared" si="3"/>
        <v>38</v>
      </c>
      <c r="B42" s="270" t="s">
        <v>149</v>
      </c>
      <c r="C42" s="270"/>
      <c r="D42" s="270"/>
      <c r="E42" s="270"/>
      <c r="F42" s="270"/>
      <c r="G42" s="270"/>
      <c r="H42" s="270"/>
      <c r="I42" s="270"/>
    </row>
    <row r="43" spans="1:39">
      <c r="A43" s="226"/>
      <c r="B43" s="227"/>
      <c r="C43" s="227"/>
      <c r="D43" s="227"/>
      <c r="E43" s="227"/>
      <c r="F43" s="228"/>
      <c r="G43" s="39"/>
      <c r="H43" s="227"/>
      <c r="I43" s="228"/>
      <c r="J43" s="93"/>
      <c r="K43" s="98"/>
      <c r="L43" s="98"/>
      <c r="M43" s="98"/>
      <c r="N43" s="98"/>
      <c r="O43" s="98"/>
      <c r="P43" s="98"/>
      <c r="Q43" s="98"/>
      <c r="R43" s="98"/>
      <c r="S43" s="98"/>
      <c r="T43" s="98"/>
      <c r="U43" s="98"/>
      <c r="V43" s="98"/>
      <c r="W43" s="98"/>
      <c r="X43" s="98"/>
      <c r="Y43" s="98"/>
      <c r="Z43" s="98"/>
      <c r="AA43" s="98"/>
      <c r="AB43" s="98"/>
      <c r="AC43" s="98"/>
      <c r="AD43" s="98"/>
      <c r="AE43" s="98"/>
      <c r="AF43" s="98"/>
      <c r="AG43" s="98"/>
      <c r="AH43" s="98"/>
      <c r="AI43" s="98"/>
      <c r="AJ43" s="98"/>
      <c r="AK43" s="98"/>
      <c r="AL43" s="98"/>
      <c r="AM43" s="98"/>
    </row>
    <row r="44" spans="1:39">
      <c r="A44" s="18"/>
      <c r="B44" s="40"/>
      <c r="C44" s="40"/>
      <c r="D44" s="40"/>
      <c r="E44" s="40"/>
      <c r="F44" s="40"/>
      <c r="G44" s="39"/>
      <c r="H44" s="40"/>
      <c r="I44" s="117"/>
      <c r="J44" s="98"/>
    </row>
    <row r="45" spans="1:39">
      <c r="A45" s="18"/>
      <c r="B45" s="40"/>
      <c r="C45" s="40"/>
      <c r="D45" s="40"/>
      <c r="E45" s="40"/>
      <c r="F45" s="40"/>
      <c r="G45" s="38"/>
      <c r="H45" s="40"/>
      <c r="I45" s="33"/>
      <c r="J45" s="100"/>
    </row>
    <row r="46" spans="1:39">
      <c r="A46" s="18"/>
      <c r="B46" s="13"/>
      <c r="C46" s="13"/>
      <c r="D46" s="13"/>
      <c r="E46" s="13"/>
      <c r="F46" s="13"/>
      <c r="G46" s="39"/>
      <c r="H46" s="13"/>
      <c r="I46" s="13"/>
      <c r="J46" s="18" t="str">
        <f>IF(J45&lt;&gt;0,"ERROR","")</f>
        <v/>
      </c>
    </row>
    <row r="47" spans="1:39">
      <c r="A47" s="18"/>
      <c r="B47" s="13"/>
      <c r="C47" s="13"/>
      <c r="D47" s="13"/>
      <c r="E47" s="13"/>
      <c r="F47" s="13"/>
      <c r="G47" s="19"/>
      <c r="H47" s="13"/>
      <c r="I47" s="99"/>
    </row>
    <row r="48" spans="1:39">
      <c r="A48" s="20"/>
      <c r="B48" s="21"/>
      <c r="C48" s="21"/>
      <c r="D48" s="22"/>
      <c r="E48" s="23"/>
      <c r="F48" s="23"/>
      <c r="G48" s="119"/>
      <c r="H48" s="25"/>
      <c r="I48" s="99"/>
    </row>
    <row r="49" spans="1:9">
      <c r="A49" s="20"/>
      <c r="B49" s="21"/>
      <c r="C49" s="21"/>
      <c r="D49" s="22"/>
      <c r="E49" s="23"/>
      <c r="F49" s="23"/>
      <c r="G49" s="24"/>
      <c r="H49" s="25"/>
      <c r="I49" s="26"/>
    </row>
    <row r="50" spans="1:9">
      <c r="A50" s="20"/>
      <c r="B50" s="21"/>
      <c r="C50" s="21"/>
      <c r="D50" s="22"/>
      <c r="E50" s="23"/>
      <c r="F50" s="23"/>
      <c r="G50" s="24"/>
      <c r="H50" s="25"/>
      <c r="I50" s="26"/>
    </row>
    <row r="51" spans="1:9" hidden="1">
      <c r="A51" s="27"/>
      <c r="B51" s="13"/>
      <c r="C51" s="13"/>
      <c r="D51" s="13"/>
      <c r="E51" s="13"/>
      <c r="F51" s="13"/>
      <c r="G51" s="19"/>
      <c r="H51" s="13"/>
      <c r="I51" s="28"/>
    </row>
    <row r="52" spans="1:9" hidden="1">
      <c r="A52" s="27"/>
      <c r="B52" s="13"/>
      <c r="C52" s="13"/>
      <c r="D52" s="13"/>
      <c r="E52" s="13"/>
      <c r="F52" s="13"/>
      <c r="G52" s="19"/>
      <c r="H52" s="13"/>
      <c r="I52" s="29"/>
    </row>
    <row r="53" spans="1:9" hidden="1">
      <c r="A53" s="27"/>
      <c r="B53" s="13"/>
      <c r="C53" s="13"/>
      <c r="D53" s="13"/>
      <c r="E53" s="13"/>
      <c r="F53" s="13"/>
      <c r="G53" s="19"/>
      <c r="H53" s="13"/>
      <c r="I53" s="13"/>
    </row>
    <row r="54" spans="1:9">
      <c r="A54" s="20"/>
      <c r="B54" s="21"/>
      <c r="C54" s="21"/>
      <c r="D54" s="22"/>
      <c r="E54" s="23"/>
      <c r="F54" s="23"/>
      <c r="G54" s="24"/>
      <c r="H54" s="25"/>
      <c r="I54" s="26"/>
    </row>
    <row r="55" spans="1:9">
      <c r="A55" s="20"/>
      <c r="B55" s="21"/>
      <c r="C55" s="21"/>
      <c r="D55" s="22"/>
      <c r="E55" s="23"/>
      <c r="F55" s="23"/>
      <c r="G55" s="24"/>
      <c r="H55" s="25"/>
      <c r="I55" s="26"/>
    </row>
    <row r="56" spans="1:9">
      <c r="A56" s="27"/>
      <c r="B56" s="13"/>
      <c r="C56" s="13"/>
      <c r="D56" s="13"/>
      <c r="E56" s="13"/>
      <c r="F56" s="13"/>
      <c r="G56" s="19"/>
      <c r="H56" s="13"/>
      <c r="I56" s="13"/>
    </row>
    <row r="57" spans="1:9">
      <c r="A57" s="27"/>
      <c r="B57" s="13"/>
      <c r="C57" s="13"/>
      <c r="D57" s="13"/>
      <c r="E57" s="13"/>
      <c r="F57" s="13"/>
      <c r="G57" s="19"/>
      <c r="H57" s="13"/>
      <c r="I57" s="13"/>
    </row>
    <row r="58" spans="1:9">
      <c r="A58" s="27"/>
      <c r="B58" s="13"/>
      <c r="C58" s="13"/>
      <c r="D58" s="13"/>
      <c r="E58" s="13"/>
      <c r="F58" s="13"/>
      <c r="G58" s="19"/>
      <c r="H58" s="13"/>
      <c r="I58" s="13"/>
    </row>
    <row r="59" spans="1:9">
      <c r="A59" s="27"/>
      <c r="B59" s="13"/>
      <c r="C59" s="13"/>
      <c r="D59" s="13"/>
      <c r="E59" s="13"/>
      <c r="F59" s="13"/>
      <c r="G59" s="19"/>
      <c r="H59" s="13"/>
      <c r="I59" s="13"/>
    </row>
    <row r="60" spans="1:9">
      <c r="A60" s="27"/>
      <c r="B60" s="13"/>
      <c r="C60" s="13"/>
      <c r="D60" s="13"/>
      <c r="E60" s="13"/>
      <c r="F60" s="13"/>
      <c r="G60" s="19"/>
      <c r="H60" s="13"/>
      <c r="I60" s="13"/>
    </row>
    <row r="61" spans="1:9">
      <c r="A61" s="27"/>
      <c r="B61" s="13"/>
      <c r="C61" s="13"/>
      <c r="D61" s="13"/>
      <c r="E61" s="13"/>
      <c r="F61" s="13"/>
      <c r="G61" s="19"/>
      <c r="H61" s="13"/>
      <c r="I61" s="13"/>
    </row>
    <row r="62" spans="1:9">
      <c r="A62" s="27"/>
      <c r="B62" s="13"/>
      <c r="C62" s="13"/>
      <c r="D62" s="13"/>
      <c r="E62" s="13"/>
      <c r="F62" s="13"/>
      <c r="G62" s="19"/>
      <c r="H62" s="13"/>
      <c r="I62" s="13"/>
    </row>
    <row r="63" spans="1:9">
      <c r="A63" s="27"/>
      <c r="B63" s="13"/>
      <c r="C63" s="13"/>
      <c r="D63" s="13"/>
      <c r="E63" s="13"/>
      <c r="F63" s="13"/>
      <c r="G63" s="19"/>
      <c r="H63" s="13"/>
      <c r="I63" s="13"/>
    </row>
    <row r="64" spans="1:9">
      <c r="A64" s="27"/>
      <c r="B64" s="13"/>
      <c r="C64" s="13"/>
      <c r="D64" s="13"/>
      <c r="E64" s="13"/>
      <c r="F64" s="13"/>
      <c r="G64" s="19"/>
      <c r="H64" s="13"/>
      <c r="I64" s="13"/>
    </row>
    <row r="65" spans="1:9">
      <c r="A65" s="18"/>
      <c r="B65" s="13"/>
      <c r="C65" s="13"/>
      <c r="D65" s="21"/>
      <c r="E65" s="13"/>
      <c r="F65" s="13"/>
      <c r="G65" s="19"/>
      <c r="H65" s="13"/>
      <c r="I65" s="13"/>
    </row>
    <row r="66" spans="1:9">
      <c r="D66" s="9"/>
      <c r="F66" s="15"/>
    </row>
    <row r="67" spans="1:9">
      <c r="D67" s="14"/>
    </row>
  </sheetData>
  <mergeCells count="8">
    <mergeCell ref="B42:I42"/>
    <mergeCell ref="A1:I1"/>
    <mergeCell ref="A2:I2"/>
    <mergeCell ref="A3:I3"/>
    <mergeCell ref="G8:G9"/>
    <mergeCell ref="H8:H9"/>
    <mergeCell ref="F6:F9"/>
    <mergeCell ref="I6:I9"/>
  </mergeCells>
  <phoneticPr fontId="12" type="noConversion"/>
  <printOptions horizontalCentered="1"/>
  <pageMargins left="0.5" right="0.5" top="1" bottom="1" header="0.5" footer="0.5"/>
  <pageSetup orientation="portrait" r:id="rId1"/>
  <headerFooter scaleWithDoc="0" alignWithMargins="0">
    <oddFooter>&amp;R&amp;"Times New Roman,Regular"&amp;12Exh. MDM-9
Page 2 of 4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62"/>
  <sheetViews>
    <sheetView view="pageBreakPreview" zoomScaleNormal="100" zoomScaleSheetLayoutView="100" workbookViewId="0">
      <pane ySplit="6" topLeftCell="A7" activePane="bottomLeft" state="frozen"/>
      <selection pane="bottomLeft" activeCell="C19" sqref="C19"/>
    </sheetView>
  </sheetViews>
  <sheetFormatPr defaultColWidth="10.42578125" defaultRowHeight="12"/>
  <cols>
    <col min="1" max="1" width="3.42578125" style="121" customWidth="1"/>
    <col min="2" max="2" width="32.28515625" style="121" customWidth="1"/>
    <col min="3" max="3" width="12.7109375" style="121" bestFit="1" customWidth="1"/>
    <col min="4" max="15" width="13.7109375" style="121" customWidth="1"/>
    <col min="16" max="16" width="14.28515625" style="121" customWidth="1"/>
    <col min="17" max="17" width="2" style="121" customWidth="1"/>
    <col min="18" max="18" width="8" style="121" bestFit="1" customWidth="1"/>
    <col min="19" max="16384" width="10.42578125" style="121"/>
  </cols>
  <sheetData>
    <row r="1" spans="1:16" ht="13.2">
      <c r="A1" s="271" t="s">
        <v>75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  <c r="L1" s="271"/>
      <c r="M1" s="271"/>
      <c r="N1" s="271"/>
      <c r="O1" s="271"/>
      <c r="P1" s="271"/>
    </row>
    <row r="2" spans="1:16" ht="13.2">
      <c r="A2" s="271" t="s">
        <v>76</v>
      </c>
      <c r="B2" s="271"/>
      <c r="C2" s="271"/>
      <c r="D2" s="271"/>
      <c r="E2" s="271"/>
      <c r="F2" s="271"/>
      <c r="G2" s="271"/>
      <c r="H2" s="271"/>
      <c r="I2" s="271"/>
      <c r="J2" s="271"/>
      <c r="K2" s="271"/>
      <c r="L2" s="271"/>
      <c r="M2" s="271"/>
      <c r="N2" s="271"/>
      <c r="O2" s="271"/>
      <c r="P2" s="271"/>
    </row>
    <row r="3" spans="1:16" ht="13.5" customHeight="1">
      <c r="A3" s="271" t="str">
        <f>'Pg 2 Cost of Total Debt'!$A$3</f>
        <v>For The 12 Months Ended March 31, 2021</v>
      </c>
      <c r="B3" s="271"/>
      <c r="C3" s="271"/>
      <c r="D3" s="271"/>
      <c r="E3" s="271"/>
      <c r="F3" s="271"/>
      <c r="G3" s="271"/>
      <c r="H3" s="271"/>
      <c r="I3" s="271"/>
      <c r="J3" s="271"/>
      <c r="K3" s="271"/>
      <c r="L3" s="271"/>
      <c r="M3" s="271"/>
      <c r="N3" s="271"/>
      <c r="O3" s="271"/>
      <c r="P3" s="271"/>
    </row>
    <row r="4" spans="1:16" ht="13.2">
      <c r="A4" s="120"/>
      <c r="B4" s="122"/>
      <c r="C4" s="122"/>
      <c r="D4" s="120"/>
      <c r="E4" s="120"/>
      <c r="F4" s="120"/>
      <c r="G4" s="120"/>
      <c r="H4" s="120"/>
      <c r="I4" s="120"/>
      <c r="J4" s="120"/>
      <c r="K4" s="120"/>
      <c r="L4" s="120"/>
      <c r="M4" s="120"/>
      <c r="N4" s="120"/>
      <c r="O4" s="120"/>
      <c r="P4" s="120"/>
    </row>
    <row r="5" spans="1:16">
      <c r="A5" s="123">
        <v>1</v>
      </c>
      <c r="B5" s="124" t="s">
        <v>1</v>
      </c>
      <c r="C5" s="124" t="s">
        <v>16</v>
      </c>
      <c r="D5" s="124" t="s">
        <v>26</v>
      </c>
      <c r="E5" s="124" t="s">
        <v>28</v>
      </c>
      <c r="F5" s="124" t="s">
        <v>29</v>
      </c>
      <c r="G5" s="124" t="s">
        <v>30</v>
      </c>
      <c r="H5" s="124" t="s">
        <v>31</v>
      </c>
      <c r="I5" s="124" t="s">
        <v>32</v>
      </c>
      <c r="J5" s="124" t="s">
        <v>33</v>
      </c>
      <c r="K5" s="124" t="s">
        <v>35</v>
      </c>
      <c r="L5" s="124" t="s">
        <v>36</v>
      </c>
      <c r="M5" s="124" t="s">
        <v>37</v>
      </c>
      <c r="N5" s="124" t="s">
        <v>38</v>
      </c>
      <c r="O5" s="124" t="s">
        <v>39</v>
      </c>
      <c r="P5" s="124" t="s">
        <v>40</v>
      </c>
    </row>
    <row r="6" spans="1:16" ht="12" customHeight="1">
      <c r="A6" s="123">
        <f>A5+1</f>
        <v>2</v>
      </c>
      <c r="B6" s="120"/>
      <c r="C6" s="125">
        <v>43921</v>
      </c>
      <c r="D6" s="125">
        <f>EOMONTH(C6,1)</f>
        <v>43951</v>
      </c>
      <c r="E6" s="125">
        <f t="shared" ref="E6:O6" si="0">EOMONTH(D6,1)</f>
        <v>43982</v>
      </c>
      <c r="F6" s="125">
        <f t="shared" si="0"/>
        <v>44012</v>
      </c>
      <c r="G6" s="125">
        <f t="shared" si="0"/>
        <v>44043</v>
      </c>
      <c r="H6" s="125">
        <f t="shared" si="0"/>
        <v>44074</v>
      </c>
      <c r="I6" s="125">
        <f t="shared" si="0"/>
        <v>44104</v>
      </c>
      <c r="J6" s="125">
        <f t="shared" si="0"/>
        <v>44135</v>
      </c>
      <c r="K6" s="125">
        <f t="shared" si="0"/>
        <v>44165</v>
      </c>
      <c r="L6" s="125">
        <f t="shared" si="0"/>
        <v>44196</v>
      </c>
      <c r="M6" s="125">
        <f t="shared" si="0"/>
        <v>44227</v>
      </c>
      <c r="N6" s="125">
        <f t="shared" si="0"/>
        <v>44255</v>
      </c>
      <c r="O6" s="125">
        <f t="shared" si="0"/>
        <v>44286</v>
      </c>
      <c r="P6" s="126" t="s">
        <v>77</v>
      </c>
    </row>
    <row r="7" spans="1:16">
      <c r="A7" s="123">
        <f>A6+1</f>
        <v>3</v>
      </c>
      <c r="B7" s="127" t="s">
        <v>78</v>
      </c>
      <c r="C7" s="128">
        <f>'Pg 2 Cost of Total Debt'!H38*'Pg 1 CofCap'!D14/1000</f>
        <v>185102.78975193168</v>
      </c>
      <c r="D7" s="129">
        <f>C7</f>
        <v>185102.78975193168</v>
      </c>
      <c r="E7" s="129">
        <f t="shared" ref="E7:O7" si="1">D7</f>
        <v>185102.78975193168</v>
      </c>
      <c r="F7" s="129">
        <f t="shared" si="1"/>
        <v>185102.78975193168</v>
      </c>
      <c r="G7" s="129">
        <f t="shared" si="1"/>
        <v>185102.78975193168</v>
      </c>
      <c r="H7" s="129">
        <f t="shared" si="1"/>
        <v>185102.78975193168</v>
      </c>
      <c r="I7" s="129">
        <f t="shared" si="1"/>
        <v>185102.78975193168</v>
      </c>
      <c r="J7" s="129">
        <f t="shared" si="1"/>
        <v>185102.78975193168</v>
      </c>
      <c r="K7" s="129">
        <f t="shared" si="1"/>
        <v>185102.78975193168</v>
      </c>
      <c r="L7" s="129">
        <f t="shared" si="1"/>
        <v>185102.78975193168</v>
      </c>
      <c r="M7" s="129">
        <f t="shared" si="1"/>
        <v>185102.78975193168</v>
      </c>
      <c r="N7" s="129">
        <f t="shared" si="1"/>
        <v>185102.78975193168</v>
      </c>
      <c r="O7" s="129">
        <f t="shared" si="1"/>
        <v>185102.78975193168</v>
      </c>
      <c r="P7" s="130">
        <f>ROUND(((C7+O7)+(SUM(D7:N7)*2))/24,3)</f>
        <v>185102.79</v>
      </c>
    </row>
    <row r="8" spans="1:16" ht="5.25" customHeight="1">
      <c r="A8" s="123"/>
      <c r="B8" s="131"/>
      <c r="C8" s="129"/>
      <c r="D8" s="129"/>
      <c r="E8" s="129"/>
      <c r="F8" s="129"/>
      <c r="G8" s="129"/>
      <c r="H8" s="129"/>
      <c r="I8" s="129"/>
      <c r="J8" s="129"/>
      <c r="K8" s="129"/>
      <c r="L8" s="129"/>
      <c r="M8" s="129"/>
      <c r="N8" s="129"/>
      <c r="O8" s="129"/>
      <c r="P8" s="129"/>
    </row>
    <row r="9" spans="1:16">
      <c r="A9" s="123">
        <f>A7+1</f>
        <v>4</v>
      </c>
      <c r="B9" s="127" t="s">
        <v>79</v>
      </c>
      <c r="C9" s="132"/>
      <c r="D9" s="132"/>
      <c r="E9" s="132"/>
      <c r="F9" s="132"/>
      <c r="G9" s="132"/>
      <c r="H9" s="132"/>
      <c r="I9" s="132"/>
      <c r="J9" s="132"/>
      <c r="K9" s="132"/>
      <c r="L9" s="132"/>
      <c r="M9" s="132"/>
      <c r="N9" s="132"/>
      <c r="O9" s="132"/>
      <c r="P9" s="129"/>
    </row>
    <row r="10" spans="1:16">
      <c r="A10" s="123">
        <f>A9+1</f>
        <v>5</v>
      </c>
      <c r="B10" s="131" t="s">
        <v>80</v>
      </c>
      <c r="C10" s="128">
        <f>MIN(0.5*C7,125000)</f>
        <v>92551.394875965838</v>
      </c>
      <c r="D10" s="128">
        <f t="shared" ref="D10:O10" si="2">MIN(0.5*D7,125000)</f>
        <v>92551.394875965838</v>
      </c>
      <c r="E10" s="128">
        <f t="shared" si="2"/>
        <v>92551.394875965838</v>
      </c>
      <c r="F10" s="128">
        <f t="shared" si="2"/>
        <v>92551.394875965838</v>
      </c>
      <c r="G10" s="128">
        <f t="shared" si="2"/>
        <v>92551.394875965838</v>
      </c>
      <c r="H10" s="128">
        <f t="shared" si="2"/>
        <v>92551.394875965838</v>
      </c>
      <c r="I10" s="128">
        <f t="shared" si="2"/>
        <v>92551.394875965838</v>
      </c>
      <c r="J10" s="128">
        <f t="shared" si="2"/>
        <v>92551.394875965838</v>
      </c>
      <c r="K10" s="128">
        <f t="shared" si="2"/>
        <v>92551.394875965838</v>
      </c>
      <c r="L10" s="128">
        <f t="shared" si="2"/>
        <v>92551.394875965838</v>
      </c>
      <c r="M10" s="128">
        <f t="shared" si="2"/>
        <v>92551.394875965838</v>
      </c>
      <c r="N10" s="128">
        <f t="shared" si="2"/>
        <v>92551.394875965838</v>
      </c>
      <c r="O10" s="128">
        <f t="shared" si="2"/>
        <v>92551.394875965838</v>
      </c>
      <c r="P10" s="130">
        <f>ROUND(((C10+O10)+(SUM(D10:N10)*2))/24,3)</f>
        <v>92551.395000000004</v>
      </c>
    </row>
    <row r="11" spans="1:16">
      <c r="A11" s="123">
        <f>A10+1</f>
        <v>6</v>
      </c>
      <c r="B11" s="131" t="s">
        <v>81</v>
      </c>
      <c r="C11" s="133">
        <f t="shared" ref="C11:O11" si="3">C7-C10</f>
        <v>92551.394875965838</v>
      </c>
      <c r="D11" s="133">
        <f t="shared" si="3"/>
        <v>92551.394875965838</v>
      </c>
      <c r="E11" s="133">
        <f t="shared" si="3"/>
        <v>92551.394875965838</v>
      </c>
      <c r="F11" s="133">
        <f t="shared" si="3"/>
        <v>92551.394875965838</v>
      </c>
      <c r="G11" s="133">
        <f t="shared" si="3"/>
        <v>92551.394875965838</v>
      </c>
      <c r="H11" s="133">
        <f t="shared" si="3"/>
        <v>92551.394875965838</v>
      </c>
      <c r="I11" s="133">
        <f t="shared" si="3"/>
        <v>92551.394875965838</v>
      </c>
      <c r="J11" s="133">
        <f t="shared" si="3"/>
        <v>92551.394875965838</v>
      </c>
      <c r="K11" s="133">
        <f t="shared" si="3"/>
        <v>92551.394875965838</v>
      </c>
      <c r="L11" s="133">
        <f t="shared" si="3"/>
        <v>92551.394875965838</v>
      </c>
      <c r="M11" s="133">
        <f t="shared" si="3"/>
        <v>92551.394875965838</v>
      </c>
      <c r="N11" s="133">
        <f t="shared" si="3"/>
        <v>92551.394875965838</v>
      </c>
      <c r="O11" s="133">
        <f t="shared" si="3"/>
        <v>92551.394875965838</v>
      </c>
      <c r="P11" s="130">
        <f>ROUND(((C11+O11)+(SUM(D11:N11)*2))/24,3)</f>
        <v>92551.395000000004</v>
      </c>
    </row>
    <row r="12" spans="1:16">
      <c r="A12" s="123">
        <f>A11+1</f>
        <v>7</v>
      </c>
      <c r="B12" s="134" t="s">
        <v>82</v>
      </c>
      <c r="C12" s="135">
        <f t="shared" ref="C12:O12" si="4">SUM(C10:C11)</f>
        <v>185102.78975193168</v>
      </c>
      <c r="D12" s="135">
        <f t="shared" si="4"/>
        <v>185102.78975193168</v>
      </c>
      <c r="E12" s="135">
        <f t="shared" si="4"/>
        <v>185102.78975193168</v>
      </c>
      <c r="F12" s="135">
        <f t="shared" si="4"/>
        <v>185102.78975193168</v>
      </c>
      <c r="G12" s="135">
        <f t="shared" si="4"/>
        <v>185102.78975193168</v>
      </c>
      <c r="H12" s="135">
        <f t="shared" si="4"/>
        <v>185102.78975193168</v>
      </c>
      <c r="I12" s="135">
        <f t="shared" si="4"/>
        <v>185102.78975193168</v>
      </c>
      <c r="J12" s="135">
        <f t="shared" si="4"/>
        <v>185102.78975193168</v>
      </c>
      <c r="K12" s="135">
        <f t="shared" si="4"/>
        <v>185102.78975193168</v>
      </c>
      <c r="L12" s="135">
        <f t="shared" si="4"/>
        <v>185102.78975193168</v>
      </c>
      <c r="M12" s="135">
        <f t="shared" si="4"/>
        <v>185102.78975193168</v>
      </c>
      <c r="N12" s="135">
        <f t="shared" si="4"/>
        <v>185102.78975193168</v>
      </c>
      <c r="O12" s="135">
        <f t="shared" si="4"/>
        <v>185102.78975193168</v>
      </c>
      <c r="P12" s="136">
        <f>ROUND(((C12+O12)+(SUM(D12:N12)*2))/24,3)</f>
        <v>185102.79</v>
      </c>
    </row>
    <row r="13" spans="1:16" ht="5.25" customHeight="1">
      <c r="A13" s="123"/>
      <c r="B13" s="131"/>
      <c r="C13" s="133"/>
      <c r="D13" s="133"/>
      <c r="E13" s="133"/>
      <c r="F13" s="133"/>
      <c r="G13" s="133"/>
      <c r="H13" s="133"/>
      <c r="I13" s="133"/>
      <c r="J13" s="133"/>
      <c r="K13" s="133"/>
      <c r="L13" s="133"/>
      <c r="M13" s="133"/>
      <c r="N13" s="133"/>
      <c r="O13" s="133"/>
      <c r="P13" s="133"/>
    </row>
    <row r="14" spans="1:16" ht="13.5" customHeight="1">
      <c r="A14" s="123">
        <f>A12+1</f>
        <v>8</v>
      </c>
      <c r="B14" s="127" t="s">
        <v>69</v>
      </c>
      <c r="M14" s="137"/>
      <c r="N14" s="138"/>
      <c r="O14" s="139"/>
      <c r="P14" s="140"/>
    </row>
    <row r="15" spans="1:16">
      <c r="A15" s="123">
        <f>A14+1</f>
        <v>9</v>
      </c>
      <c r="B15" s="131" t="s">
        <v>83</v>
      </c>
      <c r="C15" s="222">
        <v>3.3586701700433846E-2</v>
      </c>
      <c r="D15" s="222">
        <v>3.3691845529091852E-2</v>
      </c>
      <c r="E15" s="222">
        <v>3.3642136159882458E-2</v>
      </c>
      <c r="F15" s="222">
        <v>3.3539874842079979E-2</v>
      </c>
      <c r="G15" s="222">
        <v>3.3429185528676172E-2</v>
      </c>
      <c r="H15" s="222">
        <v>3.3334550740002022E-2</v>
      </c>
      <c r="I15" s="222">
        <v>3.3273196377403412E-2</v>
      </c>
      <c r="J15" s="222">
        <v>3.3224066000904946E-2</v>
      </c>
      <c r="K15" s="222">
        <v>3.3157295262479847E-2</v>
      </c>
      <c r="L15" s="222">
        <v>3.3058660058229557E-2</v>
      </c>
      <c r="M15" s="222">
        <v>3.2961606172649489E-2</v>
      </c>
      <c r="N15" s="222">
        <v>3.2919273839797827E-2</v>
      </c>
      <c r="O15" s="222">
        <v>3.2957249797745461E-2</v>
      </c>
      <c r="P15" s="129"/>
    </row>
    <row r="16" spans="1:16">
      <c r="A16" s="123">
        <f>A15+1</f>
        <v>10</v>
      </c>
      <c r="B16" s="131" t="s">
        <v>84</v>
      </c>
      <c r="C16" s="141">
        <f>2.85%-2.5%</f>
        <v>3.4999999999999996E-3</v>
      </c>
      <c r="D16" s="141">
        <f>C16</f>
        <v>3.4999999999999996E-3</v>
      </c>
      <c r="E16" s="141">
        <f t="shared" ref="E16:O17" si="5">D16</f>
        <v>3.4999999999999996E-3</v>
      </c>
      <c r="F16" s="141">
        <f t="shared" si="5"/>
        <v>3.4999999999999996E-3</v>
      </c>
      <c r="G16" s="141">
        <f t="shared" si="5"/>
        <v>3.4999999999999996E-3</v>
      </c>
      <c r="H16" s="141">
        <f t="shared" si="5"/>
        <v>3.4999999999999996E-3</v>
      </c>
      <c r="I16" s="141">
        <f t="shared" si="5"/>
        <v>3.4999999999999996E-3</v>
      </c>
      <c r="J16" s="141">
        <f t="shared" si="5"/>
        <v>3.4999999999999996E-3</v>
      </c>
      <c r="K16" s="141">
        <f t="shared" si="5"/>
        <v>3.4999999999999996E-3</v>
      </c>
      <c r="L16" s="141">
        <f t="shared" si="5"/>
        <v>3.4999999999999996E-3</v>
      </c>
      <c r="M16" s="141">
        <f t="shared" si="5"/>
        <v>3.4999999999999996E-3</v>
      </c>
      <c r="N16" s="141">
        <f t="shared" si="5"/>
        <v>3.4999999999999996E-3</v>
      </c>
      <c r="O16" s="141">
        <f t="shared" si="5"/>
        <v>3.4999999999999996E-3</v>
      </c>
      <c r="P16" s="129"/>
    </row>
    <row r="17" spans="1:18">
      <c r="A17" s="123">
        <f>A16+1</f>
        <v>11</v>
      </c>
      <c r="B17" s="131" t="s">
        <v>85</v>
      </c>
      <c r="C17" s="141">
        <v>1.2500000000000001E-2</v>
      </c>
      <c r="D17" s="141">
        <f>C17</f>
        <v>1.2500000000000001E-2</v>
      </c>
      <c r="E17" s="141">
        <f t="shared" si="5"/>
        <v>1.2500000000000001E-2</v>
      </c>
      <c r="F17" s="141">
        <f t="shared" si="5"/>
        <v>1.2500000000000001E-2</v>
      </c>
      <c r="G17" s="141">
        <f t="shared" si="5"/>
        <v>1.2500000000000001E-2</v>
      </c>
      <c r="H17" s="141">
        <f t="shared" si="5"/>
        <v>1.2500000000000001E-2</v>
      </c>
      <c r="I17" s="141">
        <f t="shared" si="5"/>
        <v>1.2500000000000001E-2</v>
      </c>
      <c r="J17" s="141">
        <f t="shared" si="5"/>
        <v>1.2500000000000001E-2</v>
      </c>
      <c r="K17" s="141">
        <f t="shared" si="5"/>
        <v>1.2500000000000001E-2</v>
      </c>
      <c r="L17" s="141">
        <f t="shared" si="5"/>
        <v>1.2500000000000001E-2</v>
      </c>
      <c r="M17" s="141">
        <f t="shared" si="5"/>
        <v>1.2500000000000001E-2</v>
      </c>
      <c r="N17" s="141">
        <f t="shared" si="5"/>
        <v>1.2500000000000001E-2</v>
      </c>
      <c r="O17" s="141">
        <f t="shared" si="5"/>
        <v>1.2500000000000001E-2</v>
      </c>
      <c r="P17" s="129"/>
    </row>
    <row r="18" spans="1:18" ht="6" customHeight="1">
      <c r="A18" s="123"/>
      <c r="B18" s="131"/>
      <c r="C18" s="142"/>
      <c r="D18" s="142"/>
      <c r="E18" s="142"/>
      <c r="F18" s="142"/>
      <c r="G18" s="142"/>
      <c r="H18" s="142"/>
      <c r="I18" s="142"/>
      <c r="J18" s="142"/>
      <c r="K18" s="142"/>
      <c r="L18" s="142"/>
      <c r="M18" s="142"/>
      <c r="N18" s="142"/>
      <c r="O18" s="142"/>
      <c r="P18" s="129"/>
    </row>
    <row r="19" spans="1:18" ht="12" customHeight="1">
      <c r="A19" s="123">
        <f>A17+1</f>
        <v>12</v>
      </c>
      <c r="B19" s="127" t="s">
        <v>86</v>
      </c>
      <c r="C19" s="142"/>
      <c r="D19" s="142"/>
      <c r="E19" s="142"/>
      <c r="F19" s="142"/>
      <c r="G19" s="142"/>
      <c r="H19" s="142"/>
      <c r="I19" s="142"/>
      <c r="J19" s="142"/>
      <c r="K19" s="142"/>
      <c r="L19" s="142"/>
      <c r="M19" s="142"/>
      <c r="N19" s="142"/>
      <c r="O19" s="142"/>
      <c r="P19" s="129"/>
    </row>
    <row r="20" spans="1:18">
      <c r="A20" s="123">
        <f>A19+1</f>
        <v>13</v>
      </c>
      <c r="B20" s="143" t="s">
        <v>87</v>
      </c>
      <c r="C20" s="144">
        <f t="shared" ref="C20:O20" si="6">C15+C16</f>
        <v>3.708670170043385E-2</v>
      </c>
      <c r="D20" s="144">
        <f t="shared" si="6"/>
        <v>3.7191845529091855E-2</v>
      </c>
      <c r="E20" s="144">
        <f t="shared" si="6"/>
        <v>3.7142136159882461E-2</v>
      </c>
      <c r="F20" s="144">
        <f t="shared" si="6"/>
        <v>3.7039874842079976E-2</v>
      </c>
      <c r="G20" s="144">
        <f t="shared" si="6"/>
        <v>3.6929185528676176E-2</v>
      </c>
      <c r="H20" s="144">
        <f t="shared" si="6"/>
        <v>3.6834550740002026E-2</v>
      </c>
      <c r="I20" s="144">
        <f t="shared" si="6"/>
        <v>3.6773196377403408E-2</v>
      </c>
      <c r="J20" s="144">
        <f t="shared" si="6"/>
        <v>3.6724066000904942E-2</v>
      </c>
      <c r="K20" s="144">
        <f t="shared" si="6"/>
        <v>3.665729526247985E-2</v>
      </c>
      <c r="L20" s="144">
        <f t="shared" si="6"/>
        <v>3.6558660058229553E-2</v>
      </c>
      <c r="M20" s="144">
        <f t="shared" si="6"/>
        <v>3.6461606172649486E-2</v>
      </c>
      <c r="N20" s="144">
        <f t="shared" si="6"/>
        <v>3.6419273839797831E-2</v>
      </c>
      <c r="O20" s="144">
        <f t="shared" si="6"/>
        <v>3.6457249797745464E-2</v>
      </c>
      <c r="P20" s="129"/>
    </row>
    <row r="21" spans="1:18">
      <c r="A21" s="123">
        <f>A20+1</f>
        <v>14</v>
      </c>
      <c r="B21" s="143" t="s">
        <v>81</v>
      </c>
      <c r="C21" s="144">
        <f t="shared" ref="C21:O21" si="7">C15+C17</f>
        <v>4.6086701700433844E-2</v>
      </c>
      <c r="D21" s="144">
        <f t="shared" si="7"/>
        <v>4.6191845529091849E-2</v>
      </c>
      <c r="E21" s="144">
        <f t="shared" si="7"/>
        <v>4.6142136159882455E-2</v>
      </c>
      <c r="F21" s="144">
        <f t="shared" si="7"/>
        <v>4.6039874842079984E-2</v>
      </c>
      <c r="G21" s="144">
        <f t="shared" si="7"/>
        <v>4.592918552867617E-2</v>
      </c>
      <c r="H21" s="144">
        <f t="shared" si="7"/>
        <v>4.583455074000202E-2</v>
      </c>
      <c r="I21" s="144">
        <f t="shared" si="7"/>
        <v>4.5773196377403416E-2</v>
      </c>
      <c r="J21" s="144">
        <f t="shared" si="7"/>
        <v>4.572406600090495E-2</v>
      </c>
      <c r="K21" s="144">
        <f t="shared" si="7"/>
        <v>4.5657295262479844E-2</v>
      </c>
      <c r="L21" s="144">
        <f t="shared" si="7"/>
        <v>4.5558660058229561E-2</v>
      </c>
      <c r="M21" s="144">
        <f t="shared" si="7"/>
        <v>4.5461606172649494E-2</v>
      </c>
      <c r="N21" s="144">
        <f t="shared" si="7"/>
        <v>4.5419273839797825E-2</v>
      </c>
      <c r="O21" s="144">
        <f t="shared" si="7"/>
        <v>4.5457249797745458E-2</v>
      </c>
      <c r="P21" s="129"/>
    </row>
    <row r="22" spans="1:18" ht="5.25" customHeight="1">
      <c r="A22" s="123"/>
      <c r="C22" s="129"/>
      <c r="D22" s="129"/>
      <c r="E22" s="129"/>
      <c r="F22" s="129"/>
      <c r="G22" s="129"/>
      <c r="H22" s="129"/>
      <c r="I22" s="129"/>
      <c r="J22" s="129"/>
      <c r="K22" s="129"/>
      <c r="L22" s="129"/>
      <c r="M22" s="129"/>
      <c r="N22" s="129"/>
      <c r="O22" s="129"/>
      <c r="P22" s="129"/>
    </row>
    <row r="23" spans="1:18">
      <c r="A23" s="123">
        <f>A21+1</f>
        <v>15</v>
      </c>
      <c r="B23" s="131" t="s">
        <v>88</v>
      </c>
      <c r="C23" s="131"/>
      <c r="D23" s="131">
        <f t="shared" ref="D23:O23" si="8">D6-C6</f>
        <v>30</v>
      </c>
      <c r="E23" s="131">
        <f t="shared" si="8"/>
        <v>31</v>
      </c>
      <c r="F23" s="131">
        <f t="shared" si="8"/>
        <v>30</v>
      </c>
      <c r="G23" s="131">
        <f t="shared" si="8"/>
        <v>31</v>
      </c>
      <c r="H23" s="131">
        <f t="shared" si="8"/>
        <v>31</v>
      </c>
      <c r="I23" s="131">
        <f t="shared" si="8"/>
        <v>30</v>
      </c>
      <c r="J23" s="131">
        <f t="shared" si="8"/>
        <v>31</v>
      </c>
      <c r="K23" s="131">
        <f t="shared" si="8"/>
        <v>30</v>
      </c>
      <c r="L23" s="131">
        <f t="shared" si="8"/>
        <v>31</v>
      </c>
      <c r="M23" s="131">
        <f t="shared" si="8"/>
        <v>31</v>
      </c>
      <c r="N23" s="131">
        <f t="shared" si="8"/>
        <v>28</v>
      </c>
      <c r="O23" s="131">
        <f t="shared" si="8"/>
        <v>31</v>
      </c>
      <c r="P23" s="145"/>
    </row>
    <row r="24" spans="1:18" ht="3.75" customHeight="1">
      <c r="A24" s="123"/>
      <c r="B24" s="131"/>
      <c r="C24" s="131"/>
      <c r="D24" s="131"/>
      <c r="E24" s="131"/>
      <c r="F24" s="131"/>
      <c r="G24" s="131"/>
      <c r="H24" s="131"/>
      <c r="I24" s="131"/>
      <c r="J24" s="131"/>
      <c r="K24" s="131"/>
      <c r="L24" s="131"/>
      <c r="M24" s="131"/>
      <c r="N24" s="131"/>
      <c r="O24" s="131"/>
      <c r="P24" s="145"/>
    </row>
    <row r="25" spans="1:18">
      <c r="A25" s="123">
        <f>A23+1</f>
        <v>16</v>
      </c>
      <c r="B25" s="127" t="s">
        <v>89</v>
      </c>
      <c r="C25" s="131"/>
      <c r="D25" s="131"/>
      <c r="E25" s="131"/>
      <c r="F25" s="131"/>
      <c r="G25" s="131"/>
      <c r="H25" s="131"/>
      <c r="I25" s="131"/>
      <c r="J25" s="131"/>
      <c r="K25" s="131"/>
      <c r="L25" s="131"/>
      <c r="M25" s="131"/>
      <c r="N25" s="131"/>
      <c r="O25" s="131"/>
      <c r="P25" s="146" t="s">
        <v>61</v>
      </c>
    </row>
    <row r="26" spans="1:18">
      <c r="A26" s="123">
        <f>A25+1</f>
        <v>17</v>
      </c>
      <c r="B26" s="131" t="s">
        <v>90</v>
      </c>
      <c r="C26" s="131"/>
      <c r="D26" s="129">
        <f>AVERAGE(C10:D10)*(D20*D23/360)*1000</f>
        <v>286846.43181074213</v>
      </c>
      <c r="E26" s="129">
        <f t="shared" ref="E26:O26" si="9">AVERAGE(D10:E10)*(E20*E23/360)*1000</f>
        <v>296011.8106065981</v>
      </c>
      <c r="F26" s="129">
        <f t="shared" si="9"/>
        <v>285674.34022214141</v>
      </c>
      <c r="G26" s="129">
        <f t="shared" si="9"/>
        <v>294314.65722689353</v>
      </c>
      <c r="H26" s="129">
        <f t="shared" si="9"/>
        <v>293560.44602532929</v>
      </c>
      <c r="I26" s="129">
        <f t="shared" si="9"/>
        <v>283617.55156470829</v>
      </c>
      <c r="J26" s="129">
        <f t="shared" si="9"/>
        <v>292679.91541923425</v>
      </c>
      <c r="K26" s="129">
        <f t="shared" si="9"/>
        <v>282723.65074355365</v>
      </c>
      <c r="L26" s="129">
        <f t="shared" si="9"/>
        <v>291361.67910763196</v>
      </c>
      <c r="M26" s="129">
        <f t="shared" si="9"/>
        <v>290588.18842111644</v>
      </c>
      <c r="N26" s="129">
        <f t="shared" si="9"/>
        <v>262162.0239966826</v>
      </c>
      <c r="O26" s="129">
        <f t="shared" si="9"/>
        <v>290553.46940502455</v>
      </c>
      <c r="P26" s="130">
        <f>SUM(D26:O26)</f>
        <v>3450094.1645496562</v>
      </c>
    </row>
    <row r="27" spans="1:18">
      <c r="A27" s="123">
        <f>A26+1</f>
        <v>18</v>
      </c>
      <c r="B27" s="131" t="s">
        <v>91</v>
      </c>
      <c r="C27" s="131"/>
      <c r="D27" s="129">
        <f>AVERAGE(C11:D11)*(D21*D23/360)*1000</f>
        <v>356259.9779677164</v>
      </c>
      <c r="E27" s="129">
        <f t="shared" ref="E27:O27" si="10">AVERAGE(D11:E11)*(E21*E23/360)*1000</f>
        <v>367739.14163547161</v>
      </c>
      <c r="F27" s="129">
        <f t="shared" si="10"/>
        <v>355087.88637911587</v>
      </c>
      <c r="G27" s="129">
        <f t="shared" si="10"/>
        <v>366041.98825576704</v>
      </c>
      <c r="H27" s="129">
        <f t="shared" si="10"/>
        <v>365287.77705420274</v>
      </c>
      <c r="I27" s="129">
        <f t="shared" si="10"/>
        <v>353031.09772168275</v>
      </c>
      <c r="J27" s="129">
        <f t="shared" si="10"/>
        <v>364407.24644810782</v>
      </c>
      <c r="K27" s="129">
        <f t="shared" si="10"/>
        <v>352137.19690052798</v>
      </c>
      <c r="L27" s="129">
        <f t="shared" si="10"/>
        <v>363089.01013650553</v>
      </c>
      <c r="M27" s="129">
        <f t="shared" si="10"/>
        <v>362315.51944999007</v>
      </c>
      <c r="N27" s="129">
        <f t="shared" si="10"/>
        <v>326948.00040985859</v>
      </c>
      <c r="O27" s="129">
        <f t="shared" si="10"/>
        <v>362280.80043389805</v>
      </c>
      <c r="P27" s="130">
        <f>SUM(D27:O27)</f>
        <v>4294625.6427928451</v>
      </c>
    </row>
    <row r="28" spans="1:18" ht="12.6" thickBot="1">
      <c r="A28" s="123">
        <f>A27+1</f>
        <v>19</v>
      </c>
      <c r="B28" s="147" t="s">
        <v>92</v>
      </c>
      <c r="C28" s="131"/>
      <c r="D28" s="148">
        <f t="shared" ref="D28:O28" si="11">SUM(D26:D27)</f>
        <v>643106.40977845853</v>
      </c>
      <c r="E28" s="148">
        <f t="shared" si="11"/>
        <v>663750.95224206964</v>
      </c>
      <c r="F28" s="148">
        <f t="shared" si="11"/>
        <v>640762.22660125722</v>
      </c>
      <c r="G28" s="148">
        <f t="shared" si="11"/>
        <v>660356.6454826605</v>
      </c>
      <c r="H28" s="148">
        <f t="shared" si="11"/>
        <v>658848.22307953204</v>
      </c>
      <c r="I28" s="148">
        <f t="shared" si="11"/>
        <v>636648.64928639098</v>
      </c>
      <c r="J28" s="148">
        <f t="shared" si="11"/>
        <v>657087.16186734207</v>
      </c>
      <c r="K28" s="148">
        <f t="shared" si="11"/>
        <v>634860.84764408157</v>
      </c>
      <c r="L28" s="148">
        <f t="shared" si="11"/>
        <v>654450.68924413749</v>
      </c>
      <c r="M28" s="148">
        <f t="shared" si="11"/>
        <v>652903.70787110645</v>
      </c>
      <c r="N28" s="148">
        <f t="shared" si="11"/>
        <v>589110.02440654114</v>
      </c>
      <c r="O28" s="148">
        <f t="shared" si="11"/>
        <v>652834.26983892266</v>
      </c>
      <c r="P28" s="149">
        <f>SUM(D28:O28)</f>
        <v>7744719.8073424995</v>
      </c>
    </row>
    <row r="29" spans="1:18" ht="5.25" customHeight="1" thickTop="1">
      <c r="A29" s="123"/>
      <c r="B29" s="137"/>
      <c r="C29" s="137"/>
      <c r="D29" s="137"/>
      <c r="E29" s="137"/>
      <c r="F29" s="137"/>
      <c r="G29" s="137"/>
      <c r="H29" s="137"/>
      <c r="I29" s="137"/>
      <c r="J29" s="137"/>
      <c r="K29" s="137"/>
      <c r="L29" s="137"/>
      <c r="M29" s="137"/>
      <c r="N29" s="137"/>
      <c r="O29" s="137"/>
      <c r="P29" s="145"/>
    </row>
    <row r="30" spans="1:18">
      <c r="A30" s="123">
        <f>A28+1</f>
        <v>20</v>
      </c>
      <c r="B30" s="120" t="s">
        <v>93</v>
      </c>
      <c r="C30" s="137"/>
      <c r="D30" s="150">
        <f t="shared" ref="D30:O30" si="12">(+D28/1000)/((D12+C12)/2)*(360/D23)</f>
        <v>4.1691845529091859E-2</v>
      </c>
      <c r="E30" s="150">
        <f t="shared" si="12"/>
        <v>4.1642136159882465E-2</v>
      </c>
      <c r="F30" s="150">
        <f t="shared" si="12"/>
        <v>4.153987484207998E-2</v>
      </c>
      <c r="G30" s="150">
        <f t="shared" si="12"/>
        <v>4.1429185528676173E-2</v>
      </c>
      <c r="H30" s="150">
        <f t="shared" si="12"/>
        <v>4.133455074000203E-2</v>
      </c>
      <c r="I30" s="150">
        <f t="shared" si="12"/>
        <v>4.1273196377403412E-2</v>
      </c>
      <c r="J30" s="150">
        <f t="shared" si="12"/>
        <v>4.1224066000904939E-2</v>
      </c>
      <c r="K30" s="150">
        <f t="shared" si="12"/>
        <v>4.115729526247984E-2</v>
      </c>
      <c r="L30" s="150">
        <f t="shared" si="12"/>
        <v>4.105866005822955E-2</v>
      </c>
      <c r="M30" s="150">
        <f t="shared" si="12"/>
        <v>4.096160617264949E-2</v>
      </c>
      <c r="N30" s="150">
        <f t="shared" si="12"/>
        <v>4.0919273839797828E-2</v>
      </c>
      <c r="O30" s="150">
        <f t="shared" si="12"/>
        <v>4.0957249797745461E-2</v>
      </c>
      <c r="P30" s="150">
        <f>ROUND(P28/(P7*1000),4)</f>
        <v>4.1799999999999997E-2</v>
      </c>
      <c r="R30" s="150"/>
    </row>
    <row r="31" spans="1:18" ht="4.5" customHeight="1">
      <c r="A31" s="123"/>
      <c r="B31" s="137"/>
      <c r="C31" s="137"/>
      <c r="D31" s="137"/>
      <c r="E31" s="137"/>
      <c r="F31" s="137"/>
      <c r="G31" s="137"/>
      <c r="H31" s="137"/>
      <c r="I31" s="137"/>
      <c r="J31" s="137"/>
      <c r="K31" s="137"/>
      <c r="L31" s="137"/>
      <c r="M31" s="137"/>
      <c r="N31" s="137"/>
      <c r="O31" s="137"/>
      <c r="P31" s="145"/>
    </row>
    <row r="32" spans="1:18">
      <c r="A32" s="123">
        <f>A30+1</f>
        <v>21</v>
      </c>
      <c r="B32" s="127" t="s">
        <v>94</v>
      </c>
      <c r="D32" s="137"/>
      <c r="E32" s="137"/>
      <c r="F32" s="137"/>
      <c r="G32" s="137"/>
      <c r="H32" s="137"/>
      <c r="I32" s="137"/>
      <c r="J32" s="137"/>
      <c r="K32" s="137"/>
      <c r="L32" s="137"/>
      <c r="M32" s="137"/>
      <c r="N32" s="137"/>
      <c r="O32" s="137"/>
      <c r="P32" s="145"/>
    </row>
    <row r="33" spans="1:18">
      <c r="A33" s="123">
        <f>A32+1</f>
        <v>22</v>
      </c>
      <c r="B33" s="131" t="s">
        <v>95</v>
      </c>
      <c r="C33" s="151">
        <v>800000</v>
      </c>
      <c r="D33" s="128">
        <f>C33</f>
        <v>800000</v>
      </c>
      <c r="E33" s="128">
        <f t="shared" ref="E33:O33" si="13">D33</f>
        <v>800000</v>
      </c>
      <c r="F33" s="128">
        <f t="shared" si="13"/>
        <v>800000</v>
      </c>
      <c r="G33" s="128">
        <f t="shared" si="13"/>
        <v>800000</v>
      </c>
      <c r="H33" s="128">
        <f t="shared" si="13"/>
        <v>800000</v>
      </c>
      <c r="I33" s="128">
        <f t="shared" si="13"/>
        <v>800000</v>
      </c>
      <c r="J33" s="128">
        <f t="shared" si="13"/>
        <v>800000</v>
      </c>
      <c r="K33" s="128">
        <f t="shared" si="13"/>
        <v>800000</v>
      </c>
      <c r="L33" s="128">
        <f t="shared" si="13"/>
        <v>800000</v>
      </c>
      <c r="M33" s="128">
        <f t="shared" si="13"/>
        <v>800000</v>
      </c>
      <c r="N33" s="128">
        <f t="shared" si="13"/>
        <v>800000</v>
      </c>
      <c r="O33" s="128">
        <f t="shared" si="13"/>
        <v>800000</v>
      </c>
      <c r="P33" s="145"/>
    </row>
    <row r="34" spans="1:18">
      <c r="A34" s="123">
        <f>A33+1</f>
        <v>23</v>
      </c>
      <c r="B34" s="131" t="s">
        <v>96</v>
      </c>
      <c r="C34" s="225">
        <f>C11+C42</f>
        <v>92551.394875965838</v>
      </c>
      <c r="D34" s="129">
        <f t="shared" ref="D34:O34" si="14">D11+D42</f>
        <v>92551.394875965838</v>
      </c>
      <c r="E34" s="129">
        <f t="shared" si="14"/>
        <v>92551.394875965838</v>
      </c>
      <c r="F34" s="129">
        <f t="shared" si="14"/>
        <v>92551.394875965838</v>
      </c>
      <c r="G34" s="129">
        <f t="shared" si="14"/>
        <v>92551.394875965838</v>
      </c>
      <c r="H34" s="129">
        <f t="shared" si="14"/>
        <v>92551.394875965838</v>
      </c>
      <c r="I34" s="129">
        <f t="shared" si="14"/>
        <v>92551.394875965838</v>
      </c>
      <c r="J34" s="129">
        <f t="shared" si="14"/>
        <v>92551.394875965838</v>
      </c>
      <c r="K34" s="129">
        <f t="shared" si="14"/>
        <v>92551.394875965838</v>
      </c>
      <c r="L34" s="129">
        <f t="shared" si="14"/>
        <v>92551.394875965838</v>
      </c>
      <c r="M34" s="129">
        <f t="shared" si="14"/>
        <v>92551.394875965838</v>
      </c>
      <c r="N34" s="129">
        <f t="shared" si="14"/>
        <v>92551.394875965838</v>
      </c>
      <c r="O34" s="129">
        <f t="shared" si="14"/>
        <v>92551.394875965838</v>
      </c>
      <c r="P34" s="145"/>
    </row>
    <row r="35" spans="1:18">
      <c r="A35" s="123">
        <f>A34+1</f>
        <v>24</v>
      </c>
      <c r="B35" s="152" t="s">
        <v>97</v>
      </c>
      <c r="C35" s="153">
        <f>C33-C34</f>
        <v>707448.60512403422</v>
      </c>
      <c r="D35" s="153">
        <f t="shared" ref="D35:O35" si="15">D33-D34</f>
        <v>707448.60512403422</v>
      </c>
      <c r="E35" s="153">
        <f t="shared" si="15"/>
        <v>707448.60512403422</v>
      </c>
      <c r="F35" s="153">
        <f t="shared" si="15"/>
        <v>707448.60512403422</v>
      </c>
      <c r="G35" s="153">
        <f t="shared" si="15"/>
        <v>707448.60512403422</v>
      </c>
      <c r="H35" s="153">
        <f t="shared" si="15"/>
        <v>707448.60512403422</v>
      </c>
      <c r="I35" s="153">
        <f t="shared" si="15"/>
        <v>707448.60512403422</v>
      </c>
      <c r="J35" s="153">
        <f t="shared" si="15"/>
        <v>707448.60512403422</v>
      </c>
      <c r="K35" s="153">
        <f t="shared" si="15"/>
        <v>707448.60512403422</v>
      </c>
      <c r="L35" s="153">
        <f t="shared" si="15"/>
        <v>707448.60512403422</v>
      </c>
      <c r="M35" s="153">
        <f t="shared" si="15"/>
        <v>707448.60512403422</v>
      </c>
      <c r="N35" s="153">
        <f t="shared" si="15"/>
        <v>707448.60512403422</v>
      </c>
      <c r="O35" s="153">
        <f t="shared" si="15"/>
        <v>707448.60512403422</v>
      </c>
      <c r="P35" s="145"/>
    </row>
    <row r="36" spans="1:18" ht="4.5" customHeight="1">
      <c r="A36" s="123"/>
      <c r="B36" s="134"/>
      <c r="C36" s="129"/>
      <c r="D36" s="129"/>
      <c r="E36" s="129"/>
      <c r="F36" s="129"/>
      <c r="G36" s="129"/>
      <c r="H36" s="129"/>
      <c r="I36" s="129"/>
      <c r="J36" s="129"/>
      <c r="K36" s="129"/>
      <c r="L36" s="129"/>
      <c r="M36" s="129"/>
      <c r="N36" s="129"/>
      <c r="O36" s="129"/>
      <c r="P36" s="145"/>
    </row>
    <row r="37" spans="1:18">
      <c r="A37" s="123">
        <f>A35+1</f>
        <v>25</v>
      </c>
      <c r="B37" s="127" t="s">
        <v>98</v>
      </c>
      <c r="C37" s="154" t="s">
        <v>10</v>
      </c>
      <c r="D37" s="137"/>
      <c r="E37" s="137"/>
      <c r="F37" s="137"/>
      <c r="G37" s="137"/>
      <c r="H37" s="137"/>
      <c r="I37" s="137"/>
      <c r="J37" s="137"/>
      <c r="K37" s="137"/>
      <c r="L37" s="137"/>
      <c r="M37" s="137"/>
      <c r="N37" s="137"/>
      <c r="O37" s="137"/>
      <c r="P37" s="145"/>
    </row>
    <row r="38" spans="1:18">
      <c r="A38" s="123">
        <f>A37+1</f>
        <v>26</v>
      </c>
      <c r="B38" s="143" t="s">
        <v>99</v>
      </c>
      <c r="C38" s="221">
        <v>1.75E-3</v>
      </c>
      <c r="D38" s="129">
        <f>AVERAGE(C35:D35)*($C38*D$23/360)*1000</f>
        <v>103169.58824725499</v>
      </c>
      <c r="E38" s="129">
        <f>AVERAGE(D35:E35)*($C38*E$23/360)*1000</f>
        <v>106608.5745221635</v>
      </c>
      <c r="F38" s="129">
        <f t="shared" ref="F38:O38" si="16">AVERAGE(E35:F35)*($C38*F$23/360)*1000</f>
        <v>103169.58824725499</v>
      </c>
      <c r="G38" s="129">
        <f t="shared" si="16"/>
        <v>106608.5745221635</v>
      </c>
      <c r="H38" s="129">
        <f t="shared" si="16"/>
        <v>106608.5745221635</v>
      </c>
      <c r="I38" s="129">
        <f t="shared" si="16"/>
        <v>103169.58824725499</v>
      </c>
      <c r="J38" s="129">
        <f t="shared" si="16"/>
        <v>106608.5745221635</v>
      </c>
      <c r="K38" s="129">
        <f t="shared" si="16"/>
        <v>103169.58824725499</v>
      </c>
      <c r="L38" s="129">
        <f t="shared" si="16"/>
        <v>106608.5745221635</v>
      </c>
      <c r="M38" s="129">
        <f t="shared" si="16"/>
        <v>106608.5745221635</v>
      </c>
      <c r="N38" s="129">
        <f t="shared" si="16"/>
        <v>96291.615697437999</v>
      </c>
      <c r="O38" s="129">
        <f t="shared" si="16"/>
        <v>106608.5745221635</v>
      </c>
      <c r="P38" s="130">
        <f>SUM(D38:O38)</f>
        <v>1255229.9903416024</v>
      </c>
    </row>
    <row r="39" spans="1:18" ht="12.6" thickBot="1">
      <c r="A39" s="123">
        <f>A38+1</f>
        <v>27</v>
      </c>
      <c r="B39" s="147" t="s">
        <v>100</v>
      </c>
      <c r="C39" s="155"/>
      <c r="D39" s="156">
        <f t="shared" ref="D39:O39" si="17">SUM(D38:D38)</f>
        <v>103169.58824725499</v>
      </c>
      <c r="E39" s="156">
        <f t="shared" si="17"/>
        <v>106608.5745221635</v>
      </c>
      <c r="F39" s="156">
        <f t="shared" si="17"/>
        <v>103169.58824725499</v>
      </c>
      <c r="G39" s="156">
        <f t="shared" si="17"/>
        <v>106608.5745221635</v>
      </c>
      <c r="H39" s="156">
        <f t="shared" si="17"/>
        <v>106608.5745221635</v>
      </c>
      <c r="I39" s="156">
        <f t="shared" si="17"/>
        <v>103169.58824725499</v>
      </c>
      <c r="J39" s="156">
        <f t="shared" si="17"/>
        <v>106608.5745221635</v>
      </c>
      <c r="K39" s="156">
        <f t="shared" si="17"/>
        <v>103169.58824725499</v>
      </c>
      <c r="L39" s="156">
        <f t="shared" si="17"/>
        <v>106608.5745221635</v>
      </c>
      <c r="M39" s="156">
        <f t="shared" si="17"/>
        <v>106608.5745221635</v>
      </c>
      <c r="N39" s="156">
        <f t="shared" si="17"/>
        <v>96291.615697437999</v>
      </c>
      <c r="O39" s="156">
        <f t="shared" si="17"/>
        <v>106608.5745221635</v>
      </c>
      <c r="P39" s="149">
        <f>SUM(D39:O39)</f>
        <v>1255229.9903416024</v>
      </c>
      <c r="R39" s="157"/>
    </row>
    <row r="40" spans="1:18" ht="6" customHeight="1" thickTop="1">
      <c r="A40" s="123"/>
      <c r="B40" s="158"/>
      <c r="C40" s="159"/>
      <c r="D40" s="159"/>
      <c r="E40" s="159"/>
      <c r="F40" s="159"/>
      <c r="G40" s="159"/>
      <c r="H40" s="120"/>
      <c r="I40" s="120"/>
      <c r="J40" s="120"/>
      <c r="K40" s="120"/>
      <c r="L40" s="120"/>
      <c r="M40" s="120"/>
      <c r="N40" s="120"/>
      <c r="O40" s="120"/>
      <c r="P40" s="120"/>
    </row>
    <row r="41" spans="1:18" ht="12" customHeight="1">
      <c r="A41" s="123">
        <f>A39+1</f>
        <v>28</v>
      </c>
      <c r="B41" s="127" t="s">
        <v>101</v>
      </c>
      <c r="C41" s="160">
        <v>0.01</v>
      </c>
      <c r="D41" s="159"/>
      <c r="E41" s="159"/>
      <c r="F41" s="159"/>
      <c r="G41" s="159"/>
      <c r="H41" s="120"/>
      <c r="I41" s="120"/>
      <c r="J41" s="120"/>
      <c r="K41" s="120"/>
      <c r="L41" s="120"/>
      <c r="M41" s="120"/>
      <c r="N41" s="120"/>
      <c r="O41" s="120"/>
      <c r="P41" s="120"/>
    </row>
    <row r="42" spans="1:18" ht="12" customHeight="1">
      <c r="A42" s="123">
        <f>A41+1</f>
        <v>29</v>
      </c>
      <c r="B42" s="131" t="s">
        <v>102</v>
      </c>
      <c r="C42" s="128"/>
      <c r="D42" s="151">
        <v>0</v>
      </c>
      <c r="E42" s="151">
        <f t="shared" ref="E42:O42" si="18">D42</f>
        <v>0</v>
      </c>
      <c r="F42" s="151">
        <f t="shared" si="18"/>
        <v>0</v>
      </c>
      <c r="G42" s="151">
        <f t="shared" si="18"/>
        <v>0</v>
      </c>
      <c r="H42" s="151">
        <f t="shared" si="18"/>
        <v>0</v>
      </c>
      <c r="I42" s="151">
        <f t="shared" si="18"/>
        <v>0</v>
      </c>
      <c r="J42" s="151">
        <f t="shared" si="18"/>
        <v>0</v>
      </c>
      <c r="K42" s="151">
        <f t="shared" si="18"/>
        <v>0</v>
      </c>
      <c r="L42" s="151">
        <f t="shared" si="18"/>
        <v>0</v>
      </c>
      <c r="M42" s="151">
        <f t="shared" si="18"/>
        <v>0</v>
      </c>
      <c r="N42" s="151">
        <f t="shared" si="18"/>
        <v>0</v>
      </c>
      <c r="O42" s="151">
        <f t="shared" si="18"/>
        <v>0</v>
      </c>
      <c r="P42" s="130"/>
    </row>
    <row r="43" spans="1:18" ht="12" customHeight="1">
      <c r="A43" s="123">
        <f>A42+1</f>
        <v>30</v>
      </c>
      <c r="B43" s="131" t="s">
        <v>103</v>
      </c>
      <c r="C43" s="128"/>
      <c r="D43" s="151">
        <f>2814013/1000</f>
        <v>2814.0129999999999</v>
      </c>
      <c r="E43" s="151">
        <f>$D$43</f>
        <v>2814.0129999999999</v>
      </c>
      <c r="F43" s="151">
        <f>$D$43</f>
        <v>2814.0129999999999</v>
      </c>
      <c r="G43" s="151">
        <f>2654750/1000</f>
        <v>2654.75</v>
      </c>
      <c r="H43" s="151">
        <f>$G$43</f>
        <v>2654.75</v>
      </c>
      <c r="I43" s="151">
        <f t="shared" ref="I43:O43" si="19">$G$43</f>
        <v>2654.75</v>
      </c>
      <c r="J43" s="151">
        <f t="shared" si="19"/>
        <v>2654.75</v>
      </c>
      <c r="K43" s="151">
        <f t="shared" si="19"/>
        <v>2654.75</v>
      </c>
      <c r="L43" s="151">
        <f t="shared" si="19"/>
        <v>2654.75</v>
      </c>
      <c r="M43" s="151">
        <f t="shared" si="19"/>
        <v>2654.75</v>
      </c>
      <c r="N43" s="151">
        <f t="shared" si="19"/>
        <v>2654.75</v>
      </c>
      <c r="O43" s="151">
        <f t="shared" si="19"/>
        <v>2654.75</v>
      </c>
      <c r="P43" s="130"/>
    </row>
    <row r="44" spans="1:18" ht="12" customHeight="1" thickBot="1">
      <c r="A44" s="123">
        <f>A43+1</f>
        <v>31</v>
      </c>
      <c r="B44" s="147" t="s">
        <v>136</v>
      </c>
      <c r="C44" s="160">
        <v>0.01</v>
      </c>
      <c r="D44" s="156">
        <f>D42*($C41*D$23/360)*1000+D43*($C44*D$23/360)*1000</f>
        <v>2345.0108333333333</v>
      </c>
      <c r="E44" s="156">
        <f t="shared" ref="E44:O44" si="20">E42*($C41*E$23/360)*1000+E43*($C44*E$23/360)*1000</f>
        <v>2423.1778611111113</v>
      </c>
      <c r="F44" s="156">
        <f t="shared" si="20"/>
        <v>2345.0108333333333</v>
      </c>
      <c r="G44" s="156">
        <f t="shared" si="20"/>
        <v>2286.0347222222222</v>
      </c>
      <c r="H44" s="156">
        <f t="shared" si="20"/>
        <v>2286.0347222222222</v>
      </c>
      <c r="I44" s="156">
        <f t="shared" si="20"/>
        <v>2212.2916666666665</v>
      </c>
      <c r="J44" s="156">
        <f t="shared" si="20"/>
        <v>2286.0347222222222</v>
      </c>
      <c r="K44" s="156">
        <f t="shared" si="20"/>
        <v>2212.2916666666665</v>
      </c>
      <c r="L44" s="156">
        <f t="shared" si="20"/>
        <v>2286.0347222222222</v>
      </c>
      <c r="M44" s="156">
        <f t="shared" si="20"/>
        <v>2286.0347222222222</v>
      </c>
      <c r="N44" s="156">
        <f t="shared" si="20"/>
        <v>2064.8055555555557</v>
      </c>
      <c r="O44" s="156">
        <f t="shared" si="20"/>
        <v>2286.0347222222222</v>
      </c>
      <c r="P44" s="149">
        <f>SUM(D44:O44)</f>
        <v>27318.796750000001</v>
      </c>
      <c r="R44" s="157"/>
    </row>
    <row r="45" spans="1:18" ht="12.75" customHeight="1" thickTop="1">
      <c r="A45" s="123"/>
      <c r="B45" s="147"/>
      <c r="C45" s="161"/>
      <c r="D45" s="129"/>
      <c r="E45" s="129"/>
      <c r="F45" s="162"/>
      <c r="G45" s="129"/>
      <c r="H45" s="129"/>
      <c r="I45" s="129"/>
      <c r="J45" s="129"/>
      <c r="K45" s="129"/>
      <c r="L45" s="129"/>
      <c r="M45" s="129"/>
      <c r="N45" s="129"/>
      <c r="O45" s="163" t="s">
        <v>104</v>
      </c>
      <c r="P45" s="130">
        <f>P39+P44</f>
        <v>1282548.7870916023</v>
      </c>
      <c r="R45" s="157"/>
    </row>
    <row r="46" spans="1:18" ht="12.75" customHeight="1">
      <c r="A46" s="123"/>
      <c r="B46" s="147"/>
      <c r="C46" s="161"/>
      <c r="D46" s="129"/>
      <c r="E46" s="129"/>
      <c r="F46" s="129"/>
      <c r="G46" s="129"/>
      <c r="H46" s="129"/>
      <c r="I46" s="129"/>
      <c r="J46" s="129"/>
      <c r="K46" s="129"/>
      <c r="L46" s="129"/>
      <c r="M46" s="129"/>
      <c r="N46" s="129"/>
      <c r="O46" s="163" t="s">
        <v>116</v>
      </c>
      <c r="P46" s="130">
        <f>'Pg 2 Cost of Total Debt'!H38</f>
        <v>7978568523.7901583</v>
      </c>
      <c r="R46" s="157"/>
    </row>
    <row r="47" spans="1:18" ht="12.75" customHeight="1">
      <c r="A47" s="123"/>
      <c r="B47" s="147"/>
      <c r="C47" s="161"/>
      <c r="D47" s="129"/>
      <c r="E47" s="129"/>
      <c r="F47" s="129"/>
      <c r="G47" s="129"/>
      <c r="H47" s="129"/>
      <c r="I47" s="129"/>
      <c r="J47" s="129"/>
      <c r="K47" s="129"/>
      <c r="L47" s="129"/>
      <c r="M47" s="129"/>
      <c r="N47" s="129"/>
      <c r="O47" s="163" t="s">
        <v>105</v>
      </c>
      <c r="P47" s="164">
        <f>ROUND(P45/P46,4)</f>
        <v>2.0000000000000001E-4</v>
      </c>
      <c r="R47" s="157"/>
    </row>
    <row r="48" spans="1:18" ht="12" customHeight="1">
      <c r="A48" s="123"/>
      <c r="B48" s="147"/>
      <c r="C48" s="161"/>
      <c r="D48" s="129"/>
      <c r="E48" s="129"/>
      <c r="F48" s="129"/>
      <c r="G48" s="129"/>
      <c r="H48" s="129"/>
      <c r="I48" s="129"/>
      <c r="J48" s="129"/>
      <c r="K48" s="129"/>
      <c r="L48" s="129"/>
      <c r="M48" s="129"/>
      <c r="N48" s="129"/>
      <c r="O48" s="129"/>
      <c r="P48" s="164"/>
      <c r="R48" s="157"/>
    </row>
    <row r="49" spans="1:18" ht="6" customHeight="1">
      <c r="A49" s="123"/>
      <c r="B49" s="158"/>
      <c r="C49" s="159"/>
      <c r="D49" s="159"/>
      <c r="E49" s="159"/>
      <c r="F49" s="159"/>
      <c r="G49" s="159"/>
      <c r="H49" s="120"/>
      <c r="I49" s="120"/>
      <c r="J49" s="120"/>
      <c r="K49" s="120"/>
      <c r="L49" s="120"/>
      <c r="M49" s="120"/>
      <c r="N49" s="120"/>
      <c r="O49" s="120"/>
      <c r="P49" s="120"/>
    </row>
    <row r="50" spans="1:18">
      <c r="A50" s="123">
        <f>A44+1</f>
        <v>32</v>
      </c>
      <c r="B50" s="127" t="s">
        <v>133</v>
      </c>
      <c r="C50" s="159"/>
      <c r="D50" s="159"/>
      <c r="E50" s="159"/>
      <c r="F50" s="159"/>
      <c r="G50" s="159"/>
      <c r="H50" s="120"/>
      <c r="I50" s="120"/>
      <c r="J50" s="120"/>
      <c r="K50" s="120"/>
      <c r="L50" s="120"/>
      <c r="M50" s="120"/>
      <c r="N50" s="120"/>
      <c r="O50" s="120"/>
      <c r="P50" s="120"/>
    </row>
    <row r="51" spans="1:18">
      <c r="A51" s="123">
        <f t="shared" ref="A51:A57" si="21">A50+1</f>
        <v>33</v>
      </c>
      <c r="B51" s="143" t="s">
        <v>143</v>
      </c>
      <c r="C51" s="159"/>
      <c r="D51" s="151">
        <v>0</v>
      </c>
      <c r="E51" s="151">
        <v>0</v>
      </c>
      <c r="F51" s="151">
        <v>0</v>
      </c>
      <c r="G51" s="151">
        <v>0</v>
      </c>
      <c r="H51" s="151">
        <v>0</v>
      </c>
      <c r="I51" s="151">
        <v>0</v>
      </c>
      <c r="J51" s="151">
        <v>0</v>
      </c>
      <c r="K51" s="151">
        <v>0</v>
      </c>
      <c r="L51" s="151">
        <v>0</v>
      </c>
      <c r="M51" s="151">
        <v>0</v>
      </c>
      <c r="N51" s="151">
        <v>0</v>
      </c>
      <c r="O51" s="151">
        <v>0</v>
      </c>
      <c r="P51" s="130">
        <f t="shared" ref="P51:P57" si="22">SUM(D51:O51)</f>
        <v>0</v>
      </c>
      <c r="R51" s="155"/>
    </row>
    <row r="52" spans="1:18">
      <c r="A52" s="123">
        <f t="shared" si="21"/>
        <v>34</v>
      </c>
      <c r="B52" s="143" t="s">
        <v>144</v>
      </c>
      <c r="C52" s="159"/>
      <c r="D52" s="151">
        <v>0</v>
      </c>
      <c r="E52" s="151">
        <v>0</v>
      </c>
      <c r="F52" s="151">
        <v>0</v>
      </c>
      <c r="G52" s="151">
        <v>0</v>
      </c>
      <c r="H52" s="151">
        <v>0</v>
      </c>
      <c r="I52" s="151">
        <v>0</v>
      </c>
      <c r="J52" s="151">
        <v>0</v>
      </c>
      <c r="K52" s="151">
        <v>0</v>
      </c>
      <c r="L52" s="151">
        <v>0</v>
      </c>
      <c r="M52" s="151">
        <v>0</v>
      </c>
      <c r="N52" s="151">
        <v>0</v>
      </c>
      <c r="O52" s="151">
        <v>0</v>
      </c>
      <c r="P52" s="130">
        <f t="shared" si="22"/>
        <v>0</v>
      </c>
    </row>
    <row r="53" spans="1:18">
      <c r="A53" s="123">
        <f t="shared" si="21"/>
        <v>35</v>
      </c>
      <c r="B53" s="143" t="s">
        <v>145</v>
      </c>
      <c r="C53" s="159"/>
      <c r="D53" s="151">
        <v>10211.44</v>
      </c>
      <c r="E53" s="151">
        <v>10211.44</v>
      </c>
      <c r="F53" s="151">
        <v>10211.44</v>
      </c>
      <c r="G53" s="151">
        <v>10211.44</v>
      </c>
      <c r="H53" s="151">
        <v>10211.44</v>
      </c>
      <c r="I53" s="151">
        <v>10211.44</v>
      </c>
      <c r="J53" s="151">
        <v>10211.44</v>
      </c>
      <c r="K53" s="151">
        <v>10211.44</v>
      </c>
      <c r="L53" s="151">
        <v>10211.44</v>
      </c>
      <c r="M53" s="151">
        <v>10211.44</v>
      </c>
      <c r="N53" s="151">
        <v>10211.44</v>
      </c>
      <c r="O53" s="151">
        <v>10211.44</v>
      </c>
      <c r="P53" s="130">
        <f t="shared" si="22"/>
        <v>122537.28000000001</v>
      </c>
    </row>
    <row r="54" spans="1:18">
      <c r="A54" s="123">
        <f t="shared" si="21"/>
        <v>36</v>
      </c>
      <c r="B54" s="143" t="s">
        <v>146</v>
      </c>
      <c r="C54" s="159"/>
      <c r="D54" s="151">
        <v>2285.1</v>
      </c>
      <c r="E54" s="151">
        <v>2285.1</v>
      </c>
      <c r="F54" s="151">
        <v>2285.1</v>
      </c>
      <c r="G54" s="151">
        <v>2285.1</v>
      </c>
      <c r="H54" s="151">
        <v>2285.1</v>
      </c>
      <c r="I54" s="151">
        <v>2285.1</v>
      </c>
      <c r="J54" s="151">
        <v>2285.1</v>
      </c>
      <c r="K54" s="151">
        <v>2285.1</v>
      </c>
      <c r="L54" s="151">
        <v>2285.1</v>
      </c>
      <c r="M54" s="151">
        <v>2285.1</v>
      </c>
      <c r="N54" s="151">
        <v>2285.1</v>
      </c>
      <c r="O54" s="151">
        <v>2285.1</v>
      </c>
      <c r="P54" s="130">
        <f t="shared" si="22"/>
        <v>27421.199999999993</v>
      </c>
    </row>
    <row r="55" spans="1:18">
      <c r="A55" s="123">
        <f t="shared" si="21"/>
        <v>37</v>
      </c>
      <c r="B55" s="143" t="s">
        <v>147</v>
      </c>
      <c r="C55" s="159"/>
      <c r="D55" s="151">
        <v>46204.63</v>
      </c>
      <c r="E55" s="151">
        <v>46204.63</v>
      </c>
      <c r="F55" s="151">
        <v>46204.63</v>
      </c>
      <c r="G55" s="151">
        <v>46204.63</v>
      </c>
      <c r="H55" s="151">
        <v>46204.63</v>
      </c>
      <c r="I55" s="151">
        <v>46204.63</v>
      </c>
      <c r="J55" s="151">
        <v>46204.63</v>
      </c>
      <c r="K55" s="151">
        <v>46204.63</v>
      </c>
      <c r="L55" s="151">
        <v>46204.63</v>
      </c>
      <c r="M55" s="151">
        <v>46204.63</v>
      </c>
      <c r="N55" s="151">
        <v>46204.63</v>
      </c>
      <c r="O55" s="151">
        <v>46204.63</v>
      </c>
      <c r="P55" s="130">
        <f t="shared" si="22"/>
        <v>554455.55999999994</v>
      </c>
    </row>
    <row r="56" spans="1:18">
      <c r="A56" s="123">
        <f t="shared" si="21"/>
        <v>38</v>
      </c>
      <c r="B56" s="143" t="s">
        <v>148</v>
      </c>
      <c r="C56" s="159"/>
      <c r="D56" s="151">
        <v>1580.06</v>
      </c>
      <c r="E56" s="151">
        <v>1580.06</v>
      </c>
      <c r="F56" s="151">
        <v>1580.06</v>
      </c>
      <c r="G56" s="151">
        <v>1580.06</v>
      </c>
      <c r="H56" s="151">
        <v>1580.06</v>
      </c>
      <c r="I56" s="151">
        <v>1580.06</v>
      </c>
      <c r="J56" s="151">
        <v>1580.06</v>
      </c>
      <c r="K56" s="151">
        <v>1580.06</v>
      </c>
      <c r="L56" s="151">
        <v>1580.06</v>
      </c>
      <c r="M56" s="151">
        <v>1580.06</v>
      </c>
      <c r="N56" s="151">
        <v>1580.06</v>
      </c>
      <c r="O56" s="151">
        <v>1580.06</v>
      </c>
      <c r="P56" s="130">
        <f t="shared" si="22"/>
        <v>18960.719999999998</v>
      </c>
    </row>
    <row r="57" spans="1:18" ht="12" customHeight="1" thickBot="1">
      <c r="A57" s="123">
        <f t="shared" si="21"/>
        <v>39</v>
      </c>
      <c r="B57" s="147" t="s">
        <v>106</v>
      </c>
      <c r="C57" s="159"/>
      <c r="D57" s="165">
        <f>SUM(D51:D56)</f>
        <v>60281.229999999996</v>
      </c>
      <c r="E57" s="165">
        <f t="shared" ref="E57:O57" si="23">SUM(E51:E56)</f>
        <v>60281.229999999996</v>
      </c>
      <c r="F57" s="165">
        <f t="shared" si="23"/>
        <v>60281.229999999996</v>
      </c>
      <c r="G57" s="165">
        <f t="shared" si="23"/>
        <v>60281.229999999996</v>
      </c>
      <c r="H57" s="165">
        <f t="shared" si="23"/>
        <v>60281.229999999996</v>
      </c>
      <c r="I57" s="165">
        <f t="shared" si="23"/>
        <v>60281.229999999996</v>
      </c>
      <c r="J57" s="165">
        <f t="shared" si="23"/>
        <v>60281.229999999996</v>
      </c>
      <c r="K57" s="165">
        <f t="shared" si="23"/>
        <v>60281.229999999996</v>
      </c>
      <c r="L57" s="165">
        <f t="shared" si="23"/>
        <v>60281.229999999996</v>
      </c>
      <c r="M57" s="165">
        <f t="shared" si="23"/>
        <v>60281.229999999996</v>
      </c>
      <c r="N57" s="165">
        <f t="shared" si="23"/>
        <v>60281.229999999996</v>
      </c>
      <c r="O57" s="165">
        <f t="shared" si="23"/>
        <v>60281.229999999996</v>
      </c>
      <c r="P57" s="149">
        <f t="shared" si="22"/>
        <v>723374.75999999989</v>
      </c>
      <c r="R57" s="157"/>
    </row>
    <row r="58" spans="1:18" ht="12" customHeight="1" thickTop="1">
      <c r="A58" s="123"/>
      <c r="B58" s="147"/>
      <c r="C58" s="159"/>
      <c r="D58" s="166"/>
      <c r="E58" s="166"/>
      <c r="F58" s="166"/>
      <c r="G58" s="166"/>
      <c r="H58" s="166"/>
      <c r="I58" s="166"/>
      <c r="J58" s="166"/>
      <c r="K58" s="166"/>
      <c r="L58" s="166"/>
      <c r="M58" s="166"/>
      <c r="N58" s="166"/>
      <c r="O58" s="163" t="s">
        <v>116</v>
      </c>
      <c r="P58" s="130">
        <f>'Pg 2 Cost of Total Debt'!$H$38</f>
        <v>7978568523.7901583</v>
      </c>
      <c r="R58" s="157"/>
    </row>
    <row r="59" spans="1:18" ht="12" customHeight="1">
      <c r="A59" s="123"/>
      <c r="B59" s="147"/>
      <c r="C59" s="159"/>
      <c r="D59" s="166"/>
      <c r="E59" s="166"/>
      <c r="F59" s="166"/>
      <c r="G59" s="166"/>
      <c r="H59" s="166"/>
      <c r="I59" s="166"/>
      <c r="J59" s="166"/>
      <c r="K59" s="166"/>
      <c r="L59" s="166"/>
      <c r="M59" s="166"/>
      <c r="N59" s="166"/>
      <c r="O59" s="163" t="s">
        <v>107</v>
      </c>
      <c r="P59" s="164">
        <f>ROUND(P57/P58,4)</f>
        <v>1E-4</v>
      </c>
      <c r="R59" s="157"/>
    </row>
    <row r="60" spans="1:18" ht="12" customHeight="1">
      <c r="A60" s="123"/>
      <c r="P60" s="42"/>
    </row>
    <row r="61" spans="1:18" ht="12" customHeight="1">
      <c r="A61" s="123">
        <f>A57+1</f>
        <v>40</v>
      </c>
      <c r="B61" s="127" t="s">
        <v>137</v>
      </c>
    </row>
    <row r="62" spans="1:18">
      <c r="B62" s="167"/>
      <c r="C62" s="168"/>
      <c r="D62" s="168"/>
      <c r="E62" s="168"/>
      <c r="F62" s="168"/>
      <c r="G62" s="168"/>
      <c r="H62" s="168"/>
      <c r="I62" s="168"/>
      <c r="J62" s="168"/>
      <c r="K62" s="168"/>
      <c r="L62" s="168"/>
      <c r="M62" s="168"/>
      <c r="N62" s="168"/>
      <c r="O62" s="168"/>
    </row>
  </sheetData>
  <mergeCells count="3">
    <mergeCell ref="A1:P1"/>
    <mergeCell ref="A2:P2"/>
    <mergeCell ref="A3:P3"/>
  </mergeCells>
  <printOptions horizontalCentered="1"/>
  <pageMargins left="0.27" right="0.23" top="1" bottom="0.75" header="0.5" footer="0.5"/>
  <pageSetup scale="71" orientation="landscape" r:id="rId1"/>
  <headerFooter scaleWithDoc="0" alignWithMargins="0">
    <oddFooter>&amp;R&amp;"Times New Roman,Regular"&amp;12Exh. MDM-9
Page 3 of 4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1"/>
  <dimension ref="A1:N54"/>
  <sheetViews>
    <sheetView tabSelected="1" view="pageBreakPreview" zoomScale="90" zoomScaleNormal="100" zoomScaleSheetLayoutView="90" workbookViewId="0">
      <selection activeCell="R12" sqref="R12"/>
    </sheetView>
  </sheetViews>
  <sheetFormatPr defaultColWidth="8.7109375" defaultRowHeight="15.6"/>
  <cols>
    <col min="1" max="1" width="4.7109375" style="16" customWidth="1"/>
    <col min="2" max="2" width="46" style="16" customWidth="1"/>
    <col min="3" max="3" width="10.7109375" style="16" customWidth="1"/>
    <col min="4" max="4" width="11.7109375" style="16" customWidth="1"/>
    <col min="5" max="5" width="12.7109375" style="16" customWidth="1"/>
    <col min="6" max="6" width="15.7109375" style="16" customWidth="1"/>
    <col min="7" max="7" width="13" style="16" customWidth="1"/>
    <col min="8" max="10" width="13.7109375" style="16" customWidth="1"/>
    <col min="11" max="11" width="16.140625" style="16" bestFit="1" customWidth="1"/>
    <col min="12" max="12" width="6.28515625" style="16" customWidth="1"/>
    <col min="13" max="13" width="10.42578125" style="16" bestFit="1" customWidth="1"/>
    <col min="14" max="14" width="9.140625" style="16" bestFit="1" customWidth="1"/>
    <col min="15" max="16384" width="8.7109375" style="16"/>
  </cols>
  <sheetData>
    <row r="1" spans="1:14" ht="12.75" customHeight="1">
      <c r="A1" s="271" t="s">
        <v>75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  <c r="L1" s="169"/>
    </row>
    <row r="2" spans="1:14" ht="12.75" customHeight="1">
      <c r="A2" s="271" t="s">
        <v>15</v>
      </c>
      <c r="B2" s="271"/>
      <c r="C2" s="271"/>
      <c r="D2" s="271"/>
      <c r="E2" s="271"/>
      <c r="F2" s="271"/>
      <c r="G2" s="271"/>
      <c r="H2" s="271"/>
      <c r="I2" s="271"/>
      <c r="J2" s="271"/>
      <c r="K2" s="271"/>
      <c r="L2" s="169"/>
    </row>
    <row r="3" spans="1:14" ht="12.75" customHeight="1">
      <c r="A3" s="271" t="str">
        <f>'Pg 2 Cost of Total Debt'!$A$3</f>
        <v>For The 12 Months Ended March 31, 2021</v>
      </c>
      <c r="B3" s="271"/>
      <c r="C3" s="271"/>
      <c r="D3" s="271"/>
      <c r="E3" s="271"/>
      <c r="F3" s="271"/>
      <c r="G3" s="271"/>
      <c r="H3" s="271"/>
      <c r="I3" s="271"/>
      <c r="J3" s="271"/>
      <c r="K3" s="271"/>
      <c r="L3" s="169"/>
    </row>
    <row r="4" spans="1:14" ht="12.75" customHeight="1">
      <c r="B4" s="170"/>
      <c r="C4" s="170"/>
      <c r="D4" s="170"/>
      <c r="E4" s="171"/>
      <c r="F4" s="171"/>
      <c r="G4" s="171"/>
      <c r="H4" s="171"/>
      <c r="I4" s="171"/>
      <c r="J4" s="171"/>
      <c r="K4" s="171"/>
      <c r="L4" s="169"/>
    </row>
    <row r="5" spans="1:14" ht="12.75" customHeight="1">
      <c r="A5" s="172">
        <v>1</v>
      </c>
      <c r="B5" s="48" t="s">
        <v>1</v>
      </c>
      <c r="C5" s="48" t="s">
        <v>16</v>
      </c>
      <c r="D5" s="48" t="s">
        <v>26</v>
      </c>
      <c r="E5" s="48" t="s">
        <v>28</v>
      </c>
      <c r="F5" s="48" t="s">
        <v>29</v>
      </c>
      <c r="G5" s="173" t="s">
        <v>30</v>
      </c>
      <c r="H5" s="48" t="s">
        <v>31</v>
      </c>
      <c r="I5" s="48" t="s">
        <v>32</v>
      </c>
      <c r="J5" s="48" t="s">
        <v>33</v>
      </c>
      <c r="K5" s="48" t="s">
        <v>35</v>
      </c>
      <c r="L5" s="169"/>
    </row>
    <row r="6" spans="1:14" ht="12.75" customHeight="1">
      <c r="A6" s="172">
        <f t="shared" ref="A6:A35" si="0">A5+1</f>
        <v>2</v>
      </c>
      <c r="B6" s="174" t="s">
        <v>0</v>
      </c>
      <c r="C6" s="175" t="s">
        <v>8</v>
      </c>
      <c r="D6" s="176" t="s">
        <v>46</v>
      </c>
      <c r="E6" s="177" t="s">
        <v>57</v>
      </c>
      <c r="F6" s="177" t="s">
        <v>58</v>
      </c>
      <c r="G6" s="177" t="s">
        <v>58</v>
      </c>
      <c r="H6" s="177" t="s">
        <v>34</v>
      </c>
      <c r="I6" s="176" t="s">
        <v>70</v>
      </c>
      <c r="J6" s="177" t="s">
        <v>71</v>
      </c>
      <c r="K6" s="176" t="s">
        <v>9</v>
      </c>
      <c r="L6" s="169"/>
    </row>
    <row r="7" spans="1:14" ht="12.75" customHeight="1">
      <c r="A7" s="172">
        <f t="shared" si="0"/>
        <v>3</v>
      </c>
      <c r="B7" s="178" t="s">
        <v>8</v>
      </c>
      <c r="C7" s="179" t="s">
        <v>47</v>
      </c>
      <c r="D7" s="179" t="s">
        <v>47</v>
      </c>
      <c r="E7" s="179" t="s">
        <v>47</v>
      </c>
      <c r="F7" s="179" t="s">
        <v>8</v>
      </c>
      <c r="G7" s="179" t="s">
        <v>47</v>
      </c>
      <c r="H7" s="179" t="s">
        <v>59</v>
      </c>
      <c r="I7" s="180" t="s">
        <v>56</v>
      </c>
      <c r="J7" s="179" t="s">
        <v>72</v>
      </c>
      <c r="K7" s="179" t="s">
        <v>56</v>
      </c>
      <c r="L7" s="169"/>
    </row>
    <row r="8" spans="1:14" ht="12.75" customHeight="1">
      <c r="A8" s="172">
        <f t="shared" si="0"/>
        <v>4</v>
      </c>
      <c r="B8" s="181"/>
      <c r="C8" s="182"/>
      <c r="D8" s="182"/>
      <c r="E8" s="182"/>
      <c r="F8" s="182"/>
      <c r="G8" s="182"/>
      <c r="H8" s="183"/>
      <c r="I8" s="183"/>
      <c r="J8" s="183"/>
      <c r="K8" s="184"/>
    </row>
    <row r="9" spans="1:14" ht="12.75" customHeight="1">
      <c r="A9" s="172">
        <f>A8+1</f>
        <v>5</v>
      </c>
      <c r="B9" s="181" t="s">
        <v>54</v>
      </c>
      <c r="C9" s="182">
        <v>33410</v>
      </c>
      <c r="D9" s="182">
        <v>37063</v>
      </c>
      <c r="E9" s="182">
        <v>35961</v>
      </c>
      <c r="F9" s="182" t="s">
        <v>50</v>
      </c>
      <c r="G9" s="182">
        <v>35961</v>
      </c>
      <c r="H9" s="183">
        <v>43266</v>
      </c>
      <c r="I9" s="185">
        <v>291.57</v>
      </c>
      <c r="J9" s="186">
        <v>6</v>
      </c>
      <c r="K9" s="185">
        <f>ROUND(I9*J9,2)</f>
        <v>1749.42</v>
      </c>
      <c r="M9" s="185"/>
      <c r="N9" s="41"/>
    </row>
    <row r="10" spans="1:14" ht="12.75" customHeight="1">
      <c r="A10" s="172">
        <f t="shared" si="0"/>
        <v>6</v>
      </c>
      <c r="B10" s="187" t="s">
        <v>24</v>
      </c>
      <c r="C10" s="182">
        <v>33616</v>
      </c>
      <c r="D10" s="182">
        <f>DATE(2022,1,12)</f>
        <v>44573</v>
      </c>
      <c r="E10" s="188">
        <v>37701</v>
      </c>
      <c r="F10" s="188"/>
      <c r="G10" s="188"/>
      <c r="H10" s="183">
        <f>DATE(2022,1,12)</f>
        <v>44573</v>
      </c>
      <c r="I10" s="185">
        <v>95.089999999999989</v>
      </c>
      <c r="J10" s="186">
        <v>12</v>
      </c>
      <c r="K10" s="185">
        <f t="shared" ref="K10:K26" si="1">ROUND(I10*J10,2)</f>
        <v>1141.08</v>
      </c>
      <c r="M10" s="185"/>
      <c r="N10" s="41"/>
    </row>
    <row r="11" spans="1:14" ht="12.75" customHeight="1">
      <c r="A11" s="172">
        <f t="shared" si="0"/>
        <v>7</v>
      </c>
      <c r="B11" s="187" t="s">
        <v>25</v>
      </c>
      <c r="C11" s="182">
        <v>33616</v>
      </c>
      <c r="D11" s="182">
        <f>DATE(2022,1,13)</f>
        <v>44574</v>
      </c>
      <c r="E11" s="188">
        <v>37701</v>
      </c>
      <c r="F11" s="188"/>
      <c r="G11" s="188"/>
      <c r="H11" s="183">
        <f>DATE(2022,1,13)</f>
        <v>44574</v>
      </c>
      <c r="I11" s="185">
        <v>221.88</v>
      </c>
      <c r="J11" s="186">
        <v>12</v>
      </c>
      <c r="K11" s="185">
        <f t="shared" si="1"/>
        <v>2662.56</v>
      </c>
      <c r="L11" s="189"/>
      <c r="M11" s="185"/>
    </row>
    <row r="12" spans="1:14" ht="12.75" customHeight="1">
      <c r="A12" s="172">
        <f t="shared" si="0"/>
        <v>8</v>
      </c>
      <c r="B12" s="187" t="s">
        <v>49</v>
      </c>
      <c r="C12" s="182">
        <v>33828</v>
      </c>
      <c r="D12" s="182">
        <v>44785</v>
      </c>
      <c r="E12" s="188">
        <v>37770</v>
      </c>
      <c r="F12" s="188"/>
      <c r="G12" s="188"/>
      <c r="H12" s="183">
        <v>44785</v>
      </c>
      <c r="I12" s="185">
        <v>5207.1400000000003</v>
      </c>
      <c r="J12" s="186">
        <v>12</v>
      </c>
      <c r="K12" s="185">
        <f t="shared" si="1"/>
        <v>62485.68</v>
      </c>
      <c r="M12" s="185"/>
    </row>
    <row r="13" spans="1:14" ht="12.75" customHeight="1">
      <c r="A13" s="172">
        <f t="shared" si="0"/>
        <v>9</v>
      </c>
      <c r="B13" s="187" t="s">
        <v>60</v>
      </c>
      <c r="C13" s="182">
        <v>34199</v>
      </c>
      <c r="D13" s="182">
        <v>45156</v>
      </c>
      <c r="E13" s="188">
        <v>37851</v>
      </c>
      <c r="H13" s="183">
        <v>45156</v>
      </c>
      <c r="I13" s="185">
        <v>887.99000000000012</v>
      </c>
      <c r="J13" s="186">
        <v>12</v>
      </c>
      <c r="K13" s="185">
        <f t="shared" si="1"/>
        <v>10655.88</v>
      </c>
      <c r="L13" s="189"/>
      <c r="M13" s="185"/>
    </row>
    <row r="14" spans="1:14" ht="12.75" customHeight="1">
      <c r="A14" s="172">
        <f t="shared" si="0"/>
        <v>10</v>
      </c>
      <c r="B14" s="181" t="s">
        <v>55</v>
      </c>
      <c r="C14" s="182">
        <v>33161</v>
      </c>
      <c r="D14" s="182">
        <v>35718</v>
      </c>
      <c r="E14" s="182">
        <v>34372</v>
      </c>
      <c r="F14" s="182" t="s">
        <v>51</v>
      </c>
      <c r="G14" s="182">
        <v>34366</v>
      </c>
      <c r="H14" s="183">
        <v>45323</v>
      </c>
      <c r="I14" s="185">
        <v>14073.339999999998</v>
      </c>
      <c r="J14" s="186">
        <v>12</v>
      </c>
      <c r="K14" s="185">
        <f t="shared" si="1"/>
        <v>168880.08</v>
      </c>
      <c r="M14" s="185"/>
    </row>
    <row r="15" spans="1:14" ht="12.75" customHeight="1">
      <c r="A15" s="172">
        <f t="shared" si="0"/>
        <v>11</v>
      </c>
      <c r="B15" s="181" t="s">
        <v>48</v>
      </c>
      <c r="C15" s="182">
        <v>35587</v>
      </c>
      <c r="D15" s="182">
        <v>46539</v>
      </c>
      <c r="E15" s="182">
        <v>38504</v>
      </c>
      <c r="F15" s="182"/>
      <c r="G15" s="182"/>
      <c r="H15" s="183">
        <v>46539</v>
      </c>
      <c r="I15" s="185">
        <v>19150.350000000002</v>
      </c>
      <c r="J15" s="186">
        <v>12</v>
      </c>
      <c r="K15" s="185">
        <f t="shared" si="1"/>
        <v>229804.2</v>
      </c>
      <c r="M15" s="185"/>
    </row>
    <row r="16" spans="1:14" ht="12.75" customHeight="1">
      <c r="A16" s="172">
        <f t="shared" si="0"/>
        <v>12</v>
      </c>
      <c r="B16" s="187" t="s">
        <v>20</v>
      </c>
      <c r="C16" s="182">
        <v>33457</v>
      </c>
      <c r="D16" s="182">
        <f>DATE(2021,8,1)</f>
        <v>44409</v>
      </c>
      <c r="E16" s="188">
        <v>37691</v>
      </c>
      <c r="F16" s="188" t="s">
        <v>52</v>
      </c>
      <c r="G16" s="188">
        <v>37691</v>
      </c>
      <c r="H16" s="183">
        <v>47908</v>
      </c>
      <c r="I16" s="185">
        <v>3790.0400000000004</v>
      </c>
      <c r="J16" s="186">
        <v>12</v>
      </c>
      <c r="K16" s="185">
        <f t="shared" si="1"/>
        <v>45480.480000000003</v>
      </c>
      <c r="M16" s="185"/>
    </row>
    <row r="17" spans="1:13" ht="12.75" customHeight="1">
      <c r="A17" s="172">
        <f t="shared" si="0"/>
        <v>13</v>
      </c>
      <c r="B17" s="187" t="s">
        <v>21</v>
      </c>
      <c r="C17" s="182">
        <v>33457</v>
      </c>
      <c r="D17" s="182">
        <f>DATE(2021,8,1)</f>
        <v>44409</v>
      </c>
      <c r="E17" s="188">
        <v>37691</v>
      </c>
      <c r="F17" s="188" t="s">
        <v>52</v>
      </c>
      <c r="G17" s="188">
        <v>37691</v>
      </c>
      <c r="H17" s="183">
        <v>47908</v>
      </c>
      <c r="I17" s="185">
        <v>2880.1200000000003</v>
      </c>
      <c r="J17" s="186">
        <v>12</v>
      </c>
      <c r="K17" s="185">
        <f t="shared" si="1"/>
        <v>34561.440000000002</v>
      </c>
      <c r="M17" s="185"/>
    </row>
    <row r="18" spans="1:13" ht="12.75" customHeight="1">
      <c r="A18" s="172">
        <f t="shared" si="0"/>
        <v>14</v>
      </c>
      <c r="B18" s="187" t="s">
        <v>22</v>
      </c>
      <c r="C18" s="182">
        <v>33664</v>
      </c>
      <c r="D18" s="182">
        <f>DATE(2022,3,1)</f>
        <v>44621</v>
      </c>
      <c r="E18" s="188">
        <v>37691</v>
      </c>
      <c r="F18" s="188" t="s">
        <v>52</v>
      </c>
      <c r="G18" s="188">
        <v>37691</v>
      </c>
      <c r="H18" s="183">
        <v>47908</v>
      </c>
      <c r="I18" s="185">
        <v>8818.7899999999991</v>
      </c>
      <c r="J18" s="186">
        <v>12</v>
      </c>
      <c r="K18" s="185">
        <f t="shared" si="1"/>
        <v>105825.48</v>
      </c>
      <c r="M18" s="185"/>
    </row>
    <row r="19" spans="1:13" ht="12.75" customHeight="1">
      <c r="A19" s="172">
        <f t="shared" si="0"/>
        <v>15</v>
      </c>
      <c r="B19" s="187" t="s">
        <v>23</v>
      </c>
      <c r="C19" s="182">
        <v>33664</v>
      </c>
      <c r="D19" s="182">
        <f>DATE(2022,3,1)</f>
        <v>44621</v>
      </c>
      <c r="E19" s="188">
        <v>37691</v>
      </c>
      <c r="F19" s="188" t="s">
        <v>52</v>
      </c>
      <c r="G19" s="188">
        <v>37691</v>
      </c>
      <c r="H19" s="183">
        <v>47908</v>
      </c>
      <c r="I19" s="185">
        <v>2691.48</v>
      </c>
      <c r="J19" s="186">
        <v>12</v>
      </c>
      <c r="K19" s="185">
        <f t="shared" si="1"/>
        <v>32297.759999999998</v>
      </c>
      <c r="M19" s="185"/>
    </row>
    <row r="20" spans="1:13" ht="12.75" customHeight="1">
      <c r="A20" s="172">
        <f t="shared" si="0"/>
        <v>16</v>
      </c>
      <c r="B20" s="187" t="s">
        <v>64</v>
      </c>
      <c r="C20" s="182">
        <v>37691</v>
      </c>
      <c r="D20" s="182">
        <v>47908</v>
      </c>
      <c r="E20" s="188">
        <v>41449</v>
      </c>
      <c r="F20" s="188" t="s">
        <v>65</v>
      </c>
      <c r="G20" s="188">
        <v>41417</v>
      </c>
      <c r="H20" s="183">
        <v>47908</v>
      </c>
      <c r="I20" s="185">
        <v>24927.39</v>
      </c>
      <c r="J20" s="186">
        <v>12</v>
      </c>
      <c r="K20" s="185">
        <f t="shared" si="1"/>
        <v>299128.68</v>
      </c>
      <c r="M20" s="185"/>
    </row>
    <row r="21" spans="1:13" ht="12.75" customHeight="1">
      <c r="A21" s="172">
        <f t="shared" si="0"/>
        <v>17</v>
      </c>
      <c r="B21" s="187" t="s">
        <v>64</v>
      </c>
      <c r="C21" s="182">
        <v>37691</v>
      </c>
      <c r="D21" s="182">
        <v>47908</v>
      </c>
      <c r="E21" s="188">
        <v>41449</v>
      </c>
      <c r="F21" s="188" t="s">
        <v>65</v>
      </c>
      <c r="G21" s="188">
        <v>41417</v>
      </c>
      <c r="H21" s="183">
        <v>47908</v>
      </c>
      <c r="I21" s="185">
        <v>4212.7700000000004</v>
      </c>
      <c r="J21" s="186">
        <v>12</v>
      </c>
      <c r="K21" s="185">
        <f t="shared" si="1"/>
        <v>50553.24</v>
      </c>
      <c r="M21" s="185"/>
    </row>
    <row r="22" spans="1:13" ht="12.75" customHeight="1">
      <c r="A22" s="172">
        <f>A21+1</f>
        <v>18</v>
      </c>
      <c r="B22" s="181" t="s">
        <v>44</v>
      </c>
      <c r="C22" s="182">
        <v>38183</v>
      </c>
      <c r="D22" s="182">
        <v>38913</v>
      </c>
      <c r="E22" s="182">
        <v>38499</v>
      </c>
      <c r="F22" s="182" t="s">
        <v>45</v>
      </c>
      <c r="G22" s="182">
        <v>38499</v>
      </c>
      <c r="H22" s="183">
        <v>49456</v>
      </c>
      <c r="I22" s="185">
        <v>1423.88</v>
      </c>
      <c r="J22" s="186">
        <v>12</v>
      </c>
      <c r="K22" s="185">
        <f t="shared" si="1"/>
        <v>17086.560000000001</v>
      </c>
      <c r="M22" s="185"/>
    </row>
    <row r="23" spans="1:13" ht="12.75" customHeight="1">
      <c r="A23" s="172">
        <f t="shared" si="0"/>
        <v>19</v>
      </c>
      <c r="B23" s="181" t="s">
        <v>18</v>
      </c>
      <c r="C23" s="182">
        <v>37035</v>
      </c>
      <c r="D23" s="182">
        <v>51682</v>
      </c>
      <c r="E23" s="182">
        <v>38898</v>
      </c>
      <c r="F23" s="182" t="s">
        <v>53</v>
      </c>
      <c r="G23" s="182">
        <v>38898</v>
      </c>
      <c r="H23" s="183">
        <v>49841</v>
      </c>
      <c r="I23" s="185">
        <v>16418.45</v>
      </c>
      <c r="J23" s="186">
        <v>12</v>
      </c>
      <c r="K23" s="185">
        <f t="shared" si="1"/>
        <v>197021.4</v>
      </c>
      <c r="M23" s="185"/>
    </row>
    <row r="24" spans="1:13" ht="12.75" customHeight="1">
      <c r="A24" s="172">
        <f t="shared" si="0"/>
        <v>20</v>
      </c>
      <c r="B24" s="181" t="s">
        <v>62</v>
      </c>
      <c r="C24" s="182">
        <v>33117</v>
      </c>
      <c r="D24" s="182">
        <v>44075</v>
      </c>
      <c r="E24" s="182">
        <v>40900</v>
      </c>
      <c r="F24" s="182" t="s">
        <v>63</v>
      </c>
      <c r="G24" s="182">
        <v>40869</v>
      </c>
      <c r="H24" s="183">
        <v>55472</v>
      </c>
      <c r="I24" s="185">
        <v>33376.57</v>
      </c>
      <c r="J24" s="186">
        <v>12</v>
      </c>
      <c r="K24" s="185">
        <f t="shared" si="1"/>
        <v>400518.84</v>
      </c>
      <c r="M24" s="185"/>
    </row>
    <row r="25" spans="1:13" ht="12.75" customHeight="1">
      <c r="A25" s="172">
        <f t="shared" si="0"/>
        <v>21</v>
      </c>
      <c r="B25" s="181" t="s">
        <v>66</v>
      </c>
      <c r="C25" s="182">
        <v>38637</v>
      </c>
      <c r="D25" s="182">
        <v>42278</v>
      </c>
      <c r="E25" s="182">
        <v>42160</v>
      </c>
      <c r="F25" s="182" t="s">
        <v>68</v>
      </c>
      <c r="G25" s="182">
        <v>42150</v>
      </c>
      <c r="H25" s="183">
        <v>53102</v>
      </c>
      <c r="I25" s="185">
        <v>6858.54</v>
      </c>
      <c r="J25" s="186">
        <v>12</v>
      </c>
      <c r="K25" s="185">
        <f t="shared" si="1"/>
        <v>82302.48</v>
      </c>
      <c r="M25" s="185"/>
    </row>
    <row r="26" spans="1:13" ht="12.75" customHeight="1">
      <c r="A26" s="172">
        <f t="shared" si="0"/>
        <v>22</v>
      </c>
      <c r="B26" s="181" t="s">
        <v>67</v>
      </c>
      <c r="C26" s="182">
        <v>39836</v>
      </c>
      <c r="D26" s="182">
        <v>42384</v>
      </c>
      <c r="E26" s="182">
        <v>42160</v>
      </c>
      <c r="F26" s="182" t="s">
        <v>68</v>
      </c>
      <c r="G26" s="182">
        <v>42150</v>
      </c>
      <c r="H26" s="183">
        <v>53102</v>
      </c>
      <c r="I26" s="185">
        <v>26387.48</v>
      </c>
      <c r="J26" s="186">
        <v>12</v>
      </c>
      <c r="K26" s="185">
        <f t="shared" si="1"/>
        <v>316649.76</v>
      </c>
      <c r="M26" s="185"/>
    </row>
    <row r="27" spans="1:13" ht="12.75" customHeight="1">
      <c r="A27" s="172">
        <f t="shared" si="0"/>
        <v>23</v>
      </c>
      <c r="B27" s="181" t="s">
        <v>141</v>
      </c>
      <c r="C27" s="182">
        <v>39237</v>
      </c>
      <c r="D27" s="182">
        <v>24624</v>
      </c>
      <c r="E27" s="182">
        <v>43217</v>
      </c>
      <c r="F27" s="182"/>
      <c r="G27" s="182"/>
      <c r="H27" s="183">
        <v>61149</v>
      </c>
      <c r="I27" s="183"/>
      <c r="J27" s="183"/>
      <c r="K27" s="190">
        <f>'[3]Pg 7 Reacquired Debt'!$I$29</f>
        <v>75166.02</v>
      </c>
    </row>
    <row r="28" spans="1:13" ht="12.75" customHeight="1">
      <c r="A28" s="172">
        <f t="shared" si="0"/>
        <v>24</v>
      </c>
      <c r="B28" s="181"/>
      <c r="C28" s="182"/>
      <c r="D28" s="182"/>
      <c r="E28" s="182"/>
      <c r="F28" s="182"/>
      <c r="G28" s="182"/>
      <c r="H28" s="183"/>
      <c r="I28" s="183"/>
      <c r="J28" s="183"/>
      <c r="K28" s="190"/>
    </row>
    <row r="29" spans="1:13" ht="15" customHeight="1" thickBot="1">
      <c r="A29" s="172">
        <f t="shared" si="0"/>
        <v>25</v>
      </c>
      <c r="B29" s="191" t="s">
        <v>17</v>
      </c>
      <c r="C29" s="31"/>
      <c r="D29" s="31"/>
      <c r="E29" s="31"/>
      <c r="F29" s="31"/>
      <c r="G29" s="31"/>
      <c r="H29" s="31"/>
      <c r="I29" s="31"/>
      <c r="J29" s="31"/>
      <c r="K29" s="192">
        <f>SUM(K8:K27)</f>
        <v>2133971.04</v>
      </c>
    </row>
    <row r="30" spans="1:13" ht="15" customHeight="1" thickTop="1">
      <c r="A30" s="172">
        <f t="shared" si="0"/>
        <v>26</v>
      </c>
      <c r="B30" s="191"/>
      <c r="C30" s="31"/>
      <c r="D30" s="31"/>
      <c r="E30" s="31"/>
      <c r="F30" s="31"/>
      <c r="G30" s="31"/>
      <c r="H30" s="31"/>
      <c r="I30" s="31"/>
      <c r="J30" s="31"/>
      <c r="K30" s="193"/>
    </row>
    <row r="31" spans="1:13" ht="15" customHeight="1">
      <c r="A31" s="172">
        <f t="shared" si="0"/>
        <v>27</v>
      </c>
      <c r="B31" s="191" t="s">
        <v>116</v>
      </c>
      <c r="C31" s="31"/>
      <c r="D31" s="31"/>
      <c r="E31" s="31"/>
      <c r="F31" s="31"/>
      <c r="G31" s="31"/>
      <c r="H31" s="31"/>
      <c r="I31" s="31"/>
      <c r="J31" s="31"/>
      <c r="K31" s="194">
        <f>'Pg 2 Cost of Total Debt'!H38</f>
        <v>7978568523.7901583</v>
      </c>
    </row>
    <row r="32" spans="1:13" ht="12.75" customHeight="1">
      <c r="A32" s="172">
        <f t="shared" si="0"/>
        <v>28</v>
      </c>
      <c r="B32" s="191"/>
      <c r="C32" s="32"/>
      <c r="D32" s="32"/>
      <c r="E32" s="32"/>
      <c r="F32" s="32"/>
      <c r="G32" s="32"/>
      <c r="H32" s="32"/>
      <c r="I32" s="32"/>
      <c r="J32" s="32"/>
      <c r="K32" s="184"/>
    </row>
    <row r="33" spans="1:11" ht="12.75" customHeight="1">
      <c r="A33" s="172">
        <f t="shared" si="0"/>
        <v>29</v>
      </c>
      <c r="B33" s="191" t="s">
        <v>73</v>
      </c>
      <c r="C33" s="169"/>
      <c r="D33" s="169"/>
      <c r="E33" s="169"/>
      <c r="F33" s="169"/>
      <c r="G33" s="169"/>
      <c r="H33" s="195"/>
      <c r="I33" s="195"/>
      <c r="J33" s="195"/>
      <c r="K33" s="196">
        <f>ROUND(K29/K31,4)</f>
        <v>2.9999999999999997E-4</v>
      </c>
    </row>
    <row r="34" spans="1:11" ht="12.75" customHeight="1">
      <c r="A34" s="172">
        <f t="shared" si="0"/>
        <v>30</v>
      </c>
      <c r="B34" s="197"/>
      <c r="C34" s="35"/>
      <c r="D34" s="35"/>
      <c r="E34" s="35"/>
      <c r="F34" s="35"/>
      <c r="H34" s="17"/>
      <c r="I34" s="17"/>
      <c r="J34" s="17"/>
      <c r="K34" s="184"/>
    </row>
    <row r="35" spans="1:11" ht="12.75" customHeight="1">
      <c r="A35" s="172">
        <f t="shared" si="0"/>
        <v>31</v>
      </c>
      <c r="B35" s="169" t="s">
        <v>74</v>
      </c>
      <c r="H35" s="17"/>
      <c r="I35" s="17"/>
      <c r="J35" s="17"/>
      <c r="K35" s="184"/>
    </row>
    <row r="36" spans="1:11" ht="12.75" customHeight="1">
      <c r="A36" s="172"/>
      <c r="B36" s="198"/>
      <c r="H36" s="17"/>
      <c r="I36" s="17"/>
      <c r="J36" s="17"/>
      <c r="K36" s="17"/>
    </row>
    <row r="37" spans="1:11" ht="12.75" customHeight="1">
      <c r="A37" s="36"/>
      <c r="H37" s="17"/>
      <c r="I37" s="17"/>
      <c r="J37" s="17"/>
      <c r="K37" s="17"/>
    </row>
    <row r="38" spans="1:11" ht="12.75" customHeight="1">
      <c r="H38" s="17"/>
      <c r="I38" s="17"/>
      <c r="J38" s="17"/>
      <c r="K38" s="17"/>
    </row>
    <row r="39" spans="1:11" ht="12.75" customHeight="1">
      <c r="H39" s="17"/>
      <c r="I39" s="17"/>
      <c r="J39" s="17"/>
      <c r="K39" s="34"/>
    </row>
    <row r="40" spans="1:11" ht="12.75" customHeight="1">
      <c r="H40" s="17"/>
      <c r="I40" s="17"/>
      <c r="J40" s="17"/>
      <c r="K40" s="17"/>
    </row>
    <row r="41" spans="1:11" ht="12.75" customHeight="1">
      <c r="H41" s="17"/>
      <c r="I41" s="17"/>
      <c r="J41" s="17"/>
      <c r="K41" s="17"/>
    </row>
    <row r="42" spans="1:11" ht="12.75" customHeight="1">
      <c r="H42" s="17"/>
      <c r="I42" s="17"/>
      <c r="J42" s="17"/>
      <c r="K42" s="17"/>
    </row>
    <row r="43" spans="1:11" ht="12.75" customHeight="1">
      <c r="H43" s="17"/>
      <c r="I43" s="17"/>
      <c r="J43" s="17"/>
      <c r="K43" s="17"/>
    </row>
    <row r="44" spans="1:11" ht="12.75" customHeight="1">
      <c r="H44" s="17"/>
      <c r="I44" s="17"/>
      <c r="J44" s="17"/>
      <c r="K44" s="17"/>
    </row>
    <row r="45" spans="1:11" ht="12.75" customHeight="1">
      <c r="H45" s="17"/>
      <c r="I45" s="17"/>
      <c r="J45" s="17"/>
      <c r="K45" s="17"/>
    </row>
    <row r="46" spans="1:11" ht="12.75" customHeight="1">
      <c r="H46" s="17"/>
      <c r="I46" s="17"/>
      <c r="J46" s="17"/>
      <c r="K46" s="17"/>
    </row>
    <row r="47" spans="1:11" ht="12.75" customHeight="1">
      <c r="H47" s="17"/>
      <c r="I47" s="17"/>
      <c r="J47" s="17"/>
      <c r="K47" s="17"/>
    </row>
    <row r="48" spans="1:11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</sheetData>
  <mergeCells count="3">
    <mergeCell ref="A1:K1"/>
    <mergeCell ref="A2:K2"/>
    <mergeCell ref="A3:K3"/>
  </mergeCells>
  <phoneticPr fontId="12" type="noConversion"/>
  <printOptions horizontalCentered="1"/>
  <pageMargins left="0.2" right="0.2" top="1" bottom="0.5" header="0.36" footer="0.5"/>
  <pageSetup scale="98" orientation="landscape" r:id="rId1"/>
  <headerFooter scaleWithDoc="0" alignWithMargins="0">
    <oddFooter>&amp;R&amp;"Times New Roman,Regular"&amp;12Exh. MDM-9
Page 4 of 4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4081C303D597F46A51B1E34376944AC" ma:contentTypeVersion="56" ma:contentTypeDescription="" ma:contentTypeScope="" ma:versionID="e22e9193f40833cf40870f67854ce1a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Document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2019-06-20T07:00:00+00:00</OpenedDate>
    <SignificantOrder xmlns="dc463f71-b30c-4ab2-9473-d307f9d35888">false</SignificantOrder>
    <Date1 xmlns="dc463f71-b30c-4ab2-9473-d307f9d35888">2020-01-21T08:00:00+00:00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190529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79DB6E59-99EA-45E7-BE28-CEC461F62C59}"/>
</file>

<file path=customXml/itemProps2.xml><?xml version="1.0" encoding="utf-8"?>
<ds:datastoreItem xmlns:ds="http://schemas.openxmlformats.org/officeDocument/2006/customXml" ds:itemID="{270D4EF7-38F3-4F62-B865-316DE2D2AEDE}"/>
</file>

<file path=customXml/itemProps3.xml><?xml version="1.0" encoding="utf-8"?>
<ds:datastoreItem xmlns:ds="http://schemas.openxmlformats.org/officeDocument/2006/customXml" ds:itemID="{720A3117-E4AC-40F1-A0EE-E5A77D76B873}"/>
</file>

<file path=customXml/itemProps4.xml><?xml version="1.0" encoding="utf-8"?>
<ds:datastoreItem xmlns:ds="http://schemas.openxmlformats.org/officeDocument/2006/customXml" ds:itemID="{12834890-1452-4D77-B0CF-D31A8468661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Pg 1 CofCap</vt:lpstr>
      <vt:lpstr>Pg 2 Cost of Total Debt</vt:lpstr>
      <vt:lpstr>Pg 3 STD Int &amp; Fees-Details</vt:lpstr>
      <vt:lpstr>Pg 4 Reacquired Debt</vt:lpstr>
      <vt:lpstr>'Pg 1 CofCap'!Print_Area</vt:lpstr>
      <vt:lpstr>'Pg 2 Cost of Total Debt'!Print_Area</vt:lpstr>
      <vt:lpstr>'Pg 3 STD Int &amp; Fees-Details'!Print_Area</vt:lpstr>
      <vt:lpstr>'Pg 4 Reacquired Debt'!Print_Area</vt:lpstr>
      <vt:lpstr>'Pg 4 Reacquired Debt'!Print_Titles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Dessalegn, Freh</dc:creator>
  <cp:lastModifiedBy>Jason Kuzma</cp:lastModifiedBy>
  <cp:lastPrinted>2020-01-08T23:38:17Z</cp:lastPrinted>
  <dcterms:created xsi:type="dcterms:W3CDTF">2019-06-14T17:44:27Z</dcterms:created>
  <dcterms:modified xsi:type="dcterms:W3CDTF">2020-01-13T02:00:04Z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0x0101006E56B4D1795A2E4DB2F0B01679ED314A0074081C303D597F46A51B1E34376944AC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