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steea\Documents\NRPortbl\LEGAL\STEEA\"/>
    </mc:Choice>
  </mc:AlternateContent>
  <xr:revisionPtr revIDLastSave="0" documentId="8_{F809EEDE-4210-475B-9078-4508E9A11B70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SEF-15 Summary" sheetId="1" r:id="rId1"/>
    <sheet name="SEF-15 Adjustments" sheetId="2" r:id="rId2"/>
  </sheets>
  <definedNames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#N/A</definedName>
    <definedName name="__ex1" hidden="1">{#N/A,#N/A,FALSE,"Summ";#N/A,#N/A,FALSE,"General"}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Key1" hidden="1">#REF!</definedName>
    <definedName name="_Key2" hidden="1">#REF!</definedName>
    <definedName name="_new1" hidden="1">{#N/A,#N/A,FALSE,"Summ";#N/A,#N/A,FALSE,"General"}</definedName>
    <definedName name="_Order1" hidden="1">255</definedName>
    <definedName name="_Order2" hidden="1">255</definedName>
    <definedName name="_Regression_Int" hidden="1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" hidden="1">{#N/A,#N/A,FALSE,"CESTSUM";#N/A,#N/A,FALSE,"est sum A";#N/A,#N/A,FALSE,"est detail A"}</definedName>
    <definedName name="DFIT" hidden="1">{#N/A,#N/A,FALSE,"Coversheet";#N/A,#N/A,FALSE,"QA"}</definedName>
    <definedName name="ee" hidden="1">{#N/A,#N/A,FALSE,"Month ";#N/A,#N/A,FALSE,"YTD";#N/A,#N/A,FALSE,"12 mo ended"}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hidden="1">{#N/A,#N/A,FALSE,"Coversheet";#N/A,#N/A,FALSE,"QA"}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{#N/A,#N/A,FALSE,"Coversheet";#N/A,#N/A,FALSE,"QA"}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alue" hidden="1">{#N/A,#N/A,FALSE,"Summ";#N/A,#N/A,FALSE,"General"}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57" i="2" l="1"/>
  <c r="AF54" i="2"/>
  <c r="AD52" i="2"/>
  <c r="AF51" i="2"/>
  <c r="AF50" i="2"/>
  <c r="BJ49" i="2"/>
  <c r="AF49" i="2"/>
  <c r="BJ48" i="2"/>
  <c r="AF48" i="2"/>
  <c r="BJ47" i="2"/>
  <c r="BH51" i="2"/>
  <c r="BJ45" i="2"/>
  <c r="BJ44" i="2"/>
  <c r="BG42" i="2"/>
  <c r="BJ39" i="2"/>
  <c r="BG39" i="2"/>
  <c r="AF39" i="2"/>
  <c r="AF38" i="2"/>
  <c r="AD41" i="2"/>
  <c r="D12" i="1" s="1"/>
  <c r="AL36" i="2"/>
  <c r="BJ32" i="2"/>
  <c r="AF32" i="2"/>
  <c r="Q32" i="2"/>
  <c r="K32" i="2"/>
  <c r="C32" i="2" s="1"/>
  <c r="CO31" i="2"/>
  <c r="CN31" i="2"/>
  <c r="AF31" i="2"/>
  <c r="Q31" i="2"/>
  <c r="S31" i="2" s="1"/>
  <c r="D31" i="2" s="1"/>
  <c r="E31" i="2" s="1"/>
  <c r="F35" i="1" s="1"/>
  <c r="Z35" i="1" s="1"/>
  <c r="K31" i="2"/>
  <c r="C31" i="2" s="1"/>
  <c r="CP30" i="2"/>
  <c r="BJ30" i="2"/>
  <c r="AF30" i="2"/>
  <c r="Q30" i="2"/>
  <c r="S30" i="2" s="1"/>
  <c r="D30" i="2" s="1"/>
  <c r="K30" i="2"/>
  <c r="C30" i="2" s="1"/>
  <c r="CP29" i="2"/>
  <c r="BJ29" i="2"/>
  <c r="AW29" i="2"/>
  <c r="AF29" i="2"/>
  <c r="Q29" i="2"/>
  <c r="S29" i="2" s="1"/>
  <c r="D29" i="2" s="1"/>
  <c r="K29" i="2"/>
  <c r="C29" i="2" s="1"/>
  <c r="CP28" i="2"/>
  <c r="CC28" i="2"/>
  <c r="BJ28" i="2"/>
  <c r="AQ28" i="2"/>
  <c r="CP27" i="2"/>
  <c r="BJ27" i="2"/>
  <c r="AF27" i="2"/>
  <c r="CP26" i="2"/>
  <c r="CD26" i="2"/>
  <c r="BJ26" i="2"/>
  <c r="AF26" i="2"/>
  <c r="Q26" i="2"/>
  <c r="K26" i="2"/>
  <c r="C26" i="2"/>
  <c r="CD25" i="2"/>
  <c r="BJ25" i="2"/>
  <c r="AL25" i="2"/>
  <c r="AF25" i="2"/>
  <c r="Q25" i="2"/>
  <c r="K25" i="2"/>
  <c r="C25" i="2" s="1"/>
  <c r="CJ24" i="2"/>
  <c r="CD24" i="2"/>
  <c r="BR24" i="2"/>
  <c r="BJ24" i="2"/>
  <c r="AL24" i="2"/>
  <c r="K24" i="2"/>
  <c r="C24" i="2" s="1"/>
  <c r="CY23" i="2"/>
  <c r="CO23" i="2"/>
  <c r="CN23" i="2"/>
  <c r="CI25" i="2"/>
  <c r="BJ23" i="2"/>
  <c r="AL23" i="2"/>
  <c r="Q23" i="2"/>
  <c r="S23" i="2" s="1"/>
  <c r="D23" i="2" s="1"/>
  <c r="CP22" i="2"/>
  <c r="BR22" i="2"/>
  <c r="BJ22" i="2"/>
  <c r="AW22" i="2"/>
  <c r="AL22" i="2"/>
  <c r="AF22" i="2"/>
  <c r="Q22" i="2"/>
  <c r="S22" i="2" s="1"/>
  <c r="D22" i="2" s="1"/>
  <c r="E22" i="2" s="1"/>
  <c r="F27" i="1" s="1"/>
  <c r="K22" i="2"/>
  <c r="C22" i="2" s="1"/>
  <c r="CP21" i="2"/>
  <c r="BJ21" i="2"/>
  <c r="AX21" i="2"/>
  <c r="AQ21" i="2"/>
  <c r="AK26" i="2"/>
  <c r="AJ26" i="2"/>
  <c r="AF21" i="2"/>
  <c r="Q21" i="2"/>
  <c r="S21" i="2" s="1"/>
  <c r="D21" i="2" s="1"/>
  <c r="E21" i="2" s="1"/>
  <c r="F26" i="1" s="1"/>
  <c r="K21" i="2"/>
  <c r="C21" i="2" s="1"/>
  <c r="CP20" i="2"/>
  <c r="CI20" i="2"/>
  <c r="BR20" i="2"/>
  <c r="BO23" i="2"/>
  <c r="BN23" i="2"/>
  <c r="BJ20" i="2"/>
  <c r="AX20" i="2"/>
  <c r="AR20" i="2"/>
  <c r="AL20" i="2"/>
  <c r="AF20" i="2"/>
  <c r="Q20" i="2"/>
  <c r="S20" i="2" s="1"/>
  <c r="D20" i="2" s="1"/>
  <c r="M20" i="2"/>
  <c r="M21" i="2" s="1"/>
  <c r="M22" i="2" s="1"/>
  <c r="K20" i="2"/>
  <c r="C20" i="2" s="1"/>
  <c r="G20" i="2"/>
  <c r="G21" i="2" s="1"/>
  <c r="G22" i="2" s="1"/>
  <c r="A20" i="2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CY19" i="2"/>
  <c r="CP19" i="2"/>
  <c r="CJ19" i="2"/>
  <c r="BU19" i="2"/>
  <c r="BW19" i="2" s="1"/>
  <c r="BX19" i="2" s="1"/>
  <c r="BJ19" i="2"/>
  <c r="BF19" i="2"/>
  <c r="BF20" i="2" s="1"/>
  <c r="BF21" i="2" s="1"/>
  <c r="BF22" i="2" s="1"/>
  <c r="BF23" i="2" s="1"/>
  <c r="BF24" i="2" s="1"/>
  <c r="BF25" i="2" s="1"/>
  <c r="BF26" i="2" s="1"/>
  <c r="BF27" i="2" s="1"/>
  <c r="BF28" i="2" s="1"/>
  <c r="BF29" i="2" s="1"/>
  <c r="BF30" i="2" s="1"/>
  <c r="BF31" i="2" s="1"/>
  <c r="BF32" i="2" s="1"/>
  <c r="BF33" i="2" s="1"/>
  <c r="BF34" i="2" s="1"/>
  <c r="BF35" i="2" s="1"/>
  <c r="BF36" i="2" s="1"/>
  <c r="BF37" i="2" s="1"/>
  <c r="BF38" i="2" s="1"/>
  <c r="BF39" i="2" s="1"/>
  <c r="BF40" i="2" s="1"/>
  <c r="BF41" i="2" s="1"/>
  <c r="BF42" i="2" s="1"/>
  <c r="BF43" i="2" s="1"/>
  <c r="BF44" i="2" s="1"/>
  <c r="BF45" i="2" s="1"/>
  <c r="BF46" i="2" s="1"/>
  <c r="BF47" i="2" s="1"/>
  <c r="BF48" i="2" s="1"/>
  <c r="BF49" i="2" s="1"/>
  <c r="BF50" i="2" s="1"/>
  <c r="BF51" i="2" s="1"/>
  <c r="BF52" i="2" s="1"/>
  <c r="BF53" i="2" s="1"/>
  <c r="BF54" i="2" s="1"/>
  <c r="BF55" i="2" s="1"/>
  <c r="BF56" i="2" s="1"/>
  <c r="BC19" i="2"/>
  <c r="BB19" i="2"/>
  <c r="AV22" i="2"/>
  <c r="AR19" i="2"/>
  <c r="AD34" i="2"/>
  <c r="Y19" i="2"/>
  <c r="Y20" i="2" s="1"/>
  <c r="Z20" i="2" s="1"/>
  <c r="X19" i="2"/>
  <c r="X21" i="2" s="1"/>
  <c r="DB21" i="2"/>
  <c r="DB23" i="2" s="1"/>
  <c r="CR18" i="2"/>
  <c r="CR19" i="2" s="1"/>
  <c r="CR20" i="2" s="1"/>
  <c r="CR21" i="2" s="1"/>
  <c r="CR22" i="2" s="1"/>
  <c r="CR23" i="2" s="1"/>
  <c r="CR24" i="2" s="1"/>
  <c r="CR25" i="2" s="1"/>
  <c r="CR26" i="2" s="1"/>
  <c r="CR27" i="2" s="1"/>
  <c r="CR28" i="2" s="1"/>
  <c r="CR29" i="2" s="1"/>
  <c r="CP18" i="2"/>
  <c r="CL18" i="2"/>
  <c r="CL19" i="2" s="1"/>
  <c r="CL20" i="2" s="1"/>
  <c r="CL21" i="2" s="1"/>
  <c r="CL22" i="2" s="1"/>
  <c r="CL23" i="2" s="1"/>
  <c r="CL24" i="2" s="1"/>
  <c r="CL25" i="2" s="1"/>
  <c r="CL26" i="2" s="1"/>
  <c r="CL27" i="2" s="1"/>
  <c r="CL28" i="2" s="1"/>
  <c r="CL29" i="2" s="1"/>
  <c r="CL30" i="2" s="1"/>
  <c r="CL31" i="2" s="1"/>
  <c r="CJ18" i="2"/>
  <c r="CJ20" i="2" s="1"/>
  <c r="Q11" i="1" s="1"/>
  <c r="CH20" i="2"/>
  <c r="CF18" i="2"/>
  <c r="CF19" i="2" s="1"/>
  <c r="CF20" i="2" s="1"/>
  <c r="CF21" i="2" s="1"/>
  <c r="CF22" i="2" s="1"/>
  <c r="CF23" i="2" s="1"/>
  <c r="CF24" i="2" s="1"/>
  <c r="CF25" i="2" s="1"/>
  <c r="CD18" i="2"/>
  <c r="BW18" i="2"/>
  <c r="BX18" i="2" s="1"/>
  <c r="BU18" i="2"/>
  <c r="BR18" i="2"/>
  <c r="BJ18" i="2"/>
  <c r="BF18" i="2"/>
  <c r="BD18" i="2"/>
  <c r="AZ18" i="2"/>
  <c r="AZ19" i="2" s="1"/>
  <c r="AR18" i="2"/>
  <c r="AN18" i="2"/>
  <c r="AN19" i="2" s="1"/>
  <c r="AN20" i="2" s="1"/>
  <c r="AN21" i="2" s="1"/>
  <c r="AN22" i="2" s="1"/>
  <c r="AN23" i="2" s="1"/>
  <c r="AN24" i="2" s="1"/>
  <c r="AN25" i="2" s="1"/>
  <c r="AN26" i="2" s="1"/>
  <c r="AN27" i="2" s="1"/>
  <c r="AN28" i="2" s="1"/>
  <c r="AH18" i="2"/>
  <c r="AH19" i="2" s="1"/>
  <c r="AH20" i="2" s="1"/>
  <c r="AH21" i="2" s="1"/>
  <c r="AH22" i="2" s="1"/>
  <c r="AH23" i="2" s="1"/>
  <c r="AH24" i="2" s="1"/>
  <c r="AH25" i="2" s="1"/>
  <c r="AH26" i="2" s="1"/>
  <c r="AH27" i="2" s="1"/>
  <c r="AH28" i="2" s="1"/>
  <c r="AH29" i="2" s="1"/>
  <c r="AH30" i="2" s="1"/>
  <c r="AH31" i="2" s="1"/>
  <c r="AH32" i="2" s="1"/>
  <c r="AH33" i="2" s="1"/>
  <c r="AH34" i="2" s="1"/>
  <c r="AH35" i="2" s="1"/>
  <c r="AH36" i="2" s="1"/>
  <c r="AH37" i="2" s="1"/>
  <c r="AH38" i="2" s="1"/>
  <c r="AH39" i="2" s="1"/>
  <c r="AH40" i="2" s="1"/>
  <c r="AH41" i="2" s="1"/>
  <c r="AH42" i="2" s="1"/>
  <c r="AH43" i="2" s="1"/>
  <c r="AH44" i="2" s="1"/>
  <c r="AB18" i="2"/>
  <c r="AB19" i="2" s="1"/>
  <c r="AB20" i="2" s="1"/>
  <c r="AB21" i="2" s="1"/>
  <c r="AB22" i="2" s="1"/>
  <c r="AB23" i="2" s="1"/>
  <c r="AB24" i="2" s="1"/>
  <c r="AB25" i="2" s="1"/>
  <c r="AB26" i="2" s="1"/>
  <c r="AB27" i="2" s="1"/>
  <c r="AB28" i="2" s="1"/>
  <c r="AB29" i="2" s="1"/>
  <c r="AB30" i="2" s="1"/>
  <c r="AB31" i="2" s="1"/>
  <c r="AB32" i="2" s="1"/>
  <c r="AB33" i="2" s="1"/>
  <c r="AB34" i="2" s="1"/>
  <c r="AB35" i="2" s="1"/>
  <c r="AB36" i="2" s="1"/>
  <c r="AB37" i="2" s="1"/>
  <c r="AB38" i="2" s="1"/>
  <c r="AB39" i="2" s="1"/>
  <c r="AB40" i="2" s="1"/>
  <c r="AB41" i="2" s="1"/>
  <c r="AB42" i="2" s="1"/>
  <c r="AB43" i="2" s="1"/>
  <c r="AB44" i="2" s="1"/>
  <c r="AB45" i="2" s="1"/>
  <c r="AB46" i="2" s="1"/>
  <c r="AB47" i="2" s="1"/>
  <c r="AB48" i="2" s="1"/>
  <c r="AB49" i="2" s="1"/>
  <c r="AB50" i="2" s="1"/>
  <c r="AB51" i="2" s="1"/>
  <c r="AB52" i="2" s="1"/>
  <c r="AB53" i="2" s="1"/>
  <c r="AB54" i="2" s="1"/>
  <c r="AB55" i="2" s="1"/>
  <c r="AB56" i="2" s="1"/>
  <c r="AB57" i="2" s="1"/>
  <c r="AB58" i="2" s="1"/>
  <c r="AB59" i="2" s="1"/>
  <c r="AB60" i="2" s="1"/>
  <c r="Z18" i="2"/>
  <c r="Z19" i="2" s="1"/>
  <c r="U18" i="2"/>
  <c r="U19" i="2" s="1"/>
  <c r="U20" i="2" s="1"/>
  <c r="U21" i="2" s="1"/>
  <c r="BI33" i="2"/>
  <c r="BH33" i="2"/>
  <c r="D11" i="1" s="1"/>
  <c r="CT15" i="2"/>
  <c r="BT15" i="2"/>
  <c r="BH15" i="2"/>
  <c r="CN15" i="2" s="1"/>
  <c r="BB15" i="2"/>
  <c r="AB11" i="2"/>
  <c r="CF10" i="2"/>
  <c r="BR10" i="2"/>
  <c r="AT10" i="2"/>
  <c r="AN10" i="2"/>
  <c r="CX10" i="2"/>
  <c r="CX9" i="2"/>
  <c r="CR9" i="2"/>
  <c r="CL9" i="2"/>
  <c r="CF9" i="2"/>
  <c r="BZ9" i="2"/>
  <c r="BR9" i="2"/>
  <c r="BL9" i="2"/>
  <c r="BF9" i="2"/>
  <c r="AZ9" i="2"/>
  <c r="AT9" i="2"/>
  <c r="AN9" i="2"/>
  <c r="AH9" i="2"/>
  <c r="AB9" i="2"/>
  <c r="U9" i="2"/>
  <c r="DB4" i="2"/>
  <c r="CV4" i="2"/>
  <c r="CP4" i="2"/>
  <c r="CJ4" i="2"/>
  <c r="CD4" i="2"/>
  <c r="BX4" i="2"/>
  <c r="BP4" i="2"/>
  <c r="BJ4" i="2"/>
  <c r="BD4" i="2"/>
  <c r="AX4" i="2"/>
  <c r="AR4" i="2"/>
  <c r="AL4" i="2"/>
  <c r="AF4" i="2"/>
  <c r="Z4" i="2"/>
  <c r="S4" i="2"/>
  <c r="K4" i="2"/>
  <c r="DB3" i="2"/>
  <c r="CV3" i="2"/>
  <c r="CP3" i="2"/>
  <c r="CJ3" i="2"/>
  <c r="CD3" i="2"/>
  <c r="BX3" i="2"/>
  <c r="BP3" i="2"/>
  <c r="BJ3" i="2"/>
  <c r="BD3" i="2"/>
  <c r="AX3" i="2"/>
  <c r="AR3" i="2"/>
  <c r="AL3" i="2"/>
  <c r="AF3" i="2"/>
  <c r="Z3" i="2"/>
  <c r="S3" i="2"/>
  <c r="K3" i="2"/>
  <c r="DB2" i="2"/>
  <c r="CV2" i="2"/>
  <c r="CP2" i="2"/>
  <c r="CJ2" i="2"/>
  <c r="CD2" i="2"/>
  <c r="BX2" i="2"/>
  <c r="BP2" i="2"/>
  <c r="BJ2" i="2"/>
  <c r="BD2" i="2"/>
  <c r="AX2" i="2"/>
  <c r="AR2" i="2"/>
  <c r="AL2" i="2"/>
  <c r="AF2" i="2"/>
  <c r="Z2" i="2"/>
  <c r="S2" i="2"/>
  <c r="K2" i="2"/>
  <c r="O43" i="1"/>
  <c r="D43" i="1"/>
  <c r="Q42" i="1"/>
  <c r="D42" i="1"/>
  <c r="Z39" i="1"/>
  <c r="AA39" i="1" s="1"/>
  <c r="Z31" i="1"/>
  <c r="AA31" i="1"/>
  <c r="Z28" i="1"/>
  <c r="AA28" i="1" s="1"/>
  <c r="Q27" i="1"/>
  <c r="AA22" i="1"/>
  <c r="Z22" i="1"/>
  <c r="X24" i="1"/>
  <c r="Y15" i="1"/>
  <c r="X15" i="1"/>
  <c r="W15" i="1"/>
  <c r="V15" i="1"/>
  <c r="U15" i="1"/>
  <c r="T15" i="1"/>
  <c r="S15" i="1"/>
  <c r="R15" i="1"/>
  <c r="L15" i="1"/>
  <c r="G15" i="1"/>
  <c r="F15" i="1"/>
  <c r="N14" i="1"/>
  <c r="N15" i="1" s="1"/>
  <c r="O12" i="1"/>
  <c r="O15" i="1" s="1"/>
  <c r="BW1" i="2" s="1"/>
  <c r="G4" i="1"/>
  <c r="Z7" i="2" s="1"/>
  <c r="B4" i="1"/>
  <c r="BD19" i="2" l="1"/>
  <c r="L29" i="1" s="1"/>
  <c r="CP31" i="2"/>
  <c r="Z21" i="2"/>
  <c r="G30" i="1" s="1"/>
  <c r="Z30" i="1" s="1"/>
  <c r="AA30" i="1" s="1"/>
  <c r="CP23" i="2"/>
  <c r="E29" i="2"/>
  <c r="F36" i="1" s="1"/>
  <c r="Z36" i="1" s="1"/>
  <c r="AA36" i="1" s="1"/>
  <c r="E30" i="2"/>
  <c r="U10" i="2"/>
  <c r="BF10" i="2"/>
  <c r="CL10" i="2"/>
  <c r="CX11" i="2"/>
  <c r="AH10" i="2"/>
  <c r="BL10" i="2"/>
  <c r="CR10" i="2"/>
  <c r="BZ11" i="2"/>
  <c r="AA35" i="1"/>
  <c r="K20" i="1"/>
  <c r="L23" i="1"/>
  <c r="Z29" i="1"/>
  <c r="AA29" i="1" s="1"/>
  <c r="D15" i="1"/>
  <c r="D20" i="1"/>
  <c r="Q15" i="1"/>
  <c r="Q20" i="1"/>
  <c r="O20" i="1"/>
  <c r="W24" i="1"/>
  <c r="S24" i="1"/>
  <c r="O24" i="1"/>
  <c r="G24" i="1"/>
  <c r="W23" i="1"/>
  <c r="S23" i="1"/>
  <c r="O23" i="1"/>
  <c r="K23" i="1"/>
  <c r="G23" i="1"/>
  <c r="V20" i="1"/>
  <c r="R20" i="1"/>
  <c r="N20" i="1"/>
  <c r="J20" i="1"/>
  <c r="F20" i="1"/>
  <c r="Y24" i="1"/>
  <c r="U24" i="1"/>
  <c r="Q24" i="1"/>
  <c r="D24" i="1"/>
  <c r="U23" i="1"/>
  <c r="M23" i="1"/>
  <c r="D23" i="1"/>
  <c r="X20" i="1"/>
  <c r="T20" i="1"/>
  <c r="P20" i="1"/>
  <c r="V24" i="1"/>
  <c r="R24" i="1"/>
  <c r="F24" i="1"/>
  <c r="V23" i="1"/>
  <c r="R23" i="1"/>
  <c r="N23" i="1"/>
  <c r="J23" i="1"/>
  <c r="F23" i="1"/>
  <c r="Y20" i="1"/>
  <c r="U20" i="1"/>
  <c r="I20" i="1"/>
  <c r="M24" i="1"/>
  <c r="Y23" i="1"/>
  <c r="Q23" i="1"/>
  <c r="L20" i="1"/>
  <c r="BX1" i="2"/>
  <c r="Z43" i="1"/>
  <c r="AA43" i="1" s="1"/>
  <c r="P23" i="1"/>
  <c r="S20" i="1"/>
  <c r="T23" i="1"/>
  <c r="L24" i="1"/>
  <c r="Z27" i="1"/>
  <c r="AA27" i="1" s="1"/>
  <c r="T24" i="1"/>
  <c r="AA17" i="1"/>
  <c r="BO1" i="2"/>
  <c r="G20" i="1"/>
  <c r="W20" i="1"/>
  <c r="X23" i="1"/>
  <c r="AP21" i="2"/>
  <c r="I27" i="2"/>
  <c r="I33" i="2" s="1"/>
  <c r="K19" i="2"/>
  <c r="E20" i="2"/>
  <c r="F33" i="1" s="1"/>
  <c r="AV29" i="2"/>
  <c r="AX28" i="2"/>
  <c r="AX29" i="2" s="1"/>
  <c r="H4" i="1"/>
  <c r="N24" i="1"/>
  <c r="CR11" i="2"/>
  <c r="BR11" i="2"/>
  <c r="AT11" i="2"/>
  <c r="U11" i="2"/>
  <c r="CL11" i="2"/>
  <c r="BL11" i="2"/>
  <c r="AN11" i="2"/>
  <c r="CF11" i="2"/>
  <c r="BF11" i="2"/>
  <c r="AH11" i="2"/>
  <c r="AZ11" i="2"/>
  <c r="AR21" i="2"/>
  <c r="J14" i="1" s="1"/>
  <c r="AL19" i="2"/>
  <c r="G24" i="2"/>
  <c r="G25" i="2" s="1"/>
  <c r="G26" i="2" s="1"/>
  <c r="G27" i="2" s="1"/>
  <c r="G28" i="2" s="1"/>
  <c r="G29" i="2" s="1"/>
  <c r="G30" i="2" s="1"/>
  <c r="G31" i="2" s="1"/>
  <c r="G32" i="2" s="1"/>
  <c r="G23" i="2"/>
  <c r="M24" i="2"/>
  <c r="M25" i="2" s="1"/>
  <c r="M26" i="2" s="1"/>
  <c r="M27" i="2" s="1"/>
  <c r="M28" i="2" s="1"/>
  <c r="M29" i="2" s="1"/>
  <c r="M30" i="2" s="1"/>
  <c r="M31" i="2" s="1"/>
  <c r="M32" i="2" s="1"/>
  <c r="M23" i="2"/>
  <c r="Y21" i="2"/>
  <c r="CD28" i="2"/>
  <c r="P14" i="1" s="1"/>
  <c r="AP28" i="2"/>
  <c r="AR27" i="2"/>
  <c r="AR28" i="2" s="1"/>
  <c r="P27" i="2"/>
  <c r="P33" i="2" s="1"/>
  <c r="Q19" i="2"/>
  <c r="P40" i="1"/>
  <c r="BD1" i="2"/>
  <c r="J27" i="2"/>
  <c r="J33" i="2" s="1"/>
  <c r="AE34" i="2"/>
  <c r="AL26" i="2"/>
  <c r="AF23" i="2"/>
  <c r="AF28" i="2"/>
  <c r="BJ31" i="2"/>
  <c r="AL35" i="2"/>
  <c r="AL37" i="2" s="1"/>
  <c r="AL39" i="2" s="1"/>
  <c r="BI51" i="2"/>
  <c r="BJ43" i="2"/>
  <c r="BJ51" i="2" s="1"/>
  <c r="BJ46" i="2"/>
  <c r="BJ17" i="2"/>
  <c r="BJ33" i="2" s="1"/>
  <c r="M11" i="1" s="1"/>
  <c r="AF19" i="2"/>
  <c r="AF24" i="2"/>
  <c r="S25" i="2"/>
  <c r="D25" i="2" s="1"/>
  <c r="E25" i="2" s="1"/>
  <c r="F37" i="1" s="1"/>
  <c r="AF41" i="2"/>
  <c r="H12" i="1" s="1"/>
  <c r="AD60" i="2"/>
  <c r="AF58" i="2"/>
  <c r="AB10" i="2"/>
  <c r="AZ10" i="2"/>
  <c r="BZ10" i="2"/>
  <c r="O27" i="2"/>
  <c r="O33" i="2" s="1"/>
  <c r="AX19" i="2"/>
  <c r="AX22" i="2" s="1"/>
  <c r="K14" i="1" s="1"/>
  <c r="BP20" i="2"/>
  <c r="BP23" i="2" s="1"/>
  <c r="K23" i="2"/>
  <c r="C23" i="2" s="1"/>
  <c r="E23" i="2" s="1"/>
  <c r="F32" i="1" s="1"/>
  <c r="CH25" i="2"/>
  <c r="CJ23" i="2"/>
  <c r="CJ25" i="2" s="1"/>
  <c r="Q24" i="2"/>
  <c r="S24" i="2" s="1"/>
  <c r="D24" i="2" s="1"/>
  <c r="E24" i="2" s="1"/>
  <c r="F34" i="1" s="1"/>
  <c r="CB28" i="2"/>
  <c r="S26" i="2"/>
  <c r="D26" i="2" s="1"/>
  <c r="E26" i="2" s="1"/>
  <c r="F38" i="1" s="1"/>
  <c r="S32" i="2"/>
  <c r="D32" i="2" s="1"/>
  <c r="E32" i="2" s="1"/>
  <c r="F21" i="1" s="1"/>
  <c r="AF52" i="2"/>
  <c r="AF60" i="2" s="1"/>
  <c r="H13" i="1" s="1"/>
  <c r="AL30" i="2"/>
  <c r="AL31" i="2" s="1"/>
  <c r="I14" i="1" s="1"/>
  <c r="AE52" i="2"/>
  <c r="AE60" i="2" s="1"/>
  <c r="AE41" i="2"/>
  <c r="Z1" i="2" l="1"/>
  <c r="Y17" i="1"/>
  <c r="V17" i="1"/>
  <c r="S17" i="1"/>
  <c r="F17" i="1"/>
  <c r="I24" i="1"/>
  <c r="Z34" i="1"/>
  <c r="S19" i="2"/>
  <c r="Q27" i="2"/>
  <c r="Q33" i="2" s="1"/>
  <c r="P15" i="1"/>
  <c r="P24" i="1"/>
  <c r="J24" i="1"/>
  <c r="J17" i="1" s="1"/>
  <c r="J15" i="1"/>
  <c r="Q26" i="1"/>
  <c r="Q44" i="1" s="1"/>
  <c r="AF34" i="2"/>
  <c r="H14" i="1" s="1"/>
  <c r="Z32" i="1"/>
  <c r="L17" i="1"/>
  <c r="R44" i="1"/>
  <c r="O44" i="1"/>
  <c r="M15" i="1"/>
  <c r="M20" i="1"/>
  <c r="M17" i="1" s="1"/>
  <c r="Z11" i="1"/>
  <c r="AL42" i="2"/>
  <c r="I41" i="1"/>
  <c r="I40" i="1"/>
  <c r="J40" i="1"/>
  <c r="AR1" i="2" s="1"/>
  <c r="AF7" i="2"/>
  <c r="I4" i="1"/>
  <c r="CD1" i="2"/>
  <c r="W44" i="1"/>
  <c r="P17" i="1"/>
  <c r="U44" i="1"/>
  <c r="O17" i="1"/>
  <c r="V44" i="1"/>
  <c r="H23" i="1"/>
  <c r="N40" i="1"/>
  <c r="N44" i="1" s="1"/>
  <c r="M42" i="1"/>
  <c r="Z21" i="1"/>
  <c r="K24" i="1"/>
  <c r="K17" i="1" s="1"/>
  <c r="K15" i="1"/>
  <c r="Z12" i="1"/>
  <c r="H20" i="1"/>
  <c r="Z33" i="1"/>
  <c r="X44" i="1"/>
  <c r="Z38" i="1"/>
  <c r="Z37" i="1"/>
  <c r="K40" i="1"/>
  <c r="AX1" i="2" s="1"/>
  <c r="C19" i="2"/>
  <c r="C27" i="2" s="1"/>
  <c r="C33" i="2" s="1"/>
  <c r="K27" i="2"/>
  <c r="K33" i="2" s="1"/>
  <c r="G44" i="1"/>
  <c r="S44" i="1"/>
  <c r="W17" i="1"/>
  <c r="T17" i="1"/>
  <c r="Y44" i="1"/>
  <c r="P44" i="1"/>
  <c r="Q17" i="1"/>
  <c r="R17" i="1"/>
  <c r="N17" i="1"/>
  <c r="L44" i="1"/>
  <c r="G17" i="1"/>
  <c r="X17" i="1"/>
  <c r="T44" i="1"/>
  <c r="U17" i="1"/>
  <c r="CI1" i="2"/>
  <c r="K44" i="1" l="1"/>
  <c r="AL43" i="2"/>
  <c r="AL44" i="2"/>
  <c r="I13" i="1" s="1"/>
  <c r="Z14" i="1"/>
  <c r="H24" i="1"/>
  <c r="Z40" i="1"/>
  <c r="Z26" i="1"/>
  <c r="AW1" i="2"/>
  <c r="BP1" i="2"/>
  <c r="Z20" i="1"/>
  <c r="AL1" i="2"/>
  <c r="AA11" i="1"/>
  <c r="AA32" i="1"/>
  <c r="CJ1" i="2"/>
  <c r="S27" i="2"/>
  <c r="S33" i="2" s="1"/>
  <c r="D19" i="2"/>
  <c r="AA33" i="1"/>
  <c r="Z42" i="1"/>
  <c r="BI1" i="2"/>
  <c r="AA37" i="1"/>
  <c r="AA12" i="1"/>
  <c r="AA21" i="1"/>
  <c r="AL7" i="2"/>
  <c r="J4" i="1"/>
  <c r="J44" i="1"/>
  <c r="AA38" i="1"/>
  <c r="H15" i="1"/>
  <c r="BJ1" i="2"/>
  <c r="Z41" i="1"/>
  <c r="M44" i="1"/>
  <c r="AQ1" i="2"/>
  <c r="CC1" i="2"/>
  <c r="AA34" i="1"/>
  <c r="AA20" i="1" l="1"/>
  <c r="I15" i="1"/>
  <c r="I23" i="1"/>
  <c r="I17" i="1" s="1"/>
  <c r="Z13" i="1"/>
  <c r="AJ1" i="2"/>
  <c r="K4" i="1"/>
  <c r="AR7" i="2"/>
  <c r="Z24" i="1"/>
  <c r="H44" i="1"/>
  <c r="AA26" i="1"/>
  <c r="AA42" i="1"/>
  <c r="D27" i="2"/>
  <c r="D33" i="2" s="1"/>
  <c r="E19" i="2"/>
  <c r="AA14" i="1"/>
  <c r="AX7" i="2" l="1"/>
  <c r="L4" i="1"/>
  <c r="AK1" i="2"/>
  <c r="AA24" i="1"/>
  <c r="AA13" i="1"/>
  <c r="Z15" i="1"/>
  <c r="E27" i="2"/>
  <c r="E33" i="2" s="1"/>
  <c r="F25" i="1"/>
  <c r="I44" i="1"/>
  <c r="Z23" i="1"/>
  <c r="E1" i="2" l="1"/>
  <c r="BD7" i="2"/>
  <c r="M4" i="1"/>
  <c r="AA23" i="1"/>
  <c r="AA15" i="1"/>
  <c r="Z25" i="1"/>
  <c r="F44" i="1"/>
  <c r="BJ7" i="2" l="1"/>
  <c r="N4" i="1"/>
  <c r="AA25" i="1"/>
  <c r="Z44" i="1"/>
  <c r="O4" i="1" l="1"/>
  <c r="BP7" i="2"/>
  <c r="BX7" i="2" l="1"/>
  <c r="P4" i="1"/>
  <c r="CD7" i="2" l="1"/>
  <c r="CJ7" i="2" s="1"/>
  <c r="CP7" i="2" s="1"/>
  <c r="Q4" i="1"/>
  <c r="R4" i="1" s="1"/>
  <c r="S4" i="1" s="1"/>
  <c r="T4" i="1" s="1"/>
  <c r="U4" i="1" s="1"/>
  <c r="V4" i="1" s="1"/>
  <c r="W4" i="1" s="1"/>
  <c r="X4" i="1" s="1"/>
  <c r="Y4" i="1" s="1"/>
  <c r="AA41" i="1" l="1"/>
  <c r="D44" i="1" l="1"/>
  <c r="AA40" i="1"/>
  <c r="AA44" i="1" s="1"/>
</calcChain>
</file>

<file path=xl/sharedStrings.xml><?xml version="1.0" encoding="utf-8"?>
<sst xmlns="http://schemas.openxmlformats.org/spreadsheetml/2006/main" count="529" uniqueCount="277">
  <si>
    <t xml:space="preserve"> </t>
  </si>
  <si>
    <t>REMOVE</t>
  </si>
  <si>
    <t>REGULATORY</t>
  </si>
  <si>
    <t>COLSTRIP 3/4</t>
  </si>
  <si>
    <t>PTC OFFSET TO</t>
  </si>
  <si>
    <t>ADD</t>
  </si>
  <si>
    <t>OPEN</t>
  </si>
  <si>
    <t>POWER</t>
  </si>
  <si>
    <t>MONTANA</t>
  </si>
  <si>
    <t>RATE BASE</t>
  </si>
  <si>
    <t>DEPRECIATION</t>
  </si>
  <si>
    <t>WILD HORSE</t>
  </si>
  <si>
    <t>PROPERTY</t>
  </si>
  <si>
    <t>ASSETS AND</t>
  </si>
  <si>
    <t>COLSTRIP 1-2</t>
  </si>
  <si>
    <t>GREEN</t>
  </si>
  <si>
    <t>SPI BIOMASS</t>
  </si>
  <si>
    <t xml:space="preserve">TOTAL </t>
  </si>
  <si>
    <t>ADJUSTED</t>
  </si>
  <si>
    <t>COST</t>
  </si>
  <si>
    <t>ENERGY TAX</t>
  </si>
  <si>
    <t>AMA TO EOP</t>
  </si>
  <si>
    <t>EIM</t>
  </si>
  <si>
    <t>SOLAR</t>
  </si>
  <si>
    <t>INSURANCE</t>
  </si>
  <si>
    <t>LIABILITIES</t>
  </si>
  <si>
    <t>STUDY</t>
  </si>
  <si>
    <t>REG ASSET</t>
  </si>
  <si>
    <t>DIRECT</t>
  </si>
  <si>
    <t>ADJUSTMENT</t>
  </si>
  <si>
    <t>AMOUNTS</t>
  </si>
  <si>
    <t>Power Cost Rate</t>
  </si>
  <si>
    <t>A-1 Line</t>
  </si>
  <si>
    <t>3a</t>
  </si>
  <si>
    <t>Colstrip 1&amp;2 Regulatory Asset</t>
  </si>
  <si>
    <t>Regulatory Asset Rate Base Return (on Row 3+3a)</t>
  </si>
  <si>
    <t>F</t>
  </si>
  <si>
    <t>V</t>
  </si>
  <si>
    <t>Open</t>
  </si>
  <si>
    <t>Transmission Rate Base Return (on Row 4)</t>
  </si>
  <si>
    <t>Production Rate Base Return (on Row 5)</t>
  </si>
  <si>
    <t>456-1 OATT Transmission Income</t>
  </si>
  <si>
    <t>Amortization - Colstrip 1&amp;2 Regulatory Asset</t>
  </si>
  <si>
    <t>Note:  Amounts in bold and italics are different from Dec 9, 2020 original filing.</t>
  </si>
  <si>
    <t>Adjustments to  Test Year Power Cost Rate</t>
  </si>
  <si>
    <t>Page 3 of 17</t>
  </si>
  <si>
    <t>Page 4 of 17</t>
  </si>
  <si>
    <t>Page 5 of 17</t>
  </si>
  <si>
    <t>Page 6 of 17</t>
  </si>
  <si>
    <t>Page 7 of 17</t>
  </si>
  <si>
    <t>Page 8 of 17</t>
  </si>
  <si>
    <t>Page 9 of 17</t>
  </si>
  <si>
    <t>Page 10 of 17</t>
  </si>
  <si>
    <t>Page 11 of 17</t>
  </si>
  <si>
    <t>Page 12 of 17</t>
  </si>
  <si>
    <t>Page 13 of 17</t>
  </si>
  <si>
    <t>Page 14 of 17</t>
  </si>
  <si>
    <t>Page 15 of 17</t>
  </si>
  <si>
    <t>Page 16 of 17</t>
  </si>
  <si>
    <t>Page 17 of 17</t>
  </si>
  <si>
    <t>Adjustment 1 - 1/3</t>
  </si>
  <si>
    <t>Adjustment 1 - 2/3</t>
  </si>
  <si>
    <t>Adjustment 1 - 3/3</t>
  </si>
  <si>
    <t>CONV FACTOR</t>
  </si>
  <si>
    <t>PUGET SOUND ENERGY</t>
  </si>
  <si>
    <t xml:space="preserve"> POWER COST ONLY RATE CASE</t>
  </si>
  <si>
    <t>POWER COST ADJUSTMENT</t>
  </si>
  <si>
    <t>POWER COST TEST YEAR</t>
  </si>
  <si>
    <t>POWER COST RATE YEAR</t>
  </si>
  <si>
    <t>MONTANA ENERGY TAX</t>
  </si>
  <si>
    <t>RATEBASE FROM AMA TO EOP</t>
  </si>
  <si>
    <t>DEPRECIATION FROM AMA TO EOP</t>
  </si>
  <si>
    <t>REMOVE EIM</t>
  </si>
  <si>
    <t>REMOVE WILD HORSE SOLAR</t>
  </si>
  <si>
    <t>PROPERTY INSURANCE</t>
  </si>
  <si>
    <t>REGULATORY ASSETS AND LIABILITIES</t>
  </si>
  <si>
    <t>COLSTRIP 3&amp;4 DEPRECIATION STUDY</t>
  </si>
  <si>
    <t>COLSTRIP 1-2 REGULATORY ASSET PTC OFFSET</t>
  </si>
  <si>
    <t>REMOVE GREEN DIRECT</t>
  </si>
  <si>
    <t>SPI BIOMASS PPA</t>
  </si>
  <si>
    <t>CONVERSION FACTOR</t>
  </si>
  <si>
    <t>PROD FACTOR</t>
  </si>
  <si>
    <t>TEST YEAR</t>
  </si>
  <si>
    <t xml:space="preserve">RATE YEAR </t>
  </si>
  <si>
    <t>LINE</t>
  </si>
  <si>
    <t>FROM EOP</t>
  </si>
  <si>
    <t>AMA</t>
  </si>
  <si>
    <t>RESTATED</t>
  </si>
  <si>
    <t>PTC</t>
  </si>
  <si>
    <t>Test Year</t>
  </si>
  <si>
    <t>After Prod</t>
  </si>
  <si>
    <t>NO.</t>
  </si>
  <si>
    <t>DESCRIPTION</t>
  </si>
  <si>
    <t>RATE YEAR</t>
  </si>
  <si>
    <t xml:space="preserve">ADJS. #3 &amp; #4 </t>
  </si>
  <si>
    <t>10/15/2020 EOP</t>
  </si>
  <si>
    <t>OFFSET</t>
  </si>
  <si>
    <t>FACTOR</t>
  </si>
  <si>
    <t>12ME</t>
  </si>
  <si>
    <t>Remove</t>
  </si>
  <si>
    <t>Amount</t>
  </si>
  <si>
    <t>Reclass</t>
  </si>
  <si>
    <t>Net Before</t>
  </si>
  <si>
    <t>Factor of</t>
  </si>
  <si>
    <t>AMA BALANCE NET OF ACCUM AMORT AND DFIT</t>
  </si>
  <si>
    <t>Description</t>
  </si>
  <si>
    <t>Ben&amp;Tax</t>
  </si>
  <si>
    <t xml:space="preserve"> for Adjustment</t>
  </si>
  <si>
    <t>Prod Factor</t>
  </si>
  <si>
    <t>EXPENSES TO BE NORMALIZED:</t>
  </si>
  <si>
    <t>PRODUCTION:</t>
  </si>
  <si>
    <t>PLANT RATE BASE</t>
  </si>
  <si>
    <t>WILD HORSE SOLAR RATE BASE</t>
  </si>
  <si>
    <t>EXPENSES</t>
  </si>
  <si>
    <t>COLSTRIP 1&amp;2 COAL (WECo) CONTRACT PREPAYMENT</t>
  </si>
  <si>
    <t>ADJUSTMENT TO COLSTRIP 3&amp;4 NET OPERATING INCOME AND RATE BASE</t>
  </si>
  <si>
    <t>RATE BASE ADJUSTMENT:</t>
  </si>
  <si>
    <t>INCOME STATEMENT:</t>
  </si>
  <si>
    <t>AMA OF REGULATORY ASSET/LIABILITY NET OF ACCUM AMORT AND DFIT</t>
  </si>
  <si>
    <t>BAD DEBTS</t>
  </si>
  <si>
    <t>MONTANA TAX EXPENSE</t>
  </si>
  <si>
    <t>PLANT BALANCE</t>
  </si>
  <si>
    <t>UTILITY PLANT RATEBASE</t>
  </si>
  <si>
    <t>PROPERTY INSURANCE EXPENSE</t>
  </si>
  <si>
    <t>WESTCOAST PIPELINE CAPACITY - UE-082013 (FB ENERGY)</t>
  </si>
  <si>
    <t>COLSTRIP 1-2 REGULATORY ASSET</t>
  </si>
  <si>
    <t>DEPRECIATION EXPENSE</t>
  </si>
  <si>
    <t>SPI BIOMASS PPA REGULATORY ASSET</t>
  </si>
  <si>
    <t>ANNUAL FILING FEE</t>
  </si>
  <si>
    <t>501 COAL STEAM FUEL</t>
  </si>
  <si>
    <t>SUBTOTAL</t>
  </si>
  <si>
    <t>STEAM NET BOOK VALUE</t>
  </si>
  <si>
    <t>403 ELEC. PROD DEPRECIATION EXPENSE</t>
  </si>
  <si>
    <t xml:space="preserve">ACCUM DEPRECIATION </t>
  </si>
  <si>
    <t>INCREASE (DECREASE) EXPENSE</t>
  </si>
  <si>
    <t>WESTCOAST PIPELINE CAPACITY - UE-100503 (BNP PARIBUS)</t>
  </si>
  <si>
    <t>EXPENSE</t>
  </si>
  <si>
    <t>ACCUMULATED DEFERRED INCOME TAXES</t>
  </si>
  <si>
    <t/>
  </si>
  <si>
    <t>DFIT SPI BIOMASS PPA REGULATORY ASSET</t>
  </si>
  <si>
    <t>547 NATURAL GAS FUEL</t>
  </si>
  <si>
    <t>PRODUCTION FACTOR ADJUSTMENT</t>
  </si>
  <si>
    <t>HYDRO NET BOOK VALUE</t>
  </si>
  <si>
    <t>404 ELEC. PROD DEPRECIATION EXPENSE</t>
  </si>
  <si>
    <t>ACCUMULATED DEPRECIATION</t>
  </si>
  <si>
    <t>MINT FARM DEFERRED - 15 YEARS - MARCH 2025</t>
  </si>
  <si>
    <t>ADJUST DEPRECIATION EXPENSE FOR NEW DEPRECIATION RATES</t>
  </si>
  <si>
    <t>NET COLSTRIP REGULATORY ASSET AND PTC OFFSET</t>
  </si>
  <si>
    <t>TOTAL INCREASE (DECREASE) EXPENSE</t>
  </si>
  <si>
    <t>555 PURCHASED POWER</t>
  </si>
  <si>
    <t>INCREASE(DECREASE) EXPENSE</t>
  </si>
  <si>
    <t>OTHER PRODUCTION NET BOOK VALUE</t>
  </si>
  <si>
    <t>SUBTOTAL DEPRECIATION EXPENSE 403</t>
  </si>
  <si>
    <t>NET EIM RATEBASE</t>
  </si>
  <si>
    <t>CHELAN PUD INITIATION PAYMENT - 20 YEARS - OCT 2031</t>
  </si>
  <si>
    <t>SUM OF TAXES OTHER</t>
  </si>
  <si>
    <t>557 OTHER POWER EXPENSE</t>
  </si>
  <si>
    <t>WILD HORSE SOLAR NET BOOK VALUE</t>
  </si>
  <si>
    <t>403.1 ELEC. PROD ASSET RETIREMENT COST DEPRECIATION</t>
  </si>
  <si>
    <t>TOTAL UTILITY PLANT RATE BASE</t>
  </si>
  <si>
    <t xml:space="preserve">CHELAN - ROCK ISLAND SECURITY DEPOSIT </t>
  </si>
  <si>
    <t>AMORTIZATION OF REGULATORY ASSET/LIABILITY</t>
  </si>
  <si>
    <t>557 BROKERAGE FEES</t>
  </si>
  <si>
    <t>EIM NET BOOK VALUE</t>
  </si>
  <si>
    <t>411.10 ELEC. PROD ASSET RETIREMENT OBLIGATION ACCRETION</t>
  </si>
  <si>
    <t>LOWER SNAKE RIVER PP TRANSM - 25 YEARS ~2035</t>
  </si>
  <si>
    <t>TEST YEAR EXPENSE ADJUSTMENT:</t>
  </si>
  <si>
    <t>TOTAL AMORTIZATION OF REG ASSETS/LIABS</t>
  </si>
  <si>
    <t>565 WHEELING</t>
  </si>
  <si>
    <t>GREEN DIRECT NET BOOK VALUE</t>
  </si>
  <si>
    <t>404 OTHER AMORTIZATION</t>
  </si>
  <si>
    <t>CARRY CHARGES ON LSR PP TRANSM 25 YEARS ~2037</t>
  </si>
  <si>
    <t>COLSTRIP 1-2 REG ASSET AMORT ADJ</t>
  </si>
  <si>
    <t>PLANT IN SERVICE</t>
  </si>
  <si>
    <t>PRODUCTION FACTOR ON RATE YEAR</t>
  </si>
  <si>
    <t>447 SALES FOR RESALE</t>
  </si>
  <si>
    <t>OTHER SOFTWARE NET BOOK VALUE</t>
  </si>
  <si>
    <t>406 ACQUISITION ADJUSTMENT AMORTIZATION</t>
  </si>
  <si>
    <t>BAKER LICENSE UPGRADE DEFERRAL (2013 PCORC) (FERC 407.3)</t>
  </si>
  <si>
    <t xml:space="preserve">TOTAL REGULATORY AMORT </t>
  </si>
  <si>
    <t>456 PURCHASES/SALES OF NON-CORE GAS</t>
  </si>
  <si>
    <t>LICENSING NET BOOK VALUE</t>
  </si>
  <si>
    <t>EIM EXPENSE</t>
  </si>
  <si>
    <t>SNOQUALMIE LICENSE UPGRADE DEFERRAL (2013 PCORC) (FERC 407.3)</t>
  </si>
  <si>
    <t>IMPACT ON ACCUM DEP FOR CHANGE TO DEP EXPENSE</t>
  </si>
  <si>
    <t>ACCUMULATED DEFERRED FIT</t>
  </si>
  <si>
    <t xml:space="preserve">     NET POWER COSTS FROM EXH. PKW-3</t>
  </si>
  <si>
    <t>COLSTRIP COMMON FERC ADJUSTMENT NET BOOK VALUE</t>
  </si>
  <si>
    <t>WILD HORSE SOLAR EXPENSE</t>
  </si>
  <si>
    <t>FERNDALE DEFERRAL (2013 PCORC) (FERC 407.3)</t>
  </si>
  <si>
    <t>IMPACT ON ACCUM DEF FED INC TAXES FOR CHANGE IN ACCUM DEP</t>
  </si>
  <si>
    <t>COLSTRIP DEFERRED DEPRECIATION FERC ADJ NBV</t>
  </si>
  <si>
    <t>ADJUSTMENT TO RATE BASE:</t>
  </si>
  <si>
    <t>INCREASE OPERATING EXPENSES</t>
  </si>
  <si>
    <t>DEPRECIATION EXPENSE ON UTILITY PLANT</t>
  </si>
  <si>
    <t>BAKER TREASURY GRANT DEFERRAL (2014 PCORC) (FERC 407.4)</t>
  </si>
  <si>
    <t>IMPACT ON ACCUM DEF FED INC TAXES FOR EDIT REVERSAL</t>
  </si>
  <si>
    <t>TOTAL RATE BASE</t>
  </si>
  <si>
    <t>PRODUCTION O&amp;M FROM RJR EXHIBIT</t>
  </si>
  <si>
    <t>ACQUISITION ADJUSTMENTS NET BOOK VALUE</t>
  </si>
  <si>
    <t>ADJUSTMENT TO ACCUMULATED DEPRECIATION</t>
  </si>
  <si>
    <t>INCREASE (DECREASE ) EXPENSE</t>
  </si>
  <si>
    <t>SNOQUALMIE TREASURY GRANT DEFERRAL (2014 PCORC) (FERC 407.4)</t>
  </si>
  <si>
    <t>TOTAL ADJUSTMENT TO RATEBASE</t>
  </si>
  <si>
    <t xml:space="preserve">TRANS. EXP. INCL. 500KV O&amp;M </t>
  </si>
  <si>
    <t>ASSET RETIREMENT OBLIGATIONS NET BOOK VALUE</t>
  </si>
  <si>
    <t>ELECTRON UNRECOVERED COST (2014 PCORC) (FERC 407.3)</t>
  </si>
  <si>
    <t>456-1 OATT TRANSMISSION INCOME</t>
  </si>
  <si>
    <t>WHITE RIVER PLANT COSTS - 3 YEARS - 2020</t>
  </si>
  <si>
    <t>EQUITY RETURN ON CENTRALIA COAL TRANSITION PPA</t>
  </si>
  <si>
    <t>TREASURY GRANTS</t>
  </si>
  <si>
    <t>TRANSFER OF UNPROTECTED EDIT TO 254 LIABILITY ACCOUNT</t>
  </si>
  <si>
    <t>TRANSMISSION:</t>
  </si>
  <si>
    <t>TOTAL REGULATORY ASSETS</t>
  </si>
  <si>
    <t>TOTAL TEST YEAR PRODUCTION RATE BASE</t>
  </si>
  <si>
    <t>403 ELEC. TRANS DEPRECIATION EXPENSE</t>
  </si>
  <si>
    <t>COLSTRIP 1&amp;2 REGULATORY ASSET:</t>
  </si>
  <si>
    <t>TOTAL DEPRECIATION EXPENSE 403</t>
  </si>
  <si>
    <t>COLSTRIP REGULATORY ASSET</t>
  </si>
  <si>
    <t xml:space="preserve">  </t>
  </si>
  <si>
    <t>DFIT</t>
  </si>
  <si>
    <t>CHELAN PUD</t>
  </si>
  <si>
    <t>|------------  (Note 1)  ------------|</t>
  </si>
  <si>
    <t>NET COLSTRIP REGULATORY ASSET (NOTE 1)</t>
  </si>
  <si>
    <t>COLSTRIP 1&amp;2 (WECo) PREPAYMENT</t>
  </si>
  <si>
    <t>(NOTE 1) ADJUSTED TO OCTOBER 15, 2020, THE DAY AMORTIZATION CEASED COINCIDENT WITH 2019 GRC RATES</t>
  </si>
  <si>
    <t>CARRYING CHARGES ON LSR PP TRANSM $99.8M (FERC 407.3)</t>
  </si>
  <si>
    <t>AMOUNTS ARE FURTHER OFFSET BY PTC'S IN ADJUSTMENT 10</t>
  </si>
  <si>
    <t>COLSTRIP 1&amp;2 TRANSMISSION</t>
  </si>
  <si>
    <t>COLSTRIP 3&amp;4 TRANSMISSION</t>
  </si>
  <si>
    <t>WHITE RIVER PLANT COSTS</t>
  </si>
  <si>
    <t>3RD AC NW-SW INTERTIE</t>
  </si>
  <si>
    <t>NORTHERN INTERTIE</t>
  </si>
  <si>
    <t>TOTAL TRANSMISSION</t>
  </si>
  <si>
    <t xml:space="preserve">(Note 1) The adjustments for amortization of power cost related </t>
  </si>
  <si>
    <t>DEFERRED TAXES</t>
  </si>
  <si>
    <t xml:space="preserve">regulatory assets and liabilities are performed in the </t>
  </si>
  <si>
    <t xml:space="preserve">Power Cost Adjustment (Adjustment No. 5.01) and therefore </t>
  </si>
  <si>
    <t>TRANSMISSION PORTION OF:</t>
  </si>
  <si>
    <t>are not adjusted here.</t>
  </si>
  <si>
    <t xml:space="preserve">    COLSTRIP COMMON FERC ADJ, NET OF ACCUM AMORT</t>
  </si>
  <si>
    <t xml:space="preserve">    COLSTRIP DEF DEPRFERC ADJ, NET OF ACCUM AMORT</t>
  </si>
  <si>
    <t>TOTAL TRANSMISSION RATE BASE AMA TO EOP ADJ</t>
  </si>
  <si>
    <t>RATE YEAR 12 MONTHS ENDED MAY 31, 2022</t>
  </si>
  <si>
    <t>TEST YEAR 12 MONTHS ENDED JUNE 30, 2020</t>
  </si>
  <si>
    <t>Regulatory Assets</t>
  </si>
  <si>
    <t>Transmission Rate Base</t>
  </si>
  <si>
    <t>Production Rate Base</t>
  </si>
  <si>
    <t xml:space="preserve">Net of tax rate of return </t>
  </si>
  <si>
    <t>10a</t>
  </si>
  <si>
    <t>Equity Adder Centralia Coal Transition PPA</t>
  </si>
  <si>
    <t>501-Steam Fuel Incl Reg Amort</t>
  </si>
  <si>
    <t>555-Purchased power Incl Reg Amort</t>
  </si>
  <si>
    <t>557-Other Power Exp</t>
  </si>
  <si>
    <t>15a</t>
  </si>
  <si>
    <t>Payroll Overheads - Benefits</t>
  </si>
  <si>
    <t>15b</t>
  </si>
  <si>
    <t>Property Insurance</t>
  </si>
  <si>
    <t>15c</t>
  </si>
  <si>
    <t>Montana Electric Energy Tax</t>
  </si>
  <si>
    <t>15d</t>
  </si>
  <si>
    <t>Payroll Taxes on Production Wages</t>
  </si>
  <si>
    <t>15e</t>
  </si>
  <si>
    <t>Brokerage Fees #55700003</t>
  </si>
  <si>
    <t>547-Fuel Incl Reg Amort</t>
  </si>
  <si>
    <t>565-Wheeling Incl Reg Amort</t>
  </si>
  <si>
    <t>Production O&amp;M</t>
  </si>
  <si>
    <t>447-Sales to Others</t>
  </si>
  <si>
    <t>456-Purch/Sales Non-Core Gas</t>
  </si>
  <si>
    <t>Transmission Exp - 500KV</t>
  </si>
  <si>
    <t>Depreciation-Production (FERC 403)</t>
  </si>
  <si>
    <t>Depreciation-Transmission</t>
  </si>
  <si>
    <t>Amortization  - Reg Assets - Non PC Only</t>
  </si>
  <si>
    <t>Subtotal &amp; Baseline Rate</t>
  </si>
  <si>
    <t>Updated</t>
  </si>
  <si>
    <t>Exh. SEF-15</t>
  </si>
  <si>
    <t>Docket UE-200980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</si>
</sst>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Adjustment&quot;\ General"/>
    <numFmt numFmtId="165" formatCode="mmmm\ d\,\ yyyy"/>
    <numFmt numFmtId="166" formatCode="_(&quot;$&quot;* #,##0_);_(&quot;$&quot;* \(#,##0\);_(&quot;$&quot;* &quot;-&quot;??_);_(@_)"/>
    <numFmt numFmtId="167" formatCode="_(* #,##0_);_(* \(#,##0\);_(* &quot;-&quot;??_);_(@_)"/>
    <numFmt numFmtId="168" formatCode="_(&quot;$&quot;* #,##0.000_);_(&quot;$&quot;* \(#,##0.000\);_(&quot;$&quot;* &quot;-&quot;??_);_(@_)"/>
    <numFmt numFmtId="169" formatCode="_(* #,##0.0000_);_(* \(#,##0.0000\);_(* &quot;-&quot;??_);_(@_)"/>
    <numFmt numFmtId="170" formatCode="0.000000"/>
    <numFmt numFmtId="171" formatCode="#,##0;\(#,##0\)"/>
    <numFmt numFmtId="172" formatCode="0.00000"/>
    <numFmt numFmtId="173" formatCode="yyyy"/>
    <numFmt numFmtId="174" formatCode="0.0000%"/>
    <numFmt numFmtId="175" formatCode="0.0000"/>
    <numFmt numFmtId="176" formatCode="0.0000000"/>
  </numFmts>
  <fonts count="27" x14ac:knownFonts="1">
    <font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color rgb="FF0000FF"/>
      <name val="Arial"/>
      <family val="2"/>
    </font>
    <font>
      <i/>
      <sz val="10"/>
      <color rgb="FF0000FF"/>
      <name val="Arial"/>
      <family val="2"/>
    </font>
    <font>
      <sz val="10"/>
      <color rgb="FF0000FF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i/>
      <sz val="10"/>
      <color rgb="FF0000FF"/>
      <name val="Times New Roman"/>
      <family val="1"/>
    </font>
    <font>
      <i/>
      <sz val="9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sz val="10"/>
      <color theme="1"/>
      <name val="Times New Roman"/>
      <family val="1"/>
    </font>
    <font>
      <sz val="10"/>
      <color rgb="FF0000FF"/>
      <name val="Times New Roman"/>
      <family val="1"/>
    </font>
    <font>
      <b/>
      <sz val="10"/>
      <color theme="1"/>
      <name val="Times New Roman"/>
      <family val="1"/>
    </font>
    <font>
      <i/>
      <sz val="10"/>
      <color rgb="FF0000FF"/>
      <name val="Times New Roman"/>
      <family val="1"/>
    </font>
    <font>
      <u/>
      <sz val="10"/>
      <color rgb="FF0000FF"/>
      <name val="Times New Roman"/>
      <family val="1"/>
    </font>
    <font>
      <u val="singleAccounting"/>
      <sz val="10"/>
      <color rgb="FFFF0000"/>
      <name val="Times New Roman"/>
      <family val="1"/>
    </font>
    <font>
      <u/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4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1" fillId="0" borderId="0" xfId="0" applyFont="1" applyFill="1"/>
    <xf numFmtId="2" fontId="3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1" fillId="0" borderId="1" xfId="0" applyFont="1" applyFill="1" applyBorder="1"/>
    <xf numFmtId="165" fontId="1" fillId="0" borderId="1" xfId="0" applyNumberFormat="1" applyFont="1" applyFill="1" applyBorder="1" applyAlignment="1">
      <alignment horizont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42" fontId="1" fillId="0" borderId="0" xfId="0" applyNumberFormat="1" applyFont="1" applyFill="1" applyBorder="1"/>
    <xf numFmtId="42" fontId="0" fillId="0" borderId="0" xfId="0" applyNumberFormat="1" applyFill="1"/>
    <xf numFmtId="42" fontId="3" fillId="0" borderId="0" xfId="0" applyNumberFormat="1" applyFont="1" applyFill="1" applyBorder="1"/>
    <xf numFmtId="166" fontId="1" fillId="0" borderId="0" xfId="0" applyNumberFormat="1" applyFont="1" applyFill="1" applyBorder="1"/>
    <xf numFmtId="41" fontId="1" fillId="0" borderId="0" xfId="0" applyNumberFormat="1" applyFont="1" applyFill="1" applyBorder="1"/>
    <xf numFmtId="167" fontId="1" fillId="0" borderId="0" xfId="0" applyNumberFormat="1" applyFont="1" applyFill="1" applyBorder="1"/>
    <xf numFmtId="41" fontId="1" fillId="0" borderId="2" xfId="0" applyNumberFormat="1" applyFont="1" applyFill="1" applyBorder="1"/>
    <xf numFmtId="41" fontId="3" fillId="0" borderId="2" xfId="0" applyNumberFormat="1" applyFont="1" applyFill="1" applyBorder="1"/>
    <xf numFmtId="3" fontId="1" fillId="0" borderId="0" xfId="0" applyNumberFormat="1" applyFont="1" applyFill="1"/>
    <xf numFmtId="3" fontId="1" fillId="0" borderId="0" xfId="0" applyNumberFormat="1" applyFont="1" applyFill="1" applyBorder="1"/>
    <xf numFmtId="0" fontId="1" fillId="0" borderId="0" xfId="0" applyFont="1" applyFill="1" applyAlignment="1">
      <alignment horizontal="left"/>
    </xf>
    <xf numFmtId="10" fontId="7" fillId="0" borderId="0" xfId="0" applyNumberFormat="1" applyFont="1" applyFill="1"/>
    <xf numFmtId="3" fontId="8" fillId="0" borderId="0" xfId="0" applyNumberFormat="1" applyFont="1" applyFill="1"/>
    <xf numFmtId="3" fontId="8" fillId="0" borderId="0" xfId="0" applyNumberFormat="1" applyFont="1" applyFill="1" applyBorder="1"/>
    <xf numFmtId="10" fontId="1" fillId="0" borderId="0" xfId="0" applyNumberFormat="1" applyFont="1" applyFill="1"/>
    <xf numFmtId="41" fontId="8" fillId="0" borderId="0" xfId="0" applyNumberFormat="1" applyFont="1" applyFill="1"/>
    <xf numFmtId="168" fontId="1" fillId="0" borderId="0" xfId="0" applyNumberFormat="1" applyFont="1" applyFill="1" applyBorder="1" applyAlignment="1">
      <alignment horizontal="center"/>
    </xf>
    <xf numFmtId="41" fontId="3" fillId="0" borderId="0" xfId="0" applyNumberFormat="1" applyFont="1" applyFill="1" applyBorder="1"/>
    <xf numFmtId="167" fontId="0" fillId="0" borderId="0" xfId="0" applyNumberFormat="1" applyFont="1"/>
    <xf numFmtId="0" fontId="1" fillId="0" borderId="0" xfId="0" applyFont="1" applyFill="1" applyBorder="1" applyAlignment="1">
      <alignment horizontal="left" indent="1"/>
    </xf>
    <xf numFmtId="0" fontId="1" fillId="0" borderId="0" xfId="0" applyFont="1" applyFill="1" applyAlignment="1">
      <alignment horizontal="left" indent="1"/>
    </xf>
    <xf numFmtId="41" fontId="1" fillId="0" borderId="0" xfId="0" applyNumberFormat="1" applyFont="1" applyFill="1"/>
    <xf numFmtId="42" fontId="1" fillId="0" borderId="0" xfId="0" applyNumberFormat="1" applyFont="1" applyFill="1"/>
    <xf numFmtId="41" fontId="1" fillId="0" borderId="1" xfId="0" applyNumberFormat="1" applyFont="1" applyFill="1" applyBorder="1"/>
    <xf numFmtId="42" fontId="1" fillId="0" borderId="2" xfId="0" applyNumberFormat="1" applyFont="1" applyFill="1" applyBorder="1"/>
    <xf numFmtId="42" fontId="3" fillId="0" borderId="2" xfId="0" applyNumberFormat="1" applyFont="1" applyFill="1" applyBorder="1"/>
    <xf numFmtId="0" fontId="9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/>
    <xf numFmtId="41" fontId="12" fillId="0" borderId="0" xfId="0" applyNumberFormat="1" applyFont="1"/>
    <xf numFmtId="0" fontId="12" fillId="0" borderId="0" xfId="0" applyFont="1" applyFill="1"/>
    <xf numFmtId="0" fontId="12" fillId="0" borderId="0" xfId="0" applyFont="1" applyAlignment="1"/>
    <xf numFmtId="0" fontId="12" fillId="0" borderId="0" xfId="0" applyFont="1" applyBorder="1" applyAlignment="1"/>
    <xf numFmtId="2" fontId="3" fillId="0" borderId="0" xfId="0" applyNumberFormat="1" applyFont="1" applyFill="1" applyBorder="1" applyAlignment="1">
      <alignment horizontal="left"/>
    </xf>
    <xf numFmtId="0" fontId="13" fillId="0" borderId="0" xfId="0" applyFont="1" applyFill="1" applyAlignment="1">
      <alignment horizontal="right"/>
    </xf>
    <xf numFmtId="0" fontId="12" fillId="0" borderId="0" xfId="0" applyFont="1" applyFill="1" applyAlignment="1"/>
    <xf numFmtId="0" fontId="13" fillId="0" borderId="0" xfId="0" applyFont="1" applyFill="1"/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horizontal="right"/>
    </xf>
    <xf numFmtId="0" fontId="13" fillId="0" borderId="0" xfId="0" applyFont="1" applyFill="1" applyAlignment="1"/>
    <xf numFmtId="0" fontId="14" fillId="0" borderId="0" xfId="0" applyFont="1" applyFill="1" applyAlignment="1">
      <alignment horizontal="centerContinuous"/>
    </xf>
    <xf numFmtId="0" fontId="15" fillId="0" borderId="0" xfId="0" applyFont="1" applyFill="1" applyAlignment="1">
      <alignment horizontal="centerContinuous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3" fillId="0" borderId="0" xfId="0" quotePrefix="1" applyFont="1" applyFill="1" applyBorder="1" applyAlignment="1">
      <alignment horizontal="right"/>
    </xf>
    <xf numFmtId="164" fontId="13" fillId="0" borderId="0" xfId="0" applyNumberFormat="1" applyFont="1" applyFill="1" applyBorder="1" applyAlignment="1">
      <alignment horizontal="center"/>
    </xf>
    <xf numFmtId="0" fontId="15" fillId="0" borderId="0" xfId="0" quotePrefix="1" applyFont="1" applyFill="1" applyBorder="1" applyAlignment="1">
      <alignment horizontal="centerContinuous"/>
    </xf>
    <xf numFmtId="0" fontId="15" fillId="0" borderId="0" xfId="0" quotePrefix="1" applyFont="1" applyFill="1" applyBorder="1" applyAlignment="1">
      <alignment horizontal="center"/>
    </xf>
    <xf numFmtId="164" fontId="13" fillId="0" borderId="3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164" fontId="13" fillId="0" borderId="4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Continuous"/>
    </xf>
    <xf numFmtId="0" fontId="12" fillId="0" borderId="0" xfId="0" applyFont="1" applyFill="1" applyAlignment="1">
      <alignment horizontal="centerContinuous"/>
    </xf>
    <xf numFmtId="164" fontId="13" fillId="0" borderId="4" xfId="0" applyNumberFormat="1" applyFont="1" applyFill="1" applyBorder="1" applyAlignment="1">
      <alignment horizontal="centerContinuous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 applyProtection="1">
      <alignment horizontal="centerContinuous"/>
      <protection locked="0"/>
    </xf>
    <xf numFmtId="0" fontId="13" fillId="0" borderId="0" xfId="0" applyFont="1" applyFill="1" applyAlignment="1">
      <alignment horizontal="left"/>
    </xf>
    <xf numFmtId="0" fontId="12" fillId="0" borderId="0" xfId="0" applyFont="1" applyAlignment="1">
      <alignment horizontal="centerContinuous"/>
    </xf>
    <xf numFmtId="0" fontId="13" fillId="0" borderId="0" xfId="0" applyFont="1" applyFill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protection locked="0"/>
    </xf>
    <xf numFmtId="15" fontId="13" fillId="0" borderId="0" xfId="0" applyNumberFormat="1" applyFont="1" applyFill="1" applyAlignment="1">
      <alignment horizontal="centerContinuous"/>
    </xf>
    <xf numFmtId="15" fontId="13" fillId="0" borderId="0" xfId="0" applyNumberFormat="1" applyFont="1" applyFill="1" applyAlignment="1"/>
    <xf numFmtId="15" fontId="13" fillId="0" borderId="0" xfId="0" applyNumberFormat="1" applyFont="1" applyFill="1" applyAlignment="1">
      <alignment horizontal="left"/>
    </xf>
    <xf numFmtId="18" fontId="13" fillId="0" borderId="0" xfId="0" applyNumberFormat="1" applyFont="1" applyFill="1" applyAlignment="1">
      <alignment horizontal="centerContinuous"/>
    </xf>
    <xf numFmtId="18" fontId="13" fillId="0" borderId="0" xfId="0" applyNumberFormat="1" applyFont="1" applyFill="1" applyAlignment="1"/>
    <xf numFmtId="18" fontId="13" fillId="0" borderId="0" xfId="0" applyNumberFormat="1" applyFont="1" applyFill="1" applyAlignment="1">
      <alignment horizontal="left"/>
    </xf>
    <xf numFmtId="0" fontId="12" fillId="0" borderId="0" xfId="0" applyFont="1" applyFill="1" applyBorder="1" applyAlignment="1"/>
    <xf numFmtId="0" fontId="16" fillId="0" borderId="0" xfId="0" applyFont="1" applyFill="1" applyAlignment="1">
      <alignment horizontal="centerContinuous"/>
    </xf>
    <xf numFmtId="18" fontId="16" fillId="0" borderId="0" xfId="0" applyNumberFormat="1" applyFont="1" applyFill="1" applyAlignment="1">
      <alignment horizontal="centerContinuous"/>
    </xf>
    <xf numFmtId="18" fontId="16" fillId="0" borderId="0" xfId="0" applyNumberFormat="1" applyFont="1" applyFill="1" applyAlignment="1"/>
    <xf numFmtId="18" fontId="16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Continuous"/>
    </xf>
    <xf numFmtId="0" fontId="17" fillId="0" borderId="0" xfId="0" applyFont="1" applyFill="1"/>
    <xf numFmtId="0" fontId="17" fillId="0" borderId="0" xfId="0" applyFont="1" applyFill="1" applyAlignment="1">
      <alignment horizontal="centerContinuous"/>
    </xf>
    <xf numFmtId="0" fontId="16" fillId="0" borderId="0" xfId="0" applyFont="1" applyFill="1" applyAlignment="1" applyProtection="1">
      <alignment horizontal="center"/>
      <protection locked="0"/>
    </xf>
    <xf numFmtId="0" fontId="16" fillId="0" borderId="0" xfId="0" applyFont="1" applyFill="1" applyAlignment="1">
      <alignment horizontal="center"/>
    </xf>
    <xf numFmtId="0" fontId="16" fillId="0" borderId="0" xfId="0" applyFont="1" applyFill="1" applyAlignment="1" applyProtection="1">
      <alignment horizontal="centerContinuous"/>
      <protection locked="0"/>
    </xf>
    <xf numFmtId="0" fontId="16" fillId="0" borderId="0" xfId="0" applyFont="1" applyFill="1" applyBorder="1" applyAlignment="1"/>
    <xf numFmtId="0" fontId="17" fillId="0" borderId="0" xfId="0" applyFont="1"/>
    <xf numFmtId="0" fontId="12" fillId="0" borderId="0" xfId="0" applyFont="1" applyFill="1" applyAlignment="1">
      <alignment horizontal="center"/>
    </xf>
    <xf numFmtId="0" fontId="12" fillId="0" borderId="0" xfId="0" applyFont="1" applyAlignment="1">
      <alignment horizontal="left"/>
    </xf>
    <xf numFmtId="169" fontId="12" fillId="0" borderId="0" xfId="0" applyNumberFormat="1" applyFont="1" applyFill="1" applyBorder="1"/>
    <xf numFmtId="170" fontId="13" fillId="0" borderId="0" xfId="0" applyNumberFormat="1" applyFont="1" applyFill="1" applyBorder="1" applyAlignment="1">
      <alignment wrapText="1"/>
    </xf>
    <xf numFmtId="0" fontId="15" fillId="0" borderId="1" xfId="0" applyFont="1" applyFill="1" applyBorder="1" applyAlignment="1">
      <alignment horizontal="centerContinuous"/>
    </xf>
    <xf numFmtId="0" fontId="13" fillId="0" borderId="1" xfId="0" applyFont="1" applyFill="1" applyBorder="1" applyAlignment="1">
      <alignment horizontal="centerContinuous"/>
    </xf>
    <xf numFmtId="0" fontId="12" fillId="0" borderId="0" xfId="0" applyFont="1" applyFill="1" applyBorder="1" applyAlignment="1">
      <alignment horizontal="left"/>
    </xf>
    <xf numFmtId="170" fontId="13" fillId="0" borderId="0" xfId="0" applyNumberFormat="1" applyFont="1" applyFill="1" applyBorder="1" applyAlignment="1"/>
    <xf numFmtId="9" fontId="13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Continuous"/>
    </xf>
    <xf numFmtId="0" fontId="13" fillId="0" borderId="0" xfId="0" applyFont="1" applyFill="1" applyBorder="1" applyAlignment="1">
      <alignment horizontal="centerContinuous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/>
    <xf numFmtId="10" fontId="13" fillId="0" borderId="1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17" fillId="0" borderId="0" xfId="0" applyFont="1" applyFill="1" applyAlignment="1">
      <alignment horizontal="center"/>
    </xf>
    <xf numFmtId="170" fontId="12" fillId="0" borderId="0" xfId="0" applyNumberFormat="1" applyFont="1" applyFill="1" applyBorder="1" applyAlignment="1">
      <alignment wrapText="1"/>
    </xf>
    <xf numFmtId="171" fontId="12" fillId="0" borderId="0" xfId="0" applyNumberFormat="1" applyFont="1" applyFill="1"/>
    <xf numFmtId="14" fontId="13" fillId="0" borderId="1" xfId="0" applyNumberFormat="1" applyFont="1" applyFill="1" applyBorder="1" applyAlignment="1">
      <alignment horizontal="center"/>
    </xf>
    <xf numFmtId="172" fontId="13" fillId="0" borderId="1" xfId="0" applyNumberFormat="1" applyFont="1" applyFill="1" applyBorder="1" applyAlignment="1">
      <alignment horizontal="center"/>
    </xf>
    <xf numFmtId="0" fontId="13" fillId="0" borderId="0" xfId="0" applyNumberFormat="1" applyFont="1" applyFill="1" applyAlignment="1">
      <alignment horizontal="left"/>
    </xf>
    <xf numFmtId="173" fontId="12" fillId="0" borderId="0" xfId="0" quotePrefix="1" applyNumberFormat="1" applyFont="1" applyFill="1" applyBorder="1" applyAlignment="1">
      <alignment horizontal="left"/>
    </xf>
    <xf numFmtId="42" fontId="12" fillId="0" borderId="0" xfId="0" applyNumberFormat="1" applyFont="1" applyFill="1" applyBorder="1"/>
    <xf numFmtId="170" fontId="18" fillId="0" borderId="0" xfId="0" applyNumberFormat="1" applyFont="1" applyFill="1" applyAlignment="1">
      <alignment horizontal="left"/>
    </xf>
    <xf numFmtId="170" fontId="18" fillId="0" borderId="0" xfId="0" applyNumberFormat="1" applyFont="1" applyFill="1" applyBorder="1" applyAlignment="1">
      <alignment horizontal="left"/>
    </xf>
    <xf numFmtId="0" fontId="19" fillId="0" borderId="0" xfId="0" applyFont="1" applyFill="1"/>
    <xf numFmtId="42" fontId="12" fillId="0" borderId="0" xfId="0" applyNumberFormat="1" applyFont="1" applyFill="1"/>
    <xf numFmtId="42" fontId="12" fillId="0" borderId="0" xfId="0" applyNumberFormat="1" applyFont="1"/>
    <xf numFmtId="170" fontId="13" fillId="0" borderId="0" xfId="0" applyNumberFormat="1" applyFont="1" applyFill="1" applyBorder="1" applyAlignment="1">
      <alignment horizontal="left"/>
    </xf>
    <xf numFmtId="0" fontId="12" fillId="0" borderId="0" xfId="0" applyFont="1" applyFill="1" applyBorder="1"/>
    <xf numFmtId="166" fontId="12" fillId="0" borderId="0" xfId="0" applyNumberFormat="1" applyFont="1" applyFill="1" applyBorder="1"/>
    <xf numFmtId="0" fontId="12" fillId="0" borderId="0" xfId="0" applyNumberFormat="1" applyFont="1" applyFill="1"/>
    <xf numFmtId="43" fontId="12" fillId="0" borderId="0" xfId="0" applyNumberFormat="1" applyFont="1" applyFill="1"/>
    <xf numFmtId="0" fontId="18" fillId="0" borderId="0" xfId="0" applyFont="1" applyFill="1" applyBorder="1"/>
    <xf numFmtId="37" fontId="12" fillId="0" borderId="0" xfId="0" applyNumberFormat="1" applyFont="1" applyFill="1" applyBorder="1"/>
    <xf numFmtId="0" fontId="12" fillId="0" borderId="0" xfId="0" applyFont="1" applyFill="1" applyAlignment="1">
      <alignment horizontal="right"/>
    </xf>
    <xf numFmtId="170" fontId="12" fillId="0" borderId="0" xfId="0" applyNumberFormat="1" applyFont="1" applyFill="1"/>
    <xf numFmtId="166" fontId="12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left"/>
    </xf>
    <xf numFmtId="0" fontId="18" fillId="0" borderId="0" xfId="0" applyNumberFormat="1" applyFont="1" applyFill="1" applyAlignment="1">
      <alignment horizontal="left"/>
    </xf>
    <xf numFmtId="167" fontId="12" fillId="0" borderId="0" xfId="0" applyNumberFormat="1" applyFont="1" applyFill="1" applyBorder="1"/>
    <xf numFmtId="167" fontId="9" fillId="0" borderId="0" xfId="0" applyNumberFormat="1" applyFont="1" applyFill="1" applyBorder="1"/>
    <xf numFmtId="170" fontId="12" fillId="0" borderId="0" xfId="0" applyNumberFormat="1" applyFont="1" applyFill="1" applyAlignment="1">
      <alignment horizontal="left" indent="2"/>
    </xf>
    <xf numFmtId="170" fontId="18" fillId="0" borderId="0" xfId="0" applyNumberFormat="1" applyFont="1" applyFill="1" applyBorder="1" applyAlignment="1">
      <alignment horizontal="left" indent="1"/>
    </xf>
    <xf numFmtId="42" fontId="12" fillId="0" borderId="1" xfId="0" applyNumberFormat="1" applyFont="1" applyFill="1" applyBorder="1"/>
    <xf numFmtId="42" fontId="12" fillId="0" borderId="1" xfId="0" applyNumberFormat="1" applyFont="1" applyFill="1" applyBorder="1" applyAlignment="1" applyProtection="1">
      <protection locked="0"/>
    </xf>
    <xf numFmtId="41" fontId="12" fillId="0" borderId="0" xfId="0" applyNumberFormat="1" applyFont="1" applyFill="1"/>
    <xf numFmtId="170" fontId="12" fillId="0" borderId="0" xfId="0" applyNumberFormat="1" applyFont="1" applyFill="1" applyBorder="1" applyAlignment="1">
      <alignment horizontal="left"/>
    </xf>
    <xf numFmtId="170" fontId="12" fillId="0" borderId="0" xfId="0" applyNumberFormat="1" applyFont="1" applyFill="1" applyAlignment="1">
      <alignment horizontal="left"/>
    </xf>
    <xf numFmtId="42" fontId="12" fillId="0" borderId="5" xfId="0" applyNumberFormat="1" applyFont="1" applyFill="1" applyBorder="1"/>
    <xf numFmtId="167" fontId="9" fillId="0" borderId="0" xfId="0" applyNumberFormat="1" applyFont="1" applyFill="1"/>
    <xf numFmtId="167" fontId="12" fillId="0" borderId="0" xfId="0" applyNumberFormat="1" applyFont="1" applyFill="1" applyBorder="1" applyAlignment="1"/>
    <xf numFmtId="42" fontId="9" fillId="0" borderId="0" xfId="0" applyNumberFormat="1" applyFont="1" applyFill="1" applyBorder="1"/>
    <xf numFmtId="166" fontId="9" fillId="0" borderId="0" xfId="0" applyNumberFormat="1" applyFont="1" applyFill="1" applyBorder="1"/>
    <xf numFmtId="167" fontId="12" fillId="0" borderId="0" xfId="0" applyNumberFormat="1" applyFont="1" applyFill="1"/>
    <xf numFmtId="166" fontId="12" fillId="0" borderId="0" xfId="0" applyNumberFormat="1" applyFont="1" applyFill="1"/>
    <xf numFmtId="166" fontId="9" fillId="0" borderId="0" xfId="0" applyNumberFormat="1" applyFont="1" applyFill="1"/>
    <xf numFmtId="167" fontId="12" fillId="0" borderId="2" xfId="0" applyNumberFormat="1" applyFont="1" applyFill="1" applyBorder="1"/>
    <xf numFmtId="167" fontId="9" fillId="0" borderId="2" xfId="0" applyNumberFormat="1" applyFont="1" applyFill="1" applyBorder="1"/>
    <xf numFmtId="0" fontId="12" fillId="0" borderId="0" xfId="0" applyNumberFormat="1" applyFont="1" applyFill="1" applyBorder="1" applyAlignment="1">
      <alignment horizontal="left"/>
    </xf>
    <xf numFmtId="42" fontId="12" fillId="0" borderId="0" xfId="0" applyNumberFormat="1" applyFont="1" applyFill="1" applyAlignment="1"/>
    <xf numFmtId="41" fontId="12" fillId="0" borderId="0" xfId="0" applyNumberFormat="1" applyFont="1" applyFill="1" applyBorder="1"/>
    <xf numFmtId="170" fontId="12" fillId="0" borderId="0" xfId="0" applyNumberFormat="1" applyFont="1" applyFill="1" applyBorder="1" applyAlignment="1">
      <alignment horizontal="left" indent="2"/>
    </xf>
    <xf numFmtId="0" fontId="12" fillId="0" borderId="0" xfId="0" applyNumberFormat="1" applyFont="1" applyFill="1" applyAlignment="1"/>
    <xf numFmtId="170" fontId="15" fillId="0" borderId="0" xfId="0" applyNumberFormat="1" applyFont="1" applyFill="1" applyBorder="1" applyAlignment="1">
      <alignment horizontal="left"/>
    </xf>
    <xf numFmtId="41" fontId="12" fillId="0" borderId="1" xfId="0" applyNumberFormat="1" applyFont="1" applyFill="1" applyBorder="1"/>
    <xf numFmtId="174" fontId="12" fillId="0" borderId="0" xfId="0" applyNumberFormat="1" applyFont="1" applyFill="1" applyAlignment="1"/>
    <xf numFmtId="170" fontId="12" fillId="0" borderId="1" xfId="0" applyNumberFormat="1" applyFont="1" applyFill="1" applyBorder="1"/>
    <xf numFmtId="171" fontId="12" fillId="0" borderId="0" xfId="0" applyNumberFormat="1" applyFont="1" applyFill="1" applyBorder="1"/>
    <xf numFmtId="175" fontId="12" fillId="0" borderId="0" xfId="0" applyNumberFormat="1" applyFont="1" applyFill="1" applyAlignment="1">
      <alignment horizontal="left"/>
    </xf>
    <xf numFmtId="167" fontId="12" fillId="0" borderId="0" xfId="0" applyNumberFormat="1" applyFont="1" applyFill="1" applyBorder="1" applyAlignment="1">
      <alignment horizontal="center"/>
    </xf>
    <xf numFmtId="167" fontId="9" fillId="0" borderId="0" xfId="0" applyNumberFormat="1" applyFont="1" applyFill="1" applyBorder="1" applyAlignment="1">
      <alignment horizontal="center"/>
    </xf>
    <xf numFmtId="41" fontId="12" fillId="0" borderId="0" xfId="0" applyNumberFormat="1" applyFont="1" applyFill="1" applyAlignment="1"/>
    <xf numFmtId="42" fontId="12" fillId="0" borderId="6" xfId="0" applyNumberFormat="1" applyFont="1" applyFill="1" applyBorder="1"/>
    <xf numFmtId="170" fontId="12" fillId="0" borderId="0" xfId="0" applyNumberFormat="1" applyFont="1" applyFill="1" applyBorder="1"/>
    <xf numFmtId="41" fontId="12" fillId="0" borderId="0" xfId="0" applyNumberFormat="1" applyFont="1" applyFill="1" applyBorder="1" applyAlignment="1">
      <alignment horizontal="left" wrapText="1"/>
    </xf>
    <xf numFmtId="41" fontId="13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/>
    </xf>
    <xf numFmtId="167" fontId="12" fillId="0" borderId="1" xfId="0" applyNumberFormat="1" applyFont="1" applyFill="1" applyBorder="1"/>
    <xf numFmtId="170" fontId="12" fillId="0" borderId="5" xfId="0" applyNumberFormat="1" applyFont="1" applyFill="1" applyBorder="1" applyProtection="1">
      <protection locked="0"/>
    </xf>
    <xf numFmtId="0" fontId="20" fillId="0" borderId="0" xfId="0" applyNumberFormat="1" applyFont="1" applyFill="1" applyAlignment="1">
      <alignment horizontal="left"/>
    </xf>
    <xf numFmtId="176" fontId="12" fillId="0" borderId="0" xfId="0" applyNumberFormat="1" applyFont="1" applyFill="1" applyBorder="1" applyProtection="1">
      <protection locked="0"/>
    </xf>
    <xf numFmtId="0" fontId="18" fillId="0" borderId="0" xfId="0" applyFont="1" applyFill="1"/>
    <xf numFmtId="170" fontId="12" fillId="0" borderId="0" xfId="0" applyNumberFormat="1" applyFont="1" applyAlignment="1">
      <alignment horizontal="left"/>
    </xf>
    <xf numFmtId="41" fontId="12" fillId="0" borderId="2" xfId="0" applyNumberFormat="1" applyFont="1" applyFill="1" applyBorder="1"/>
    <xf numFmtId="42" fontId="12" fillId="0" borderId="2" xfId="0" applyNumberFormat="1" applyFont="1" applyFill="1" applyBorder="1"/>
    <xf numFmtId="42" fontId="9" fillId="0" borderId="2" xfId="0" applyNumberFormat="1" applyFont="1" applyFill="1" applyBorder="1"/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/>
    <xf numFmtId="43" fontId="12" fillId="0" borderId="0" xfId="0" applyNumberFormat="1" applyFont="1" applyFill="1" applyBorder="1"/>
    <xf numFmtId="43" fontId="12" fillId="0" borderId="2" xfId="0" applyNumberFormat="1" applyFont="1" applyFill="1" applyBorder="1"/>
    <xf numFmtId="0" fontId="12" fillId="0" borderId="2" xfId="0" applyFont="1" applyFill="1" applyBorder="1"/>
    <xf numFmtId="41" fontId="12" fillId="0" borderId="0" xfId="0" applyNumberFormat="1" applyFont="1" applyFill="1" applyBorder="1" applyAlignment="1"/>
    <xf numFmtId="170" fontId="12" fillId="0" borderId="0" xfId="0" applyNumberFormat="1" applyFont="1" applyFill="1" applyBorder="1" applyAlignment="1">
      <alignment horizontal="left" indent="1"/>
    </xf>
    <xf numFmtId="37" fontId="12" fillId="0" borderId="0" xfId="0" applyNumberFormat="1" applyFont="1" applyFill="1"/>
    <xf numFmtId="0" fontId="21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center"/>
    </xf>
    <xf numFmtId="42" fontId="12" fillId="0" borderId="6" xfId="0" applyNumberFormat="1" applyFont="1" applyBorder="1"/>
    <xf numFmtId="42" fontId="9" fillId="0" borderId="6" xfId="0" applyNumberFormat="1" applyFont="1" applyBorder="1"/>
    <xf numFmtId="166" fontId="12" fillId="2" borderId="0" xfId="0" applyNumberFormat="1" applyFont="1" applyFill="1" applyBorder="1"/>
    <xf numFmtId="42" fontId="12" fillId="0" borderId="2" xfId="0" applyNumberFormat="1" applyFont="1" applyFill="1" applyBorder="1" applyAlignment="1"/>
    <xf numFmtId="0" fontId="13" fillId="0" borderId="0" xfId="0" applyFont="1"/>
    <xf numFmtId="42" fontId="21" fillId="0" borderId="0" xfId="0" applyNumberFormat="1" applyFont="1" applyFill="1" applyBorder="1"/>
    <xf numFmtId="0" fontId="12" fillId="0" borderId="0" xfId="0" applyFont="1" applyFill="1" applyAlignment="1">
      <alignment horizontal="left" vertical="top"/>
    </xf>
    <xf numFmtId="0" fontId="16" fillId="0" borderId="0" xfId="0" applyFont="1" applyFill="1" applyBorder="1" applyAlignment="1">
      <alignment horizontal="right"/>
    </xf>
    <xf numFmtId="42" fontId="12" fillId="0" borderId="5" xfId="0" applyNumberFormat="1" applyFont="1" applyFill="1" applyBorder="1" applyAlignment="1"/>
    <xf numFmtId="170" fontId="21" fillId="0" borderId="0" xfId="0" applyNumberFormat="1" applyFont="1" applyFill="1" applyBorder="1" applyAlignment="1">
      <alignment horizontal="left" indent="2"/>
    </xf>
    <xf numFmtId="41" fontId="21" fillId="0" borderId="0" xfId="0" applyNumberFormat="1" applyFont="1" applyFill="1" applyBorder="1"/>
    <xf numFmtId="0" fontId="12" fillId="0" borderId="0" xfId="0" applyFont="1" applyFill="1" applyBorder="1" applyAlignment="1">
      <alignment horizontal="centerContinuous"/>
    </xf>
    <xf numFmtId="41" fontId="12" fillId="0" borderId="0" xfId="0" applyNumberFormat="1" applyFont="1" applyFill="1" applyBorder="1" applyAlignment="1">
      <alignment horizontal="left"/>
    </xf>
    <xf numFmtId="17" fontId="12" fillId="0" borderId="0" xfId="0" applyNumberFormat="1" applyFont="1" applyFill="1" applyAlignment="1">
      <alignment horizontal="right"/>
    </xf>
    <xf numFmtId="167" fontId="12" fillId="0" borderId="0" xfId="0" applyNumberFormat="1" applyFont="1"/>
    <xf numFmtId="0" fontId="12" fillId="0" borderId="0" xfId="0" quotePrefix="1" applyFont="1" applyFill="1" applyBorder="1" applyAlignment="1">
      <alignment horizontal="centerContinuous"/>
    </xf>
    <xf numFmtId="41" fontId="21" fillId="0" borderId="0" xfId="0" applyNumberFormat="1" applyFont="1" applyFill="1"/>
    <xf numFmtId="0" fontId="22" fillId="0" borderId="0" xfId="0" applyFont="1" applyFill="1" applyBorder="1" applyAlignment="1">
      <alignment horizontal="center"/>
    </xf>
    <xf numFmtId="170" fontId="21" fillId="0" borderId="0" xfId="0" applyNumberFormat="1" applyFont="1" applyFill="1" applyBorder="1" applyAlignment="1">
      <alignment horizontal="left"/>
    </xf>
    <xf numFmtId="0" fontId="22" fillId="0" borderId="0" xfId="0" applyNumberFormat="1" applyFont="1" applyFill="1" applyBorder="1" applyAlignment="1" applyProtection="1">
      <alignment horizontal="center"/>
      <protection locked="0"/>
    </xf>
    <xf numFmtId="41" fontId="21" fillId="0" borderId="0" xfId="0" applyNumberFormat="1" applyFont="1" applyFill="1" applyBorder="1" applyAlignment="1">
      <alignment horizontal="left" wrapText="1"/>
    </xf>
    <xf numFmtId="0" fontId="12" fillId="0" borderId="0" xfId="0" applyNumberFormat="1" applyFont="1" applyAlignment="1"/>
    <xf numFmtId="0" fontId="12" fillId="0" borderId="0" xfId="0" applyFont="1" applyFill="1" applyBorder="1" applyAlignment="1" applyProtection="1">
      <alignment horizontal="center"/>
      <protection locked="0"/>
    </xf>
    <xf numFmtId="10" fontId="21" fillId="0" borderId="0" xfId="0" applyNumberFormat="1" applyFont="1" applyFill="1" applyBorder="1" applyAlignment="1">
      <alignment horizontal="left" wrapText="1"/>
    </xf>
    <xf numFmtId="15" fontId="12" fillId="0" borderId="0" xfId="0" applyNumberFormat="1" applyFont="1" applyFill="1" applyBorder="1" applyAlignment="1">
      <alignment horizontal="centerContinuous"/>
    </xf>
    <xf numFmtId="167" fontId="12" fillId="0" borderId="0" xfId="0" applyNumberFormat="1" applyFont="1" applyFill="1" applyAlignment="1"/>
    <xf numFmtId="167" fontId="12" fillId="0" borderId="0" xfId="0" applyNumberFormat="1" applyFont="1" applyFill="1" applyBorder="1" applyAlignment="1">
      <alignment horizontal="right"/>
    </xf>
    <xf numFmtId="41" fontId="12" fillId="0" borderId="0" xfId="0" applyNumberFormat="1" applyFont="1" applyBorder="1" applyAlignment="1">
      <alignment horizontal="left" wrapText="1"/>
    </xf>
    <xf numFmtId="41" fontId="12" fillId="0" borderId="0" xfId="0" applyNumberFormat="1" applyFont="1" applyBorder="1"/>
    <xf numFmtId="18" fontId="12" fillId="0" borderId="0" xfId="0" applyNumberFormat="1" applyFont="1" applyFill="1" applyBorder="1" applyAlignment="1">
      <alignment horizontal="centerContinuous"/>
    </xf>
    <xf numFmtId="0" fontId="12" fillId="0" borderId="0" xfId="0" applyFont="1" applyFill="1" applyAlignment="1">
      <alignment horizontal="left" wrapText="1"/>
    </xf>
    <xf numFmtId="167" fontId="23" fillId="0" borderId="0" xfId="0" applyNumberFormat="1" applyFont="1" applyFill="1" applyBorder="1" applyAlignment="1">
      <alignment horizontal="centerContinuous"/>
    </xf>
    <xf numFmtId="167" fontId="12" fillId="0" borderId="0" xfId="0" applyNumberFormat="1" applyFont="1" applyFill="1" applyAlignment="1">
      <alignment horizontal="centerContinuous"/>
    </xf>
    <xf numFmtId="0" fontId="12" fillId="0" borderId="0" xfId="0" applyFont="1" applyFill="1" applyBorder="1" applyAlignment="1">
      <alignment horizontal="left" indent="1"/>
    </xf>
    <xf numFmtId="170" fontId="24" fillId="0" borderId="0" xfId="0" applyNumberFormat="1" applyFont="1" applyFill="1" applyBorder="1" applyAlignment="1">
      <alignment horizontal="left"/>
    </xf>
    <xf numFmtId="42" fontId="12" fillId="0" borderId="0" xfId="0" applyNumberFormat="1" applyFont="1" applyBorder="1"/>
    <xf numFmtId="0" fontId="12" fillId="0" borderId="0" xfId="0" quotePrefix="1" applyFont="1" applyFill="1" applyBorder="1" applyAlignment="1">
      <alignment horizontal="left" indent="1"/>
    </xf>
    <xf numFmtId="166" fontId="12" fillId="0" borderId="0" xfId="0" applyNumberFormat="1" applyFont="1" applyBorder="1"/>
    <xf numFmtId="0" fontId="14" fillId="0" borderId="0" xfId="0" applyFont="1" applyFill="1" applyAlignment="1">
      <alignment horizontal="left" indent="2"/>
    </xf>
    <xf numFmtId="0" fontId="14" fillId="0" borderId="0" xfId="0" applyFont="1" applyFill="1" applyAlignment="1">
      <alignment horizontal="left" indent="7"/>
    </xf>
    <xf numFmtId="171" fontId="12" fillId="0" borderId="0" xfId="0" applyNumberFormat="1" applyFont="1" applyFill="1" applyBorder="1" applyAlignment="1">
      <alignment vertical="center"/>
    </xf>
    <xf numFmtId="167" fontId="12" fillId="0" borderId="0" xfId="0" applyNumberFormat="1" applyFont="1" applyFill="1" applyBorder="1" applyAlignment="1">
      <alignment wrapText="1"/>
    </xf>
    <xf numFmtId="41" fontId="21" fillId="0" borderId="0" xfId="0" applyNumberFormat="1" applyFont="1" applyFill="1" applyBorder="1" applyAlignment="1"/>
    <xf numFmtId="171" fontId="17" fillId="0" borderId="0" xfId="0" applyNumberFormat="1" applyFont="1" applyFill="1" applyBorder="1"/>
    <xf numFmtId="166" fontId="25" fillId="0" borderId="0" xfId="0" applyNumberFormat="1" applyFont="1" applyFill="1" applyBorder="1"/>
    <xf numFmtId="166" fontId="17" fillId="0" borderId="0" xfId="0" applyNumberFormat="1" applyFont="1" applyFill="1" applyBorder="1"/>
    <xf numFmtId="44" fontId="12" fillId="0" borderId="0" xfId="0" applyNumberFormat="1" applyFont="1" applyFill="1" applyBorder="1"/>
    <xf numFmtId="170" fontId="17" fillId="0" borderId="0" xfId="0" applyNumberFormat="1" applyFont="1" applyFill="1" applyBorder="1" applyAlignment="1">
      <alignment horizontal="left"/>
    </xf>
    <xf numFmtId="41" fontId="17" fillId="0" borderId="0" xfId="0" applyNumberFormat="1" applyFont="1" applyFill="1" applyBorder="1"/>
    <xf numFmtId="167" fontId="17" fillId="0" borderId="0" xfId="0" applyNumberFormat="1" applyFont="1" applyFill="1" applyBorder="1"/>
    <xf numFmtId="0" fontId="12" fillId="0" borderId="0" xfId="0" applyFont="1" applyFill="1" applyBorder="1" applyAlignment="1">
      <alignment vertical="center"/>
    </xf>
    <xf numFmtId="41" fontId="12" fillId="0" borderId="1" xfId="0" applyNumberFormat="1" applyFont="1" applyFill="1" applyBorder="1" applyAlignment="1"/>
    <xf numFmtId="0" fontId="26" fillId="0" borderId="0" xfId="0" applyFont="1" applyFill="1" applyBorder="1"/>
    <xf numFmtId="37" fontId="23" fillId="0" borderId="0" xfId="0" applyNumberFormat="1" applyFont="1" applyFill="1" applyAlignment="1"/>
    <xf numFmtId="37" fontId="23" fillId="0" borderId="0" xfId="0" applyNumberFormat="1" applyFont="1" applyFill="1" applyAlignment="1">
      <alignment horizontal="left" indent="2"/>
    </xf>
    <xf numFmtId="0" fontId="17" fillId="0" borderId="0" xfId="0" applyFont="1" applyFill="1" applyBorder="1" applyAlignment="1">
      <alignment horizontal="center"/>
    </xf>
    <xf numFmtId="0" fontId="12" fillId="0" borderId="0" xfId="0" applyFont="1" applyBorder="1"/>
    <xf numFmtId="3" fontId="12" fillId="0" borderId="0" xfId="0" applyNumberFormat="1" applyFont="1" applyFill="1" applyBorder="1" applyAlignment="1"/>
    <xf numFmtId="37" fontId="12" fillId="0" borderId="0" xfId="0" applyNumberFormat="1" applyFont="1" applyFill="1" applyBorder="1" applyAlignment="1"/>
    <xf numFmtId="0" fontId="21" fillId="0" borderId="0" xfId="0" applyFont="1" applyFill="1" applyBorder="1"/>
    <xf numFmtId="167" fontId="16" fillId="0" borderId="0" xfId="0" applyNumberFormat="1" applyFont="1" applyFill="1"/>
    <xf numFmtId="2" fontId="3" fillId="0" borderId="0" xfId="0" applyNumberFormat="1" applyFont="1" applyFill="1" applyBorder="1" applyAlignment="1">
      <alignment horizontal="left" vertical="top"/>
    </xf>
    <xf numFmtId="0" fontId="9" fillId="0" borderId="2" xfId="0" applyFont="1" applyFill="1" applyBorder="1" applyAlignment="1"/>
    <xf numFmtId="0" fontId="1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6" fillId="0" borderId="0" xfId="0" applyFont="1" applyFill="1" applyAlignment="1" applyProtection="1">
      <alignment horizontal="center"/>
      <protection locked="0"/>
    </xf>
    <xf numFmtId="0" fontId="13" fillId="0" borderId="0" xfId="0" applyFont="1" applyFill="1" applyAlignment="1" applyProtection="1">
      <alignment horizontal="center"/>
      <protection locked="0"/>
    </xf>
    <xf numFmtId="0" fontId="17" fillId="0" borderId="0" xfId="0" applyFont="1" applyFill="1" applyBorder="1" applyAlignment="1">
      <alignment horizontal="center"/>
    </xf>
  </cellXfs>
  <cellStyles count="1">
    <cellStyle name="Normal" xfId="0" builtinId="0"/>
  </cellStyles>
  <dxfs count="20"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6"/>
  <sheetViews>
    <sheetView tabSelected="1" zoomScale="85" zoomScaleNormal="8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ColWidth="11.26953125" defaultRowHeight="15" customHeight="1" outlineLevelRow="1" outlineLevelCol="1" x14ac:dyDescent="0.25"/>
  <cols>
    <col min="1" max="1" width="10.453125" style="7" customWidth="1"/>
    <col min="2" max="2" width="45.26953125" style="7" customWidth="1"/>
    <col min="3" max="3" width="3.54296875" style="7" bestFit="1" customWidth="1"/>
    <col min="4" max="4" width="19" style="7" bestFit="1" customWidth="1"/>
    <col min="5" max="5" width="1.7265625" style="7" customWidth="1"/>
    <col min="6" max="6" width="16.453125" style="7" bestFit="1" customWidth="1"/>
    <col min="7" max="7" width="13.7265625" style="7" bestFit="1" customWidth="1"/>
    <col min="8" max="8" width="15.54296875" style="7" customWidth="1"/>
    <col min="9" max="9" width="15.54296875" style="7" bestFit="1" customWidth="1"/>
    <col min="10" max="10" width="13.26953125" style="7" bestFit="1" customWidth="1"/>
    <col min="11" max="11" width="13.453125" style="7" customWidth="1"/>
    <col min="12" max="12" width="13.26953125" style="7" bestFit="1" customWidth="1"/>
    <col min="13" max="13" width="14.7265625" style="7" bestFit="1" customWidth="1"/>
    <col min="14" max="14" width="15.26953125" style="7" bestFit="1" customWidth="1"/>
    <col min="15" max="15" width="15.7265625" style="7" bestFit="1" customWidth="1"/>
    <col min="16" max="16" width="14.54296875" style="7" customWidth="1"/>
    <col min="17" max="17" width="17" style="7" customWidth="1"/>
    <col min="18" max="18" width="18.26953125" style="7" hidden="1" customWidth="1" outlineLevel="1"/>
    <col min="19" max="20" width="16" style="7" hidden="1" customWidth="1" outlineLevel="1"/>
    <col min="21" max="21" width="16.54296875" style="7" hidden="1" customWidth="1" outlineLevel="1"/>
    <col min="22" max="22" width="16" style="7" hidden="1" customWidth="1" outlineLevel="1"/>
    <col min="23" max="23" width="14.54296875" style="7" hidden="1" customWidth="1" outlineLevel="1"/>
    <col min="24" max="25" width="18.26953125" style="7" hidden="1" customWidth="1" outlineLevel="1"/>
    <col min="26" max="26" width="16.453125" style="7" bestFit="1" customWidth="1" collapsed="1"/>
    <col min="27" max="27" width="16.453125" style="7" bestFit="1" customWidth="1"/>
    <col min="28" max="28" width="16.54296875" style="7" bestFit="1" customWidth="1"/>
    <col min="29" max="29" width="15.54296875" style="7" bestFit="1" customWidth="1"/>
    <col min="30" max="30" width="11.26953125" style="7"/>
    <col min="31" max="31" width="13.54296875" style="7" bestFit="1" customWidth="1"/>
    <col min="32" max="16384" width="11.26953125" style="7"/>
  </cols>
  <sheetData>
    <row r="1" spans="1:30" s="1" customFormat="1" ht="6" customHeight="1" x14ac:dyDescent="0.3">
      <c r="B1" s="2" t="s">
        <v>0</v>
      </c>
      <c r="C1" s="2"/>
    </row>
    <row r="2" spans="1:30" ht="15" customHeight="1" x14ac:dyDescent="0.3">
      <c r="A2" s="1"/>
      <c r="B2" s="2" t="s">
        <v>0</v>
      </c>
      <c r="C2" s="2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5"/>
      <c r="W2" s="3"/>
      <c r="X2" s="6"/>
      <c r="Y2" s="6"/>
      <c r="Z2" s="3"/>
      <c r="AA2" s="3"/>
    </row>
    <row r="3" spans="1:30" ht="15" customHeight="1" x14ac:dyDescent="0.3">
      <c r="A3" s="1"/>
      <c r="B3" s="2"/>
      <c r="C3" s="2"/>
      <c r="D3" s="1"/>
      <c r="E3" s="1"/>
      <c r="F3" s="8" t="s">
        <v>274</v>
      </c>
      <c r="G3" s="8" t="s">
        <v>274</v>
      </c>
      <c r="H3" s="9"/>
      <c r="I3" s="9"/>
      <c r="J3" s="9"/>
      <c r="K3" s="9"/>
      <c r="L3" s="9"/>
      <c r="M3" s="9"/>
      <c r="N3" s="9"/>
      <c r="O3" s="9"/>
      <c r="P3" s="9"/>
      <c r="Q3" s="8" t="s">
        <v>274</v>
      </c>
      <c r="R3" s="9"/>
      <c r="S3" s="9"/>
      <c r="T3" s="9"/>
      <c r="U3" s="9"/>
      <c r="V3" s="9"/>
      <c r="W3" s="9"/>
      <c r="X3" s="9"/>
      <c r="Y3" s="9"/>
      <c r="Z3" s="1"/>
      <c r="AA3" s="3"/>
    </row>
    <row r="4" spans="1:30" ht="15" customHeight="1" x14ac:dyDescent="0.3">
      <c r="B4" s="1" t="str">
        <f>IF(ROUND(SUM(AE11:AE43),0)=0,"","PROD ADJ NEEDS ATTENTION ! !")</f>
        <v/>
      </c>
      <c r="C4" s="1"/>
      <c r="F4" s="10">
        <v>1</v>
      </c>
      <c r="G4" s="10">
        <f>F4+1</f>
        <v>2</v>
      </c>
      <c r="H4" s="10">
        <f t="shared" ref="H4:J4" si="0">G4+1</f>
        <v>3</v>
      </c>
      <c r="I4" s="10">
        <f t="shared" si="0"/>
        <v>4</v>
      </c>
      <c r="J4" s="10">
        <f t="shared" si="0"/>
        <v>5</v>
      </c>
      <c r="K4" s="10">
        <f>J4+1</f>
        <v>6</v>
      </c>
      <c r="L4" s="10">
        <f t="shared" ref="L4:Y4" si="1">K4+1</f>
        <v>7</v>
      </c>
      <c r="M4" s="10">
        <f t="shared" si="1"/>
        <v>8</v>
      </c>
      <c r="N4" s="10">
        <f t="shared" si="1"/>
        <v>9</v>
      </c>
      <c r="O4" s="10">
        <f t="shared" si="1"/>
        <v>10</v>
      </c>
      <c r="P4" s="10">
        <f t="shared" si="1"/>
        <v>11</v>
      </c>
      <c r="Q4" s="10">
        <f t="shared" si="1"/>
        <v>12</v>
      </c>
      <c r="R4" s="10">
        <f t="shared" si="1"/>
        <v>13</v>
      </c>
      <c r="S4" s="10">
        <f t="shared" si="1"/>
        <v>14</v>
      </c>
      <c r="T4" s="10">
        <f t="shared" si="1"/>
        <v>15</v>
      </c>
      <c r="U4" s="10">
        <f t="shared" si="1"/>
        <v>16</v>
      </c>
      <c r="V4" s="10">
        <f t="shared" si="1"/>
        <v>17</v>
      </c>
      <c r="W4" s="10">
        <f t="shared" si="1"/>
        <v>18</v>
      </c>
      <c r="X4" s="10">
        <f t="shared" si="1"/>
        <v>19</v>
      </c>
      <c r="Y4" s="10">
        <f t="shared" si="1"/>
        <v>20</v>
      </c>
    </row>
    <row r="5" spans="1:30" ht="15" customHeight="1" x14ac:dyDescent="0.25">
      <c r="B5"/>
      <c r="C5" s="1"/>
      <c r="D5" s="259" t="s">
        <v>244</v>
      </c>
      <c r="E5" s="11"/>
      <c r="F5" s="11"/>
      <c r="G5" s="11"/>
      <c r="H5" s="11"/>
      <c r="I5" s="11"/>
      <c r="J5" s="11"/>
      <c r="K5" s="11" t="s">
        <v>1</v>
      </c>
      <c r="L5" s="11"/>
      <c r="M5" s="11" t="s">
        <v>2</v>
      </c>
      <c r="N5" s="11" t="s">
        <v>3</v>
      </c>
      <c r="O5" s="11" t="s">
        <v>4</v>
      </c>
      <c r="P5" s="11" t="s">
        <v>1</v>
      </c>
      <c r="Q5" s="11" t="s">
        <v>5</v>
      </c>
      <c r="R5" s="11" t="s">
        <v>6</v>
      </c>
      <c r="S5" s="11" t="s">
        <v>6</v>
      </c>
      <c r="T5" s="11" t="s">
        <v>6</v>
      </c>
      <c r="U5" s="11" t="s">
        <v>6</v>
      </c>
      <c r="V5" s="11" t="s">
        <v>6</v>
      </c>
      <c r="W5" s="11" t="s">
        <v>6</v>
      </c>
      <c r="X5" s="11" t="s">
        <v>6</v>
      </c>
      <c r="Y5" s="11" t="s">
        <v>6</v>
      </c>
      <c r="Z5" s="11"/>
      <c r="AA5" s="11"/>
    </row>
    <row r="6" spans="1:30" ht="12.5" x14ac:dyDescent="0.25">
      <c r="B6"/>
      <c r="C6" s="1"/>
      <c r="D6" s="259"/>
      <c r="E6" s="11"/>
      <c r="F6" s="11" t="s">
        <v>7</v>
      </c>
      <c r="G6" s="11" t="s">
        <v>8</v>
      </c>
      <c r="H6" s="11" t="s">
        <v>9</v>
      </c>
      <c r="I6" s="11" t="s">
        <v>10</v>
      </c>
      <c r="J6" s="11" t="s">
        <v>1</v>
      </c>
      <c r="K6" s="12" t="s">
        <v>11</v>
      </c>
      <c r="L6" s="11" t="s">
        <v>12</v>
      </c>
      <c r="M6" s="11" t="s">
        <v>13</v>
      </c>
      <c r="N6" s="11" t="s">
        <v>10</v>
      </c>
      <c r="O6" s="11" t="s">
        <v>14</v>
      </c>
      <c r="P6" s="11" t="s">
        <v>15</v>
      </c>
      <c r="Q6" s="11" t="s">
        <v>16</v>
      </c>
      <c r="R6" s="11"/>
      <c r="S6" s="11"/>
      <c r="T6" s="11"/>
      <c r="U6" s="11"/>
      <c r="V6" s="11"/>
      <c r="W6" s="11"/>
      <c r="X6" s="11"/>
      <c r="Y6" s="11"/>
      <c r="Z6" s="11" t="s">
        <v>17</v>
      </c>
      <c r="AA6" s="11" t="s">
        <v>18</v>
      </c>
    </row>
    <row r="7" spans="1:30" ht="15" customHeight="1" x14ac:dyDescent="0.25">
      <c r="A7" s="13"/>
      <c r="B7" s="13"/>
      <c r="C7" s="13"/>
      <c r="D7" s="260"/>
      <c r="E7" s="14"/>
      <c r="F7" s="14" t="s">
        <v>19</v>
      </c>
      <c r="G7" s="14" t="s">
        <v>20</v>
      </c>
      <c r="H7" s="14" t="s">
        <v>21</v>
      </c>
      <c r="I7" s="14" t="s">
        <v>21</v>
      </c>
      <c r="J7" s="14" t="s">
        <v>22</v>
      </c>
      <c r="K7" s="14" t="s">
        <v>23</v>
      </c>
      <c r="L7" s="14" t="s">
        <v>24</v>
      </c>
      <c r="M7" s="14" t="s">
        <v>25</v>
      </c>
      <c r="N7" s="14" t="s">
        <v>26</v>
      </c>
      <c r="O7" s="14" t="s">
        <v>27</v>
      </c>
      <c r="P7" s="14" t="s">
        <v>28</v>
      </c>
      <c r="Q7" s="14" t="s">
        <v>27</v>
      </c>
      <c r="R7" s="14"/>
      <c r="S7" s="14"/>
      <c r="T7" s="14"/>
      <c r="U7" s="14"/>
      <c r="V7" s="14"/>
      <c r="W7" s="14"/>
      <c r="X7" s="14"/>
      <c r="Y7" s="14"/>
      <c r="Z7" s="14" t="s">
        <v>29</v>
      </c>
      <c r="AA7" s="14" t="s">
        <v>30</v>
      </c>
    </row>
    <row r="8" spans="1:30" ht="12.5" x14ac:dyDescent="0.25">
      <c r="A8" s="7" t="s">
        <v>31</v>
      </c>
      <c r="C8"/>
      <c r="D8"/>
      <c r="E8" s="15"/>
      <c r="F8" s="16"/>
      <c r="G8" s="16"/>
      <c r="J8" s="16"/>
      <c r="K8" s="16"/>
      <c r="L8" s="16"/>
      <c r="N8" s="16"/>
      <c r="O8" s="16"/>
      <c r="P8" s="16"/>
      <c r="Q8" s="15"/>
      <c r="R8" s="15"/>
      <c r="S8" s="16"/>
      <c r="T8" s="16"/>
      <c r="U8" s="16"/>
      <c r="V8" s="16"/>
      <c r="W8" s="16"/>
      <c r="Z8" s="16"/>
      <c r="AA8" s="16"/>
    </row>
    <row r="9" spans="1:30" ht="15" customHeight="1" x14ac:dyDescent="0.25">
      <c r="C9"/>
      <c r="D9"/>
      <c r="AB9"/>
      <c r="AC9"/>
    </row>
    <row r="10" spans="1:30" ht="15" customHeight="1" x14ac:dyDescent="0.25">
      <c r="A10" s="11" t="s">
        <v>32</v>
      </c>
      <c r="C10"/>
      <c r="D10"/>
      <c r="L10" s="17"/>
      <c r="AB10"/>
      <c r="AC10"/>
      <c r="AD10" s="1"/>
    </row>
    <row r="11" spans="1:30" ht="15" customHeight="1" x14ac:dyDescent="0.3">
      <c r="A11" s="11">
        <v>3</v>
      </c>
      <c r="B11" s="7" t="s">
        <v>245</v>
      </c>
      <c r="D11" s="17">
        <f>'SEF-15 Adjustments'!BH33</f>
        <v>163785795.29336357</v>
      </c>
      <c r="E11" s="17"/>
      <c r="F11" s="17"/>
      <c r="G11" s="17"/>
      <c r="H11" s="17"/>
      <c r="I11" s="17"/>
      <c r="J11" s="17"/>
      <c r="K11" s="17"/>
      <c r="L11" s="17"/>
      <c r="M11" s="18">
        <f>'SEF-15 Adjustments'!BJ33</f>
        <v>-25478161.858622536</v>
      </c>
      <c r="N11" s="17"/>
      <c r="O11" s="17"/>
      <c r="P11" s="17"/>
      <c r="Q11" s="19">
        <f>+'SEF-15 Adjustments'!CJ20</f>
        <v>726066.93705873948</v>
      </c>
      <c r="R11" s="17"/>
      <c r="S11" s="17"/>
      <c r="T11" s="17"/>
      <c r="U11" s="17"/>
      <c r="V11" s="17"/>
      <c r="W11" s="17"/>
      <c r="X11" s="17"/>
      <c r="Y11" s="17"/>
      <c r="Z11" s="19">
        <f>SUM(F11:Y11)</f>
        <v>-24752094.921563797</v>
      </c>
      <c r="AA11" s="19">
        <f>D11+Z11</f>
        <v>139033700.37179977</v>
      </c>
      <c r="AB11"/>
      <c r="AC11"/>
      <c r="AD11" s="20"/>
    </row>
    <row r="12" spans="1:30" ht="15" customHeight="1" x14ac:dyDescent="0.25">
      <c r="A12" s="11" t="s">
        <v>33</v>
      </c>
      <c r="B12" s="7" t="s">
        <v>34</v>
      </c>
      <c r="D12" s="21">
        <f>'SEF-15 Adjustments'!AD41</f>
        <v>19508549.086666666</v>
      </c>
      <c r="E12" s="21"/>
      <c r="F12" s="21"/>
      <c r="G12" s="21"/>
      <c r="H12" s="21">
        <f>'SEF-15 Adjustments'!AF41</f>
        <v>68100572.155083328</v>
      </c>
      <c r="I12" s="21"/>
      <c r="J12" s="21"/>
      <c r="K12" s="21"/>
      <c r="L12" s="21"/>
      <c r="M12" s="21"/>
      <c r="N12" s="21"/>
      <c r="O12" s="21">
        <f>'SEF-15 Adjustments'!BX20</f>
        <v>-119015765.9463</v>
      </c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>
        <f>SUM(F12:Y12)</f>
        <v>-50915193.791216671</v>
      </c>
      <c r="AA12" s="21">
        <f>D12+Z12</f>
        <v>-31406644.704550005</v>
      </c>
      <c r="AB12"/>
      <c r="AC12"/>
      <c r="AD12" s="20"/>
    </row>
    <row r="13" spans="1:30" ht="15" customHeight="1" x14ac:dyDescent="0.25">
      <c r="A13" s="11">
        <v>4</v>
      </c>
      <c r="B13" s="7" t="s">
        <v>246</v>
      </c>
      <c r="D13" s="21">
        <v>79930653.618166655</v>
      </c>
      <c r="E13" s="21"/>
      <c r="F13" s="21"/>
      <c r="G13" s="21"/>
      <c r="H13" s="21">
        <f>'SEF-15 Adjustments'!AF60</f>
        <v>-483039.88366662757</v>
      </c>
      <c r="I13" s="21">
        <f>'SEF-15 Adjustments'!AL44</f>
        <v>60791.226002895826</v>
      </c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>
        <f>SUM(F13:Y13)</f>
        <v>-422248.65766373172</v>
      </c>
      <c r="AA13" s="21">
        <f>D13+Z13</f>
        <v>79508404.960502923</v>
      </c>
      <c r="AB13"/>
      <c r="AC13"/>
      <c r="AD13" s="22"/>
    </row>
    <row r="14" spans="1:30" ht="15" customHeight="1" x14ac:dyDescent="0.25">
      <c r="A14" s="11">
        <v>5</v>
      </c>
      <c r="B14" s="7" t="s">
        <v>247</v>
      </c>
      <c r="D14" s="21">
        <v>1527004038.7677004</v>
      </c>
      <c r="E14" s="21"/>
      <c r="F14" s="21"/>
      <c r="G14" s="21"/>
      <c r="H14" s="21">
        <f>'SEF-15 Adjustments'!AF34</f>
        <v>-85555571.279380888</v>
      </c>
      <c r="I14" s="21">
        <f>'SEF-15 Adjustments'!AL31</f>
        <v>340.55977921319663</v>
      </c>
      <c r="J14" s="21">
        <f>'SEF-15 Adjustments'!AR21</f>
        <v>-59062.185362954624</v>
      </c>
      <c r="K14" s="21">
        <f>'SEF-15 Adjustments'!AX22</f>
        <v>-1401982.02</v>
      </c>
      <c r="L14" s="21"/>
      <c r="M14" s="21"/>
      <c r="N14" s="21">
        <f>'SEF-15 Adjustments'!BP29</f>
        <v>-13368818.334699281</v>
      </c>
      <c r="O14" s="21"/>
      <c r="P14" s="21">
        <f>'SEF-15 Adjustments'!CD28</f>
        <v>-340637.09</v>
      </c>
      <c r="Q14" s="21"/>
      <c r="R14" s="21"/>
      <c r="S14" s="21"/>
      <c r="T14" s="21"/>
      <c r="U14" s="21"/>
      <c r="V14" s="21"/>
      <c r="W14" s="21"/>
      <c r="X14" s="21"/>
      <c r="Y14" s="21"/>
      <c r="Z14" s="21">
        <f>SUM(F14:Y14)</f>
        <v>-100725730.34966391</v>
      </c>
      <c r="AA14" s="21">
        <f>D14+Z14</f>
        <v>1426278308.4180365</v>
      </c>
      <c r="AB14"/>
      <c r="AC14"/>
      <c r="AD14" s="22"/>
    </row>
    <row r="15" spans="1:30" ht="15" customHeight="1" x14ac:dyDescent="0.3">
      <c r="A15" s="11"/>
      <c r="D15" s="23">
        <f>SUM(D11:D14)</f>
        <v>1790229036.7658973</v>
      </c>
      <c r="E15" s="23"/>
      <c r="F15" s="23">
        <f t="shared" ref="F15:G15" si="2">SUM(F11:F14)</f>
        <v>0</v>
      </c>
      <c r="G15" s="23">
        <f t="shared" si="2"/>
        <v>0</v>
      </c>
      <c r="H15" s="23">
        <f>SUM(H11:H14)</f>
        <v>-17938039.007964194</v>
      </c>
      <c r="I15" s="23">
        <f>SUM(I11:I14)</f>
        <v>61131.785782109022</v>
      </c>
      <c r="J15" s="23">
        <f>SUM(J11:J14)</f>
        <v>-59062.185362954624</v>
      </c>
      <c r="K15" s="23">
        <f t="shared" ref="K15:W15" si="3">SUM(K11:K14)</f>
        <v>-1401982.02</v>
      </c>
      <c r="L15" s="23">
        <f>SUM(L11:L14)</f>
        <v>0</v>
      </c>
      <c r="M15" s="23">
        <f>SUM(M11:M14)</f>
        <v>-25478161.858622536</v>
      </c>
      <c r="N15" s="23">
        <f>SUM(N11:N14)</f>
        <v>-13368818.334699281</v>
      </c>
      <c r="O15" s="23">
        <f t="shared" ref="O15:U15" si="4">SUM(O11:O14)</f>
        <v>-119015765.9463</v>
      </c>
      <c r="P15" s="23">
        <f t="shared" si="4"/>
        <v>-340637.09</v>
      </c>
      <c r="Q15" s="24">
        <f t="shared" si="4"/>
        <v>726066.93705873948</v>
      </c>
      <c r="R15" s="23">
        <f t="shared" si="4"/>
        <v>0</v>
      </c>
      <c r="S15" s="23">
        <f t="shared" si="4"/>
        <v>0</v>
      </c>
      <c r="T15" s="23">
        <f t="shared" si="4"/>
        <v>0</v>
      </c>
      <c r="U15" s="23">
        <f t="shared" si="4"/>
        <v>0</v>
      </c>
      <c r="V15" s="23">
        <f t="shared" si="3"/>
        <v>0</v>
      </c>
      <c r="W15" s="23">
        <f t="shared" si="3"/>
        <v>0</v>
      </c>
      <c r="X15" s="23">
        <f>SUM(X11:X14)</f>
        <v>0</v>
      </c>
      <c r="Y15" s="23">
        <f t="shared" ref="Y15" si="5">SUM(Y11:Y14)</f>
        <v>0</v>
      </c>
      <c r="Z15" s="24">
        <f>SUM(Z11:Z14)</f>
        <v>-176815267.72010812</v>
      </c>
      <c r="AA15" s="24">
        <f>SUM(AA11:AA14)</f>
        <v>1613413769.0457892</v>
      </c>
      <c r="AB15"/>
      <c r="AC15"/>
      <c r="AD15" s="20"/>
    </row>
    <row r="16" spans="1:30" ht="15" customHeight="1" x14ac:dyDescent="0.25">
      <c r="A16" s="11"/>
      <c r="D16" s="25"/>
      <c r="E16" s="25"/>
      <c r="F16" s="25"/>
      <c r="G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6"/>
      <c r="X16" s="25"/>
      <c r="Y16" s="25"/>
      <c r="Z16" s="25"/>
      <c r="AA16" s="25"/>
      <c r="AB16"/>
      <c r="AC16"/>
      <c r="AD16" s="1"/>
    </row>
    <row r="17" spans="1:30" ht="15" customHeight="1" x14ac:dyDescent="0.25">
      <c r="A17" s="11">
        <v>7</v>
      </c>
      <c r="B17" s="27" t="s">
        <v>248</v>
      </c>
      <c r="D17" s="28">
        <v>6.8000000000000005E-2</v>
      </c>
      <c r="E17" s="25"/>
      <c r="F17" s="29">
        <f t="shared" ref="F17:O17" si="6">ROUND((SUM(F11:F14)*$D$17/0.79)-(SUM(F20,F23:F24)),0)</f>
        <v>0</v>
      </c>
      <c r="G17" s="29">
        <f t="shared" si="6"/>
        <v>0</v>
      </c>
      <c r="H17" s="29"/>
      <c r="I17" s="29">
        <f>ROUND((SUM(I11:I14)*$D$17/0.79)-(SUM(I20,I23:I24)),0)</f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6"/>
        <v>0</v>
      </c>
      <c r="O17" s="29">
        <f t="shared" si="6"/>
        <v>0</v>
      </c>
      <c r="P17" s="29">
        <f>ROUND((SUM(P11:P14)*$D$17/0.79)-(SUM(P20,P23:P24)),0)</f>
        <v>0</v>
      </c>
      <c r="Q17" s="29">
        <f>ROUND((SUM(Q11:Q14)*$D$17/0.79)-(SUM(Q20,Q23:Q24)),0)</f>
        <v>0</v>
      </c>
      <c r="R17" s="29">
        <f t="shared" ref="R17:Y17" si="7">ROUND((SUM(R11:R14)*$D$17/0.65)-(SUM(R20,R23:R24)),0)</f>
        <v>0</v>
      </c>
      <c r="S17" s="29">
        <f t="shared" si="7"/>
        <v>0</v>
      </c>
      <c r="T17" s="29">
        <f t="shared" si="7"/>
        <v>0</v>
      </c>
      <c r="U17" s="29">
        <f t="shared" si="7"/>
        <v>0</v>
      </c>
      <c r="V17" s="29">
        <f t="shared" si="7"/>
        <v>0</v>
      </c>
      <c r="W17" s="30">
        <f t="shared" si="7"/>
        <v>0</v>
      </c>
      <c r="X17" s="29">
        <f t="shared" si="7"/>
        <v>0</v>
      </c>
      <c r="Y17" s="29">
        <f t="shared" si="7"/>
        <v>0</v>
      </c>
      <c r="Z17" s="21"/>
      <c r="AA17" s="31">
        <f>D17</f>
        <v>6.8000000000000005E-2</v>
      </c>
      <c r="AB17"/>
      <c r="AC17"/>
      <c r="AD17" s="32"/>
    </row>
    <row r="18" spans="1:30" ht="15" customHeight="1" x14ac:dyDescent="0.25">
      <c r="A18" s="11">
        <v>8</v>
      </c>
      <c r="D18" s="25"/>
      <c r="E18" s="25"/>
      <c r="F18" s="25"/>
      <c r="G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6"/>
      <c r="X18" s="25"/>
      <c r="Y18" s="25"/>
      <c r="Z18" s="25"/>
      <c r="AA18" s="25"/>
      <c r="AB18"/>
      <c r="AC18"/>
      <c r="AD18" s="1"/>
    </row>
    <row r="19" spans="1:30" ht="15" customHeight="1" x14ac:dyDescent="0.25">
      <c r="A19" s="11">
        <v>9</v>
      </c>
      <c r="D19" s="25"/>
      <c r="E19" s="25"/>
      <c r="F19" s="25"/>
      <c r="G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6"/>
      <c r="X19" s="25"/>
      <c r="Y19" s="25"/>
      <c r="Z19" s="25"/>
      <c r="AA19" s="25"/>
      <c r="AB19"/>
      <c r="AC19"/>
      <c r="AD19" s="1"/>
    </row>
    <row r="20" spans="1:30" ht="15" customHeight="1" x14ac:dyDescent="0.3">
      <c r="A20" s="11">
        <v>10</v>
      </c>
      <c r="B20" s="27" t="s">
        <v>35</v>
      </c>
      <c r="C20" s="33" t="s">
        <v>36</v>
      </c>
      <c r="D20" s="17">
        <f>(D11+D12)*$D$17/0.79</f>
        <v>15777234.706129184</v>
      </c>
      <c r="E20" s="17"/>
      <c r="F20" s="17">
        <f t="shared" ref="F20:Q20" si="8">(F11+F12)*$D$17/0.79</f>
        <v>0</v>
      </c>
      <c r="G20" s="17">
        <f t="shared" si="8"/>
        <v>0</v>
      </c>
      <c r="H20" s="17">
        <f>(H11+H12)*$D$17/0.79</f>
        <v>5861821.4006907176</v>
      </c>
      <c r="I20" s="17">
        <f>(I11+I12)*$D$17/0.79</f>
        <v>0</v>
      </c>
      <c r="J20" s="17">
        <f t="shared" si="8"/>
        <v>0</v>
      </c>
      <c r="K20" s="17">
        <f t="shared" si="8"/>
        <v>0</v>
      </c>
      <c r="L20" s="17">
        <f t="shared" si="8"/>
        <v>0</v>
      </c>
      <c r="M20" s="17">
        <f t="shared" si="8"/>
        <v>-2193056.9701092816</v>
      </c>
      <c r="N20" s="17">
        <f t="shared" si="8"/>
        <v>0</v>
      </c>
      <c r="O20" s="17">
        <f t="shared" si="8"/>
        <v>-10244395.043478986</v>
      </c>
      <c r="P20" s="17">
        <f t="shared" si="8"/>
        <v>0</v>
      </c>
      <c r="Q20" s="19">
        <f t="shared" si="8"/>
        <v>62496.900911385179</v>
      </c>
      <c r="R20" s="17">
        <f t="shared" ref="R20:Y20" si="9">R11*$D$17/0.79</f>
        <v>0</v>
      </c>
      <c r="S20" s="17">
        <f t="shared" si="9"/>
        <v>0</v>
      </c>
      <c r="T20" s="17">
        <f t="shared" si="9"/>
        <v>0</v>
      </c>
      <c r="U20" s="17">
        <f t="shared" si="9"/>
        <v>0</v>
      </c>
      <c r="V20" s="17">
        <f t="shared" si="9"/>
        <v>0</v>
      </c>
      <c r="W20" s="17">
        <f t="shared" si="9"/>
        <v>0</v>
      </c>
      <c r="X20" s="17">
        <f t="shared" si="9"/>
        <v>0</v>
      </c>
      <c r="Y20" s="17">
        <f t="shared" si="9"/>
        <v>0</v>
      </c>
      <c r="Z20" s="34">
        <f t="shared" ref="Z20:Z43" si="10">SUM(F20:Y20)</f>
        <v>-6513133.7119861655</v>
      </c>
      <c r="AA20" s="19">
        <f t="shared" ref="AA20:AA43" si="11">D20+Z20</f>
        <v>9264100.9941430185</v>
      </c>
      <c r="AB20"/>
      <c r="AC20"/>
      <c r="AD20" s="20"/>
    </row>
    <row r="21" spans="1:30" ht="15" customHeight="1" x14ac:dyDescent="0.25">
      <c r="A21" s="11" t="s">
        <v>249</v>
      </c>
      <c r="B21" s="27" t="s">
        <v>250</v>
      </c>
      <c r="C21" s="33" t="s">
        <v>37</v>
      </c>
      <c r="D21" s="21">
        <v>0</v>
      </c>
      <c r="E21" s="17"/>
      <c r="F21" s="21">
        <f>+'SEF-15 Adjustments'!E32</f>
        <v>4163374.1001599999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21">
        <f t="shared" si="10"/>
        <v>4163374.1001599999</v>
      </c>
      <c r="AA21" s="21">
        <f t="shared" si="11"/>
        <v>4163374.1001599999</v>
      </c>
      <c r="AB21"/>
      <c r="AC21"/>
      <c r="AD21" s="20"/>
    </row>
    <row r="22" spans="1:30" ht="15" hidden="1" customHeight="1" outlineLevel="1" x14ac:dyDescent="0.25">
      <c r="A22" s="11"/>
      <c r="B22" s="27" t="s">
        <v>38</v>
      </c>
      <c r="C22" s="33"/>
      <c r="D22" s="21">
        <v>0</v>
      </c>
      <c r="E22" s="17"/>
      <c r="F22" s="21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21">
        <f t="shared" si="10"/>
        <v>0</v>
      </c>
      <c r="AA22" s="21">
        <f t="shared" si="11"/>
        <v>0</v>
      </c>
      <c r="AB22"/>
      <c r="AC22"/>
      <c r="AD22" s="20"/>
    </row>
    <row r="23" spans="1:30" ht="15" customHeight="1" collapsed="1" x14ac:dyDescent="0.25">
      <c r="A23" s="11">
        <v>11</v>
      </c>
      <c r="B23" s="27" t="s">
        <v>39</v>
      </c>
      <c r="C23" s="33" t="s">
        <v>36</v>
      </c>
      <c r="D23" s="21">
        <f>(D13*$D$17/0.79)</f>
        <v>6880106.8937156107</v>
      </c>
      <c r="E23" s="21"/>
      <c r="F23" s="21">
        <f>(F13*$D$17/0.79)</f>
        <v>0</v>
      </c>
      <c r="G23" s="21">
        <f t="shared" ref="F23:U24" si="12">(G13*$D$17/0.79)</f>
        <v>0</v>
      </c>
      <c r="H23" s="21">
        <f>(H13*$D$17/0.79)</f>
        <v>-41578.11656877301</v>
      </c>
      <c r="I23" s="21">
        <f>(I13*$D$17/0.79)</f>
        <v>5232.6624913885016</v>
      </c>
      <c r="J23" s="21">
        <f t="shared" si="12"/>
        <v>0</v>
      </c>
      <c r="K23" s="21">
        <f t="shared" si="12"/>
        <v>0</v>
      </c>
      <c r="L23" s="21">
        <f t="shared" si="12"/>
        <v>0</v>
      </c>
      <c r="M23" s="21">
        <f t="shared" si="12"/>
        <v>0</v>
      </c>
      <c r="N23" s="21">
        <f t="shared" si="12"/>
        <v>0</v>
      </c>
      <c r="O23" s="21">
        <f t="shared" si="12"/>
        <v>0</v>
      </c>
      <c r="P23" s="21">
        <f t="shared" si="12"/>
        <v>0</v>
      </c>
      <c r="Q23" s="21">
        <f>(Q13*$D$17/0.79)</f>
        <v>0</v>
      </c>
      <c r="R23" s="21">
        <f t="shared" ref="R23:Y24" si="13">(R13*$D$17/0.79)</f>
        <v>0</v>
      </c>
      <c r="S23" s="21">
        <f t="shared" si="13"/>
        <v>0</v>
      </c>
      <c r="T23" s="21">
        <f t="shared" si="13"/>
        <v>0</v>
      </c>
      <c r="U23" s="21">
        <f t="shared" si="13"/>
        <v>0</v>
      </c>
      <c r="V23" s="21">
        <f t="shared" si="13"/>
        <v>0</v>
      </c>
      <c r="W23" s="21">
        <f t="shared" si="13"/>
        <v>0</v>
      </c>
      <c r="X23" s="21">
        <f t="shared" si="13"/>
        <v>0</v>
      </c>
      <c r="Y23" s="21">
        <f t="shared" si="13"/>
        <v>0</v>
      </c>
      <c r="Z23" s="21">
        <f t="shared" si="10"/>
        <v>-36345.454077384507</v>
      </c>
      <c r="AA23" s="21">
        <f t="shared" si="11"/>
        <v>6843761.4396382263</v>
      </c>
      <c r="AB23" s="35"/>
      <c r="AC23"/>
      <c r="AD23" s="22"/>
    </row>
    <row r="24" spans="1:30" ht="15" customHeight="1" x14ac:dyDescent="0.25">
      <c r="A24" s="11">
        <v>12</v>
      </c>
      <c r="B24" s="27" t="s">
        <v>40</v>
      </c>
      <c r="C24" s="33" t="s">
        <v>36</v>
      </c>
      <c r="D24" s="21">
        <f>(D14*$D$17)/0.79</f>
        <v>131438322.3243084</v>
      </c>
      <c r="E24" s="21"/>
      <c r="F24" s="21">
        <f t="shared" si="12"/>
        <v>0</v>
      </c>
      <c r="G24" s="21">
        <f t="shared" si="12"/>
        <v>0</v>
      </c>
      <c r="H24" s="21">
        <f>(H14*$D$17/0.79)</f>
        <v>-7364277.0215163296</v>
      </c>
      <c r="I24" s="21">
        <f>(I14*$D$17/0.79)</f>
        <v>29.314006312021988</v>
      </c>
      <c r="J24" s="21">
        <f t="shared" si="12"/>
        <v>-5083.8336768112849</v>
      </c>
      <c r="K24" s="21">
        <f t="shared" si="12"/>
        <v>-120676.93336708861</v>
      </c>
      <c r="L24" s="21">
        <f t="shared" si="12"/>
        <v>0</v>
      </c>
      <c r="M24" s="21">
        <f t="shared" si="12"/>
        <v>0</v>
      </c>
      <c r="N24" s="21">
        <f t="shared" si="12"/>
        <v>-1150733.7300753812</v>
      </c>
      <c r="O24" s="21">
        <f t="shared" si="12"/>
        <v>0</v>
      </c>
      <c r="P24" s="21">
        <f t="shared" si="12"/>
        <v>-29320.66091139241</v>
      </c>
      <c r="Q24" s="21">
        <f t="shared" si="12"/>
        <v>0</v>
      </c>
      <c r="R24" s="21">
        <f t="shared" si="12"/>
        <v>0</v>
      </c>
      <c r="S24" s="21">
        <f t="shared" si="12"/>
        <v>0</v>
      </c>
      <c r="T24" s="21">
        <f t="shared" si="12"/>
        <v>0</v>
      </c>
      <c r="U24" s="21">
        <f t="shared" si="12"/>
        <v>0</v>
      </c>
      <c r="V24" s="21">
        <f t="shared" si="13"/>
        <v>0</v>
      </c>
      <c r="W24" s="21">
        <f t="shared" si="13"/>
        <v>0</v>
      </c>
      <c r="X24" s="21">
        <f t="shared" si="13"/>
        <v>0</v>
      </c>
      <c r="Y24" s="21">
        <f t="shared" si="13"/>
        <v>0</v>
      </c>
      <c r="Z24" s="21">
        <f t="shared" si="10"/>
        <v>-8670062.8655406907</v>
      </c>
      <c r="AA24" s="21">
        <f t="shared" si="11"/>
        <v>122768259.45876771</v>
      </c>
      <c r="AB24" s="35"/>
      <c r="AC24"/>
      <c r="AD24" s="22"/>
    </row>
    <row r="25" spans="1:30" ht="15" customHeight="1" x14ac:dyDescent="0.3">
      <c r="A25" s="11">
        <v>13</v>
      </c>
      <c r="B25" s="27" t="s">
        <v>251</v>
      </c>
      <c r="C25" s="33" t="s">
        <v>37</v>
      </c>
      <c r="D25" s="21">
        <v>81044146.280000001</v>
      </c>
      <c r="E25" s="21"/>
      <c r="F25" s="34">
        <f>+'SEF-15 Adjustments'!E19</f>
        <v>-39134729.18753925</v>
      </c>
      <c r="G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34">
        <f t="shared" si="10"/>
        <v>-39134729.18753925</v>
      </c>
      <c r="AA25" s="34">
        <f t="shared" si="11"/>
        <v>41909417.092460752</v>
      </c>
      <c r="AB25" s="35"/>
      <c r="AC25"/>
      <c r="AD25" s="22"/>
    </row>
    <row r="26" spans="1:30" ht="15" customHeight="1" x14ac:dyDescent="0.3">
      <c r="A26" s="11">
        <v>14</v>
      </c>
      <c r="B26" s="27" t="s">
        <v>252</v>
      </c>
      <c r="C26" s="33" t="s">
        <v>37</v>
      </c>
      <c r="D26" s="21">
        <v>535009174.27999997</v>
      </c>
      <c r="E26" s="21"/>
      <c r="F26" s="34">
        <f>+'SEF-15 Adjustments'!E21</f>
        <v>-6444443.331415236</v>
      </c>
      <c r="G26" s="21"/>
      <c r="J26" s="21"/>
      <c r="K26" s="21"/>
      <c r="L26" s="21"/>
      <c r="M26" s="21"/>
      <c r="N26" s="21"/>
      <c r="O26" s="21"/>
      <c r="P26" s="21"/>
      <c r="Q26" s="34">
        <f>'SEF-15 Adjustments'!CJ25</f>
        <v>623032.83061502862</v>
      </c>
      <c r="R26" s="21"/>
      <c r="S26" s="21"/>
      <c r="T26" s="21"/>
      <c r="U26" s="21"/>
      <c r="V26" s="21"/>
      <c r="W26" s="21"/>
      <c r="X26" s="21"/>
      <c r="Y26" s="21"/>
      <c r="Z26" s="34">
        <f t="shared" si="10"/>
        <v>-5821410.5008002073</v>
      </c>
      <c r="AA26" s="34">
        <f t="shared" si="11"/>
        <v>529187763.77919978</v>
      </c>
      <c r="AB26" s="35"/>
      <c r="AC26"/>
      <c r="AD26" s="22"/>
    </row>
    <row r="27" spans="1:30" ht="15" customHeight="1" x14ac:dyDescent="0.25">
      <c r="A27" s="11">
        <v>15</v>
      </c>
      <c r="B27" s="27" t="s">
        <v>253</v>
      </c>
      <c r="C27" s="33" t="s">
        <v>36</v>
      </c>
      <c r="D27" s="22">
        <v>-23522407.310000002</v>
      </c>
      <c r="E27" s="21"/>
      <c r="F27" s="21">
        <f>+'SEF-15 Adjustments'!E22</f>
        <v>31528990.580000006</v>
      </c>
      <c r="G27" s="21"/>
      <c r="J27" s="21"/>
      <c r="K27" s="21"/>
      <c r="L27" s="21"/>
      <c r="M27" s="21"/>
      <c r="N27" s="21"/>
      <c r="O27" s="21"/>
      <c r="P27" s="21"/>
      <c r="Q27" s="21">
        <f>'SEF-15 Adjustments'!CJ22</f>
        <v>0</v>
      </c>
      <c r="R27" s="21"/>
      <c r="S27" s="21"/>
      <c r="T27" s="21"/>
      <c r="U27" s="21"/>
      <c r="V27" s="21"/>
      <c r="W27" s="21"/>
      <c r="X27" s="21"/>
      <c r="Y27" s="21"/>
      <c r="Z27" s="21">
        <f t="shared" si="10"/>
        <v>31528990.580000006</v>
      </c>
      <c r="AA27" s="21">
        <f t="shared" si="11"/>
        <v>8006583.2700000033</v>
      </c>
      <c r="AB27" s="35"/>
      <c r="AC27"/>
      <c r="AD27" s="22"/>
    </row>
    <row r="28" spans="1:30" ht="15" customHeight="1" x14ac:dyDescent="0.25">
      <c r="A28" s="11" t="s">
        <v>254</v>
      </c>
      <c r="B28" s="36" t="s">
        <v>255</v>
      </c>
      <c r="C28" s="33" t="s">
        <v>36</v>
      </c>
      <c r="D28" s="22">
        <v>7746401.1699999999</v>
      </c>
      <c r="E28" s="21"/>
      <c r="F28" s="21"/>
      <c r="G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>
        <f t="shared" si="10"/>
        <v>0</v>
      </c>
      <c r="AA28" s="21">
        <f t="shared" si="11"/>
        <v>7746401.1699999999</v>
      </c>
      <c r="AB28" s="35"/>
      <c r="AC28"/>
      <c r="AD28" s="22"/>
    </row>
    <row r="29" spans="1:30" ht="15" customHeight="1" x14ac:dyDescent="0.25">
      <c r="A29" s="11" t="s">
        <v>256</v>
      </c>
      <c r="B29" s="37" t="s">
        <v>257</v>
      </c>
      <c r="C29" s="33" t="s">
        <v>36</v>
      </c>
      <c r="D29" s="21">
        <v>3549801.75</v>
      </c>
      <c r="E29" s="21"/>
      <c r="F29" s="21"/>
      <c r="G29" s="21"/>
      <c r="J29" s="21"/>
      <c r="K29" s="21"/>
      <c r="L29" s="21">
        <f>'SEF-15 Adjustments'!BD19</f>
        <v>59930.25</v>
      </c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>
        <f t="shared" si="10"/>
        <v>59930.25</v>
      </c>
      <c r="AA29" s="21">
        <f t="shared" si="11"/>
        <v>3609732</v>
      </c>
      <c r="AB29" s="35"/>
      <c r="AC29"/>
      <c r="AD29" s="22"/>
    </row>
    <row r="30" spans="1:30" ht="15" customHeight="1" x14ac:dyDescent="0.3">
      <c r="A30" s="11" t="s">
        <v>258</v>
      </c>
      <c r="B30" s="37" t="s">
        <v>259</v>
      </c>
      <c r="C30" s="33" t="s">
        <v>37</v>
      </c>
      <c r="D30" s="21">
        <v>1116935.45</v>
      </c>
      <c r="E30" s="21"/>
      <c r="F30" s="21"/>
      <c r="G30" s="34">
        <f>+'SEF-15 Adjustments'!Z21</f>
        <v>-306448.51861584914</v>
      </c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34">
        <f t="shared" si="10"/>
        <v>-306448.51861584914</v>
      </c>
      <c r="AA30" s="34">
        <f t="shared" si="11"/>
        <v>810486.93138415087</v>
      </c>
      <c r="AB30" s="35"/>
      <c r="AC30"/>
      <c r="AD30" s="22"/>
    </row>
    <row r="31" spans="1:30" ht="15" customHeight="1" x14ac:dyDescent="0.25">
      <c r="A31" s="11" t="s">
        <v>260</v>
      </c>
      <c r="B31" s="37" t="s">
        <v>261</v>
      </c>
      <c r="C31" s="33" t="s">
        <v>36</v>
      </c>
      <c r="D31" s="21">
        <v>2154161.64</v>
      </c>
      <c r="E31" s="21"/>
      <c r="F31" s="21"/>
      <c r="G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>
        <f t="shared" si="10"/>
        <v>0</v>
      </c>
      <c r="AA31" s="21">
        <f t="shared" si="11"/>
        <v>2154161.64</v>
      </c>
      <c r="AB31" s="35"/>
      <c r="AC31"/>
      <c r="AD31" s="22"/>
    </row>
    <row r="32" spans="1:30" ht="15" customHeight="1" x14ac:dyDescent="0.25">
      <c r="A32" s="11" t="s">
        <v>262</v>
      </c>
      <c r="B32" s="37" t="s">
        <v>263</v>
      </c>
      <c r="C32" s="33" t="s">
        <v>37</v>
      </c>
      <c r="D32" s="21">
        <v>489609.01</v>
      </c>
      <c r="E32" s="21"/>
      <c r="F32" s="21">
        <f>+'SEF-15 Adjustments'!E23</f>
        <v>8245.0157283999724</v>
      </c>
      <c r="G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>
        <f t="shared" si="10"/>
        <v>8245.0157283999724</v>
      </c>
      <c r="AA32" s="21">
        <f t="shared" si="11"/>
        <v>497854.02572839998</v>
      </c>
      <c r="AB32" s="35"/>
      <c r="AC32"/>
      <c r="AD32" s="22"/>
    </row>
    <row r="33" spans="1:31" ht="15" customHeight="1" x14ac:dyDescent="0.3">
      <c r="A33" s="11">
        <v>16</v>
      </c>
      <c r="B33" s="7" t="s">
        <v>264</v>
      </c>
      <c r="C33" s="33" t="s">
        <v>37</v>
      </c>
      <c r="D33" s="21">
        <v>183617976.11000001</v>
      </c>
      <c r="E33" s="21"/>
      <c r="F33" s="34">
        <f>+'SEF-15 Adjustments'!E20</f>
        <v>-36706163.665256828</v>
      </c>
      <c r="G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34">
        <f t="shared" si="10"/>
        <v>-36706163.665256828</v>
      </c>
      <c r="AA33" s="34">
        <f t="shared" si="11"/>
        <v>146911812.44474319</v>
      </c>
      <c r="AB33" s="35"/>
      <c r="AC33"/>
      <c r="AD33" s="22"/>
    </row>
    <row r="34" spans="1:31" ht="15" customHeight="1" x14ac:dyDescent="0.3">
      <c r="A34" s="11">
        <v>17</v>
      </c>
      <c r="B34" s="7" t="s">
        <v>265</v>
      </c>
      <c r="C34" s="33" t="s">
        <v>37</v>
      </c>
      <c r="D34" s="21">
        <v>123883050.72</v>
      </c>
      <c r="E34" s="21"/>
      <c r="F34" s="34">
        <f>+'SEF-15 Adjustments'!E24</f>
        <v>12951799.001207113</v>
      </c>
      <c r="G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34">
        <f t="shared" si="10"/>
        <v>12951799.001207113</v>
      </c>
      <c r="AA34" s="34">
        <f t="shared" si="11"/>
        <v>136834849.72120711</v>
      </c>
      <c r="AB34" s="35"/>
      <c r="AC34"/>
      <c r="AD34" s="22"/>
    </row>
    <row r="35" spans="1:31" ht="15" customHeight="1" x14ac:dyDescent="0.25">
      <c r="A35" s="11">
        <v>18</v>
      </c>
      <c r="B35" s="27" t="s">
        <v>41</v>
      </c>
      <c r="C35" s="33" t="s">
        <v>36</v>
      </c>
      <c r="D35" s="21">
        <v>-6480453.6300000008</v>
      </c>
      <c r="E35" s="21"/>
      <c r="F35" s="21">
        <f>+'SEF-15 Adjustments'!E31</f>
        <v>-34966.974523456767</v>
      </c>
      <c r="G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>
        <f t="shared" si="10"/>
        <v>-34966.974523456767</v>
      </c>
      <c r="AA35" s="21">
        <f t="shared" si="11"/>
        <v>-6515420.6045234576</v>
      </c>
      <c r="AB35" s="35"/>
      <c r="AC35"/>
      <c r="AD35" s="22"/>
    </row>
    <row r="36" spans="1:31" ht="15" customHeight="1" x14ac:dyDescent="0.25">
      <c r="A36" s="11">
        <v>19</v>
      </c>
      <c r="B36" s="7" t="s">
        <v>266</v>
      </c>
      <c r="C36" s="33" t="s">
        <v>36</v>
      </c>
      <c r="D36" s="21">
        <v>120717329.15000001</v>
      </c>
      <c r="E36" s="21"/>
      <c r="F36" s="21">
        <f>+'SEF-15 Adjustments'!E29</f>
        <v>-15177988.539348364</v>
      </c>
      <c r="G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>
        <f t="shared" si="10"/>
        <v>-15177988.539348364</v>
      </c>
      <c r="AA36" s="21">
        <f t="shared" si="11"/>
        <v>105539340.61065164</v>
      </c>
      <c r="AB36" s="35"/>
      <c r="AC36"/>
      <c r="AD36" s="22"/>
    </row>
    <row r="37" spans="1:31" ht="15" customHeight="1" x14ac:dyDescent="0.3">
      <c r="A37" s="11">
        <v>20</v>
      </c>
      <c r="B37" s="7" t="s">
        <v>267</v>
      </c>
      <c r="C37" s="33" t="s">
        <v>37</v>
      </c>
      <c r="D37" s="21">
        <v>-189780073.88</v>
      </c>
      <c r="E37" s="21"/>
      <c r="F37" s="34">
        <f>+'SEF-15 Adjustments'!E25</f>
        <v>156561920.93411803</v>
      </c>
      <c r="G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34">
        <f t="shared" si="10"/>
        <v>156561920.93411803</v>
      </c>
      <c r="AA37" s="34">
        <f t="shared" si="11"/>
        <v>-33218152.945881963</v>
      </c>
      <c r="AB37" s="35"/>
      <c r="AC37"/>
      <c r="AD37" s="22"/>
    </row>
    <row r="38" spans="1:31" ht="15" customHeight="1" x14ac:dyDescent="0.3">
      <c r="A38" s="11">
        <v>21</v>
      </c>
      <c r="B38" s="7" t="s">
        <v>268</v>
      </c>
      <c r="C38" s="33" t="s">
        <v>37</v>
      </c>
      <c r="D38" s="21">
        <v>-9520817.3900000006</v>
      </c>
      <c r="E38" s="21"/>
      <c r="F38" s="34">
        <f>+'SEF-15 Adjustments'!E26</f>
        <v>-40411725.518260092</v>
      </c>
      <c r="G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34">
        <f t="shared" si="10"/>
        <v>-40411725.518260092</v>
      </c>
      <c r="AA38" s="34">
        <f t="shared" si="11"/>
        <v>-49932542.908260092</v>
      </c>
      <c r="AB38" s="35"/>
      <c r="AC38"/>
      <c r="AD38" s="22"/>
    </row>
    <row r="39" spans="1:31" ht="15" customHeight="1" x14ac:dyDescent="0.25">
      <c r="A39" s="11">
        <v>22</v>
      </c>
      <c r="B39" s="7" t="s">
        <v>269</v>
      </c>
      <c r="C39" s="33" t="s">
        <v>36</v>
      </c>
      <c r="D39" s="21">
        <v>728609.68</v>
      </c>
      <c r="E39" s="21"/>
      <c r="F39" s="21"/>
      <c r="G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>
        <f t="shared" si="10"/>
        <v>0</v>
      </c>
      <c r="AA39" s="21">
        <f t="shared" si="11"/>
        <v>728609.68</v>
      </c>
      <c r="AB39" s="35"/>
      <c r="AC39"/>
      <c r="AD39" s="22"/>
    </row>
    <row r="40" spans="1:31" ht="15" customHeight="1" x14ac:dyDescent="0.25">
      <c r="A40" s="11">
        <v>23</v>
      </c>
      <c r="B40" s="7" t="s">
        <v>270</v>
      </c>
      <c r="C40" s="33" t="s">
        <v>36</v>
      </c>
      <c r="D40" s="21">
        <v>153284670.03999999</v>
      </c>
      <c r="E40" s="21"/>
      <c r="F40" s="21"/>
      <c r="G40" s="21"/>
      <c r="H40" s="38"/>
      <c r="I40" s="38">
        <f>'SEF-15 Adjustments'!AL26</f>
        <v>-8246818.2413349133</v>
      </c>
      <c r="J40" s="21">
        <f>'SEF-15 Adjustments'!AR28</f>
        <v>-2186134.7040000008</v>
      </c>
      <c r="K40" s="21">
        <f>'SEF-15 Adjustments'!AX29</f>
        <v>-203316.52595000001</v>
      </c>
      <c r="L40" s="39"/>
      <c r="M40" s="21"/>
      <c r="N40" s="21">
        <f>'SEF-15 Adjustments'!BP23</f>
        <v>16922554.854049724</v>
      </c>
      <c r="O40" s="21"/>
      <c r="P40" s="21">
        <f>-'SEF-15 Adjustments'!CD18</f>
        <v>0</v>
      </c>
      <c r="Q40" s="21"/>
      <c r="R40" s="21"/>
      <c r="S40" s="21"/>
      <c r="T40" s="21"/>
      <c r="U40" s="21"/>
      <c r="V40" s="21"/>
      <c r="W40" s="21"/>
      <c r="X40" s="21"/>
      <c r="Y40" s="21"/>
      <c r="Z40" s="21">
        <f t="shared" si="10"/>
        <v>6286285.3827648088</v>
      </c>
      <c r="AA40" s="21">
        <f t="shared" si="11"/>
        <v>159570955.42276481</v>
      </c>
      <c r="AB40" s="35"/>
      <c r="AC40"/>
      <c r="AD40" s="22"/>
    </row>
    <row r="41" spans="1:31" ht="15" customHeight="1" x14ac:dyDescent="0.25">
      <c r="A41" s="11">
        <v>24</v>
      </c>
      <c r="B41" s="7" t="s">
        <v>271</v>
      </c>
      <c r="C41" s="33" t="s">
        <v>36</v>
      </c>
      <c r="D41" s="21">
        <v>3758629.8740000008</v>
      </c>
      <c r="E41" s="21"/>
      <c r="F41" s="21"/>
      <c r="G41" s="21"/>
      <c r="H41" s="38"/>
      <c r="I41" s="38">
        <f>'SEF-15 Adjustments'!AL39</f>
        <v>-76950.918991007376</v>
      </c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>
        <f t="shared" si="10"/>
        <v>-76950.918991007376</v>
      </c>
      <c r="AA41" s="21">
        <f t="shared" si="11"/>
        <v>3681678.9550089934</v>
      </c>
      <c r="AB41" s="35"/>
      <c r="AC41"/>
      <c r="AD41" s="22"/>
    </row>
    <row r="42" spans="1:31" ht="15" customHeight="1" x14ac:dyDescent="0.25">
      <c r="A42" s="11">
        <v>25</v>
      </c>
      <c r="B42" s="7" t="s">
        <v>272</v>
      </c>
      <c r="C42" s="33" t="s">
        <v>36</v>
      </c>
      <c r="D42" s="21">
        <f>'SEF-15 Adjustments'!BH51</f>
        <v>11632920.022857659</v>
      </c>
      <c r="E42" s="21"/>
      <c r="F42" s="21"/>
      <c r="G42" s="21"/>
      <c r="J42" s="21"/>
      <c r="K42" s="21"/>
      <c r="L42" s="38"/>
      <c r="M42" s="21">
        <f>'SEF-15 Adjustments'!BJ51</f>
        <v>-8060448.0228576586</v>
      </c>
      <c r="N42" s="21"/>
      <c r="O42" s="21"/>
      <c r="P42" s="21"/>
      <c r="Q42" s="21">
        <f>'SEF-15 Adjustments'!CJ30</f>
        <v>0</v>
      </c>
      <c r="R42" s="21"/>
      <c r="S42" s="21"/>
      <c r="T42" s="21"/>
      <c r="U42" s="21"/>
      <c r="V42" s="21"/>
      <c r="W42" s="21"/>
      <c r="X42" s="21"/>
      <c r="Y42" s="21"/>
      <c r="Z42" s="21">
        <f t="shared" si="10"/>
        <v>-8060448.0228576586</v>
      </c>
      <c r="AA42" s="21">
        <f t="shared" si="11"/>
        <v>3572472</v>
      </c>
      <c r="AB42" s="35"/>
      <c r="AC42"/>
      <c r="AD42" s="22"/>
    </row>
    <row r="43" spans="1:31" ht="15" customHeight="1" x14ac:dyDescent="0.25">
      <c r="A43" s="11">
        <v>26</v>
      </c>
      <c r="B43" s="7" t="s">
        <v>42</v>
      </c>
      <c r="C43" s="33" t="s">
        <v>36</v>
      </c>
      <c r="D43" s="21">
        <f>'SEF-15 Adjustments'!BT24</f>
        <v>9250000.0199999996</v>
      </c>
      <c r="E43" s="40"/>
      <c r="F43" s="21"/>
      <c r="G43" s="21"/>
      <c r="J43" s="21"/>
      <c r="K43" s="21"/>
      <c r="L43" s="21"/>
      <c r="M43" s="21"/>
      <c r="N43" s="21"/>
      <c r="O43" s="21">
        <f>'SEF-15 Adjustments'!BX24</f>
        <v>-9250000.0199999996</v>
      </c>
      <c r="P43" s="21"/>
      <c r="Q43" s="21"/>
      <c r="R43" s="21"/>
      <c r="S43" s="21"/>
      <c r="T43" s="21"/>
      <c r="U43" s="21"/>
      <c r="V43" s="21"/>
      <c r="W43" s="40"/>
      <c r="X43" s="21"/>
      <c r="Y43" s="21"/>
      <c r="Z43" s="21">
        <f t="shared" si="10"/>
        <v>-9250000.0199999996</v>
      </c>
      <c r="AA43" s="21">
        <f t="shared" si="11"/>
        <v>0</v>
      </c>
      <c r="AB43" s="35"/>
      <c r="AC43"/>
      <c r="AD43" s="22"/>
    </row>
    <row r="44" spans="1:31" ht="15" customHeight="1" x14ac:dyDescent="0.3">
      <c r="A44" s="11">
        <v>27</v>
      </c>
      <c r="B44" s="37" t="s">
        <v>273</v>
      </c>
      <c r="D44" s="41">
        <f>SUM(D20:D43)</f>
        <v>1162775326.911011</v>
      </c>
      <c r="E44" s="41"/>
      <c r="F44" s="42">
        <f t="shared" ref="F44:AA44" si="14">SUM(F20:F43)</f>
        <v>67304312.414870322</v>
      </c>
      <c r="G44" s="42">
        <f t="shared" si="14"/>
        <v>-306448.51861584914</v>
      </c>
      <c r="H44" s="41">
        <f>SUM(H20:H43)</f>
        <v>-1544033.737394385</v>
      </c>
      <c r="I44" s="41">
        <f>SUM(I20:I43)</f>
        <v>-8318507.1838282198</v>
      </c>
      <c r="J44" s="41">
        <f t="shared" si="14"/>
        <v>-2191218.5376768121</v>
      </c>
      <c r="K44" s="41">
        <f>SUM(K20:K43)</f>
        <v>-323993.45931708859</v>
      </c>
      <c r="L44" s="41">
        <f t="shared" si="14"/>
        <v>59930.25</v>
      </c>
      <c r="M44" s="41">
        <f t="shared" si="14"/>
        <v>-10253504.992966941</v>
      </c>
      <c r="N44" s="41">
        <f t="shared" si="14"/>
        <v>15771821.123974342</v>
      </c>
      <c r="O44" s="41">
        <f t="shared" si="14"/>
        <v>-19494395.063478984</v>
      </c>
      <c r="P44" s="41">
        <f t="shared" si="14"/>
        <v>-29320.66091139241</v>
      </c>
      <c r="Q44" s="42">
        <f t="shared" si="14"/>
        <v>685529.73152641382</v>
      </c>
      <c r="R44" s="41">
        <f t="shared" si="14"/>
        <v>0</v>
      </c>
      <c r="S44" s="41">
        <f t="shared" si="14"/>
        <v>0</v>
      </c>
      <c r="T44" s="41">
        <f t="shared" si="14"/>
        <v>0</v>
      </c>
      <c r="U44" s="41">
        <f t="shared" si="14"/>
        <v>0</v>
      </c>
      <c r="V44" s="41">
        <f t="shared" si="14"/>
        <v>0</v>
      </c>
      <c r="W44" s="41">
        <f t="shared" si="14"/>
        <v>0</v>
      </c>
      <c r="X44" s="41">
        <f t="shared" si="14"/>
        <v>0</v>
      </c>
      <c r="Y44" s="41">
        <f t="shared" si="14"/>
        <v>0</v>
      </c>
      <c r="Z44" s="42">
        <f t="shared" si="14"/>
        <v>41360171.366181403</v>
      </c>
      <c r="AA44" s="42">
        <f t="shared" si="14"/>
        <v>1204135498.2771921</v>
      </c>
      <c r="AB44" s="35"/>
      <c r="AC44"/>
      <c r="AD44" s="20"/>
    </row>
    <row r="45" spans="1:31" ht="15" customHeight="1" x14ac:dyDescent="0.35">
      <c r="B45" s="43" t="s">
        <v>43</v>
      </c>
      <c r="F45" s="41"/>
      <c r="G45" s="41"/>
      <c r="H45" s="41"/>
      <c r="I45" s="41"/>
      <c r="J45" s="41"/>
      <c r="K45" s="41"/>
      <c r="L45" s="41"/>
      <c r="M45" s="258" t="s">
        <v>43</v>
      </c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/>
      <c r="AC45"/>
    </row>
    <row r="46" spans="1:31" ht="15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</row>
    <row r="63" spans="6:10" ht="15" customHeight="1" outlineLevel="1" x14ac:dyDescent="0.25">
      <c r="F63" s="1"/>
      <c r="G63" s="1"/>
      <c r="J63" s="1"/>
    </row>
    <row r="64" spans="6:10" ht="15" customHeight="1" outlineLevel="1" x14ac:dyDescent="0.3">
      <c r="F64" s="44"/>
      <c r="G64" s="44"/>
      <c r="J64" s="1"/>
    </row>
    <row r="65" spans="6:10" ht="15" customHeight="1" outlineLevel="1" x14ac:dyDescent="0.25">
      <c r="F65" s="45"/>
      <c r="G65" s="45"/>
      <c r="J65" s="1"/>
    </row>
    <row r="66" spans="6:10" ht="15" customHeight="1" outlineLevel="1" x14ac:dyDescent="0.25">
      <c r="F66" s="45"/>
      <c r="G66" s="45"/>
      <c r="J66" s="1"/>
    </row>
    <row r="67" spans="6:10" ht="15" customHeight="1" outlineLevel="1" x14ac:dyDescent="0.3">
      <c r="F67" s="44"/>
      <c r="G67" s="44"/>
      <c r="J67" s="1"/>
    </row>
    <row r="68" spans="6:10" ht="15" customHeight="1" outlineLevel="1" x14ac:dyDescent="0.3">
      <c r="F68" s="44"/>
      <c r="G68" s="44"/>
      <c r="J68" s="1"/>
    </row>
    <row r="69" spans="6:10" ht="15" customHeight="1" outlineLevel="1" x14ac:dyDescent="0.3">
      <c r="F69" s="44"/>
      <c r="G69" s="44"/>
      <c r="J69" s="1"/>
    </row>
    <row r="70" spans="6:10" ht="15" customHeight="1" outlineLevel="1" x14ac:dyDescent="0.3">
      <c r="F70" s="44"/>
      <c r="G70" s="44"/>
      <c r="J70" s="1"/>
    </row>
    <row r="71" spans="6:10" ht="15" customHeight="1" outlineLevel="1" x14ac:dyDescent="0.3">
      <c r="F71" s="44"/>
      <c r="G71" s="44"/>
      <c r="J71" s="1"/>
    </row>
    <row r="72" spans="6:10" ht="15" customHeight="1" outlineLevel="1" x14ac:dyDescent="0.3">
      <c r="F72" s="44"/>
      <c r="G72" s="44"/>
      <c r="J72" s="1"/>
    </row>
    <row r="73" spans="6:10" ht="15" customHeight="1" outlineLevel="1" x14ac:dyDescent="0.25">
      <c r="F73" s="45"/>
      <c r="G73" s="45"/>
      <c r="J73" s="1"/>
    </row>
    <row r="74" spans="6:10" ht="15" customHeight="1" outlineLevel="1" x14ac:dyDescent="0.25"/>
    <row r="75" spans="6:10" ht="15" customHeight="1" outlineLevel="1" x14ac:dyDescent="0.25"/>
    <row r="76" spans="6:10" ht="15" customHeight="1" outlineLevel="1" x14ac:dyDescent="0.25"/>
  </sheetData>
  <mergeCells count="1">
    <mergeCell ref="D5:D7"/>
  </mergeCells>
  <conditionalFormatting sqref="B4:C4 C5:C6">
    <cfRule type="notContainsBlanks" dxfId="19" priority="5">
      <formula>LEN(TRIM(B4))&gt;0</formula>
    </cfRule>
  </conditionalFormatting>
  <conditionalFormatting sqref="AD17">
    <cfRule type="cellIs" dxfId="18" priority="4" operator="notEqual">
      <formula>0</formula>
    </cfRule>
  </conditionalFormatting>
  <conditionalFormatting sqref="F17:Y17">
    <cfRule type="cellIs" dxfId="17" priority="1" operator="notEqual">
      <formula>0</formula>
    </cfRule>
  </conditionalFormatting>
  <pageMargins left="0.75" right="0.25" top="1.27" bottom="0.5" header="0.5" footer="0.25"/>
  <pageSetup scale="70" firstPageNumber="2" fitToWidth="2" orientation="landscape" r:id="rId1"/>
  <headerFooter alignWithMargins="0">
    <oddHeader>&amp;C&amp;"Arial,Bold"PUGET SOUND ENERGY
POWER COST ONLY RATE CASE
TWELVE MONTHS ENDED JUNE 30, 2020
SUMMARY PAGES</oddHeader>
    <oddFooter>&amp;R&amp;"Times New Roman,Regular"&amp;12Exh. SEF-15
Page &amp;P of &amp;N</oddFooter>
  </headerFooter>
  <colBreaks count="1" manualBreakCount="1">
    <brk id="2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186"/>
  <sheetViews>
    <sheetView zoomScale="85" zoomScaleNormal="85" workbookViewId="0">
      <pane ySplit="15" topLeftCell="A16" activePane="bottomLeft" state="frozen"/>
      <selection activeCell="F3" sqref="F3"/>
      <selection pane="bottomLeft" activeCell="H7" sqref="H7"/>
    </sheetView>
  </sheetViews>
  <sheetFormatPr defaultColWidth="9.26953125" defaultRowHeight="13" outlineLevelCol="1" x14ac:dyDescent="0.3"/>
  <cols>
    <col min="1" max="1" width="5" style="46" customWidth="1"/>
    <col min="2" max="2" width="50.7265625" style="46" customWidth="1"/>
    <col min="3" max="3" width="15" style="46" bestFit="1" customWidth="1"/>
    <col min="4" max="4" width="14" style="46" bestFit="1" customWidth="1"/>
    <col min="5" max="5" width="15.1796875" style="46" customWidth="1"/>
    <col min="6" max="6" width="3.26953125" style="46" customWidth="1"/>
    <col min="7" max="7" width="4.453125" style="48" bestFit="1" customWidth="1"/>
    <col min="8" max="8" width="50.7265625" style="46" customWidth="1"/>
    <col min="9" max="9" width="13.453125" style="48" bestFit="1" customWidth="1"/>
    <col min="10" max="10" width="12.26953125" style="48" bestFit="1" customWidth="1"/>
    <col min="11" max="11" width="15.26953125" style="48" customWidth="1"/>
    <col min="12" max="12" width="2.7265625" style="46" customWidth="1"/>
    <col min="13" max="13" width="5" style="46" bestFit="1" customWidth="1"/>
    <col min="14" max="14" width="50.7265625" style="46" customWidth="1"/>
    <col min="15" max="15" width="14.453125" style="46" bestFit="1" customWidth="1"/>
    <col min="16" max="16" width="12.26953125" style="46" bestFit="1" customWidth="1"/>
    <col min="17" max="17" width="14.453125" style="46" bestFit="1" customWidth="1"/>
    <col min="18" max="18" width="2.7265625" style="46" customWidth="1"/>
    <col min="19" max="19" width="14.54296875" style="46" customWidth="1"/>
    <col min="20" max="20" width="2.7265625" style="46" customWidth="1"/>
    <col min="21" max="21" width="5.54296875" style="46" bestFit="1" customWidth="1"/>
    <col min="22" max="22" width="32" style="46" bestFit="1" customWidth="1"/>
    <col min="23" max="23" width="6.7265625" style="46" bestFit="1" customWidth="1"/>
    <col min="24" max="24" width="14.54296875" style="46" bestFit="1" customWidth="1"/>
    <col min="25" max="25" width="14.54296875" style="46" customWidth="1"/>
    <col min="26" max="26" width="20" style="46" customWidth="1"/>
    <col min="27" max="27" width="2.7265625" style="46" customWidth="1"/>
    <col min="28" max="28" width="5.1796875" style="49" bestFit="1" customWidth="1"/>
    <col min="29" max="29" width="52.26953125" style="49" customWidth="1"/>
    <col min="30" max="30" width="21.453125" style="49" bestFit="1" customWidth="1"/>
    <col min="31" max="31" width="20.7265625" style="49" bestFit="1" customWidth="1"/>
    <col min="32" max="32" width="19.7265625" style="49" customWidth="1"/>
    <col min="33" max="33" width="2.7265625" style="46" customWidth="1"/>
    <col min="34" max="34" width="5" style="46" bestFit="1" customWidth="1"/>
    <col min="35" max="35" width="56.81640625" style="46" customWidth="1"/>
    <col min="36" max="36" width="14.7265625" style="46" customWidth="1"/>
    <col min="37" max="37" width="15.453125" style="46" customWidth="1"/>
    <col min="38" max="38" width="15.26953125" style="46" customWidth="1"/>
    <col min="39" max="39" width="2.7265625" style="46" customWidth="1"/>
    <col min="40" max="40" width="5" style="46" bestFit="1" customWidth="1"/>
    <col min="41" max="41" width="46.7265625" style="46" bestFit="1" customWidth="1"/>
    <col min="42" max="42" width="15.26953125" style="46" customWidth="1"/>
    <col min="43" max="43" width="15.7265625" style="46" customWidth="1"/>
    <col min="44" max="44" width="16.54296875" style="46" customWidth="1"/>
    <col min="45" max="45" width="2.7265625" style="46" customWidth="1"/>
    <col min="46" max="46" width="5" style="46" customWidth="1"/>
    <col min="47" max="47" width="46.7265625" style="46" bestFit="1" customWidth="1"/>
    <col min="48" max="48" width="13.26953125" style="46" customWidth="1"/>
    <col min="49" max="49" width="15.26953125" style="46" bestFit="1" customWidth="1"/>
    <col min="50" max="50" width="15.26953125" style="46" customWidth="1"/>
    <col min="51" max="51" width="2.7265625" style="46" customWidth="1"/>
    <col min="52" max="52" width="6.7265625" style="46" customWidth="1"/>
    <col min="53" max="53" width="54.453125" style="46" bestFit="1" customWidth="1"/>
    <col min="54" max="56" width="15.26953125" style="46" customWidth="1"/>
    <col min="57" max="57" width="2.7265625" style="46" customWidth="1"/>
    <col min="58" max="58" width="5" style="46" bestFit="1" customWidth="1"/>
    <col min="59" max="59" width="61.81640625" style="46" customWidth="1"/>
    <col min="60" max="61" width="14.7265625" style="46" customWidth="1"/>
    <col min="62" max="62" width="16.54296875" style="46" customWidth="1"/>
    <col min="63" max="63" width="2.453125" style="46" customWidth="1"/>
    <col min="64" max="64" width="5" style="46" customWidth="1"/>
    <col min="65" max="65" width="68.26953125" style="46" bestFit="1" customWidth="1"/>
    <col min="66" max="66" width="15.26953125" style="46" customWidth="1"/>
    <col min="67" max="67" width="13.7265625" style="46" customWidth="1"/>
    <col min="68" max="68" width="16.54296875" style="46" customWidth="1"/>
    <col min="69" max="69" width="3" style="46" customWidth="1"/>
    <col min="70" max="70" width="5.54296875" style="46" customWidth="1"/>
    <col min="71" max="71" width="51.26953125" style="46" bestFit="1" customWidth="1"/>
    <col min="72" max="74" width="16" style="46" customWidth="1"/>
    <col min="75" max="75" width="13.7265625" style="46" customWidth="1"/>
    <col min="76" max="76" width="15.7265625" style="46" customWidth="1"/>
    <col min="77" max="77" width="2.54296875" style="46" customWidth="1"/>
    <col min="78" max="78" width="5.7265625" style="46" customWidth="1"/>
    <col min="79" max="79" width="41.7265625" style="46" customWidth="1"/>
    <col min="80" max="80" width="15.7265625" style="46" customWidth="1"/>
    <col min="81" max="81" width="13.26953125" style="46" customWidth="1"/>
    <col min="82" max="82" width="15.453125" style="46" customWidth="1"/>
    <col min="83" max="83" width="2.54296875" style="46" customWidth="1"/>
    <col min="84" max="84" width="5.54296875" style="46" customWidth="1"/>
    <col min="85" max="85" width="63.7265625" style="46" customWidth="1"/>
    <col min="86" max="86" width="13.26953125" style="46" customWidth="1"/>
    <col min="87" max="88" width="14.26953125" style="46" customWidth="1"/>
    <col min="89" max="89" width="2.54296875" style="46" customWidth="1"/>
    <col min="90" max="90" width="5" style="46" hidden="1" customWidth="1" outlineLevel="1"/>
    <col min="91" max="91" width="55.7265625" style="46" hidden="1" customWidth="1" outlineLevel="1"/>
    <col min="92" max="92" width="15.26953125" style="46" hidden="1" customWidth="1" outlineLevel="1"/>
    <col min="93" max="93" width="13.7265625" style="46" hidden="1" customWidth="1" outlineLevel="1"/>
    <col min="94" max="94" width="16.54296875" style="46" hidden="1" customWidth="1" outlineLevel="1"/>
    <col min="95" max="95" width="3" style="46" hidden="1" customWidth="1" outlineLevel="1"/>
    <col min="96" max="96" width="5" style="46" hidden="1" customWidth="1" outlineLevel="1"/>
    <col min="97" max="97" width="13.7265625" style="46" hidden="1" customWidth="1" outlineLevel="1"/>
    <col min="98" max="100" width="14.54296875" style="46" hidden="1" customWidth="1" outlineLevel="1"/>
    <col min="101" max="101" width="6.54296875" style="46" hidden="1" customWidth="1" outlineLevel="1"/>
    <col min="102" max="102" width="5.54296875" style="46" bestFit="1" customWidth="1" collapsed="1"/>
    <col min="103" max="103" width="39.54296875" style="46" customWidth="1"/>
    <col min="104" max="104" width="3.7265625" style="46" customWidth="1"/>
    <col min="105" max="106" width="17.7265625" style="46" customWidth="1"/>
    <col min="107" max="107" width="2.453125" style="50" customWidth="1"/>
    <col min="108" max="108" width="5" style="46" bestFit="1" customWidth="1"/>
    <col min="109" max="109" width="34.7265625" style="46" customWidth="1"/>
    <col min="110" max="112" width="15.26953125" style="46" customWidth="1"/>
    <col min="113" max="113" width="2.453125" style="50" customWidth="1"/>
    <col min="114" max="114" width="5.54296875" style="46" bestFit="1" customWidth="1"/>
    <col min="115" max="115" width="69.26953125" style="46" bestFit="1" customWidth="1"/>
    <col min="116" max="116" width="19.7265625" style="46" bestFit="1" customWidth="1"/>
    <col min="117" max="117" width="18.26953125" style="46" bestFit="1" customWidth="1"/>
    <col min="118" max="118" width="21" style="46" customWidth="1"/>
    <col min="119" max="119" width="13.7265625" style="46" bestFit="1" customWidth="1"/>
    <col min="120" max="120" width="14.7265625" style="46" bestFit="1" customWidth="1"/>
    <col min="121" max="121" width="12.7265625" style="46" bestFit="1" customWidth="1"/>
    <col min="122" max="122" width="13" style="46" bestFit="1" customWidth="1"/>
    <col min="123" max="123" width="14.54296875" style="46" bestFit="1" customWidth="1"/>
    <col min="124" max="126" width="15.26953125" style="46" customWidth="1"/>
    <col min="127" max="127" width="18.54296875" style="46" customWidth="1"/>
    <col min="128" max="128" width="2.7265625" style="46" customWidth="1"/>
    <col min="129" max="129" width="5.54296875" style="46" bestFit="1" customWidth="1"/>
    <col min="130" max="130" width="39.7265625" style="46" bestFit="1" customWidth="1"/>
    <col min="131" max="131" width="9.26953125" style="46"/>
    <col min="132" max="132" width="10.453125" style="46" customWidth="1"/>
    <col min="133" max="133" width="21.7265625" style="46" customWidth="1"/>
    <col min="134" max="134" width="8.7265625" style="46" customWidth="1"/>
    <col min="135" max="16384" width="9.26953125" style="46"/>
  </cols>
  <sheetData>
    <row r="1" spans="1:134" x14ac:dyDescent="0.3">
      <c r="E1" s="47">
        <f>SUM('SEF-15 Summary'!F25:F43,'SEF-15 Summary'!F21)-E33</f>
        <v>0</v>
      </c>
      <c r="Z1" s="47">
        <f>SUM('SEF-15 Summary'!G25:G43,'SEF-15 Summary'!G21)-Z21</f>
        <v>0</v>
      </c>
      <c r="AJ1" s="47">
        <f>'SEF-15 Summary'!H15-(AF34+AF41+AF60)</f>
        <v>0</v>
      </c>
      <c r="AK1" s="47">
        <f>'SEF-15 Summary'!I15-(AL31+AL44)</f>
        <v>0</v>
      </c>
      <c r="AL1" s="47">
        <f>ROUND(SUM('SEF-15 Summary'!I25:I43,'SEF-15 Summary'!I21)-AL26-AL39,0)</f>
        <v>0</v>
      </c>
      <c r="AQ1" s="47">
        <f>'SEF-15 Summary'!J15-AR21</f>
        <v>0</v>
      </c>
      <c r="AR1" s="47">
        <f>SUM('SEF-15 Summary'!J25:J43,'SEF-15 Summary'!J21)-AR28</f>
        <v>0</v>
      </c>
      <c r="AW1" s="47">
        <f>'SEF-15 Summary'!K15-AX22</f>
        <v>0</v>
      </c>
      <c r="AX1" s="47">
        <f>SUM('SEF-15 Summary'!K25:K43,'SEF-15 Summary'!K21)-'SEF-15 Adjustments'!AX29</f>
        <v>0</v>
      </c>
      <c r="BD1" s="47">
        <f>SUM('SEF-15 Summary'!L25:L43,'SEF-15 Summary'!L21)-BD19</f>
        <v>0</v>
      </c>
      <c r="BI1" s="47">
        <f>'SEF-15 Summary'!M15-BJ33</f>
        <v>0</v>
      </c>
      <c r="BJ1" s="47">
        <f>SUM('SEF-15 Summary'!M25:M43,'SEF-15 Summary'!M21)-BJ51</f>
        <v>0</v>
      </c>
      <c r="BO1" s="47">
        <f>'SEF-15 Summary'!N15-BP29</f>
        <v>0</v>
      </c>
      <c r="BP1" s="47">
        <f>SUM('SEF-15 Summary'!N25:N43,'SEF-15 Summary'!N21)-BP23</f>
        <v>0</v>
      </c>
      <c r="BW1" s="47">
        <f>'SEF-15 Summary'!O15-BX20</f>
        <v>0</v>
      </c>
      <c r="BX1" s="47">
        <f>SUM('SEF-15 Summary'!O25:O43,'SEF-15 Summary'!N21)-BX24</f>
        <v>0</v>
      </c>
      <c r="CC1" s="47">
        <f>'SEF-15 Summary'!P15-CD28</f>
        <v>0</v>
      </c>
      <c r="CD1" s="47">
        <f>ROUND(SUM('SEF-15 Summary'!P25:P43,'SEF-15 Summary'!P21)-CD18,0)</f>
        <v>0</v>
      </c>
      <c r="CI1" s="47">
        <f>'SEF-15 Summary'!Q15-CJ20</f>
        <v>0</v>
      </c>
      <c r="CJ1" s="47">
        <f>ROUNDDOWN(SUM('SEF-15 Summary'!Q25:Q43,'SEF-15 Summary'!Q21)-CJ25,0)</f>
        <v>0</v>
      </c>
    </row>
    <row r="2" spans="1:134" x14ac:dyDescent="0.3">
      <c r="C2" s="48"/>
      <c r="D2" s="52"/>
      <c r="E2" s="52" t="s">
        <v>276</v>
      </c>
      <c r="F2" s="48"/>
      <c r="H2" s="48"/>
      <c r="J2" s="52"/>
      <c r="K2" s="52" t="str">
        <f>$E$2</f>
        <v>Docket UE-200980</v>
      </c>
      <c r="L2" s="52"/>
      <c r="N2" s="51"/>
      <c r="O2" s="48"/>
      <c r="P2" s="48"/>
      <c r="Q2" s="48"/>
      <c r="R2" s="48"/>
      <c r="S2" s="52" t="str">
        <f>$E$2</f>
        <v>Docket UE-200980</v>
      </c>
      <c r="T2" s="52"/>
      <c r="V2" s="48"/>
      <c r="W2" s="48"/>
      <c r="X2" s="52"/>
      <c r="Y2" s="52"/>
      <c r="Z2" s="52" t="str">
        <f>+$E$2</f>
        <v>Docket UE-200980</v>
      </c>
      <c r="AA2" s="52"/>
      <c r="AB2" s="53"/>
      <c r="AC2" s="53"/>
      <c r="AD2" s="53"/>
      <c r="AE2" s="52"/>
      <c r="AF2" s="52" t="str">
        <f>+$E$2</f>
        <v>Docket UE-200980</v>
      </c>
      <c r="AG2" s="52"/>
      <c r="AH2" s="48"/>
      <c r="AI2" s="48"/>
      <c r="AJ2" s="48"/>
      <c r="AK2" s="52"/>
      <c r="AL2" s="52" t="str">
        <f>+$E$2</f>
        <v>Docket UE-200980</v>
      </c>
      <c r="AM2" s="52"/>
      <c r="AN2" s="48"/>
      <c r="AO2" s="48"/>
      <c r="AP2" s="48"/>
      <c r="AQ2" s="52"/>
      <c r="AR2" s="52" t="str">
        <f>+$E$2</f>
        <v>Docket UE-200980</v>
      </c>
      <c r="AS2" s="48"/>
      <c r="AT2" s="52"/>
      <c r="AU2" s="52"/>
      <c r="AV2" s="52"/>
      <c r="AW2" s="52"/>
      <c r="AX2" s="52" t="str">
        <f>+$E$2</f>
        <v>Docket UE-200980</v>
      </c>
      <c r="AY2" s="52"/>
      <c r="AZ2" s="52"/>
      <c r="BA2" s="52"/>
      <c r="BB2" s="52"/>
      <c r="BC2" s="52"/>
      <c r="BD2" s="52" t="str">
        <f>+$E$2</f>
        <v>Docket UE-200980</v>
      </c>
      <c r="BE2" s="48"/>
      <c r="BF2" s="54"/>
      <c r="BG2" s="48"/>
      <c r="BH2" s="52"/>
      <c r="BI2" s="48"/>
      <c r="BJ2" s="52" t="str">
        <f>+$E$2</f>
        <v>Docket UE-200980</v>
      </c>
      <c r="BK2" s="48"/>
      <c r="BL2" s="48"/>
      <c r="BM2" s="48"/>
      <c r="BN2" s="48"/>
      <c r="BO2" s="52"/>
      <c r="BP2" s="52" t="str">
        <f>+$E$2</f>
        <v>Docket UE-200980</v>
      </c>
      <c r="BQ2" s="48"/>
      <c r="BR2" s="48"/>
      <c r="BS2" s="48"/>
      <c r="BT2" s="48"/>
      <c r="BU2" s="48"/>
      <c r="BV2" s="48"/>
      <c r="BW2" s="52"/>
      <c r="BX2" s="52" t="str">
        <f>+$E$2</f>
        <v>Docket UE-200980</v>
      </c>
      <c r="BY2" s="48"/>
      <c r="BZ2" s="54"/>
      <c r="CA2" s="48"/>
      <c r="CB2" s="48"/>
      <c r="CC2" s="52"/>
      <c r="CD2" s="52" t="str">
        <f>+$E$2</f>
        <v>Docket UE-200980</v>
      </c>
      <c r="CE2" s="48"/>
      <c r="CG2" s="48"/>
      <c r="CH2" s="52"/>
      <c r="CI2" s="48"/>
      <c r="CJ2" s="52" t="str">
        <f>+$E$2</f>
        <v>Docket UE-200980</v>
      </c>
      <c r="CK2" s="48"/>
      <c r="CL2" s="54"/>
      <c r="CM2" s="48"/>
      <c r="CN2" s="52"/>
      <c r="CO2" s="48"/>
      <c r="CP2" s="52" t="str">
        <f>+$E$2</f>
        <v>Docket UE-200980</v>
      </c>
      <c r="CQ2" s="52"/>
      <c r="CR2" s="52"/>
      <c r="CS2" s="52"/>
      <c r="CT2" s="52"/>
      <c r="CU2" s="52"/>
      <c r="CV2" s="52" t="str">
        <f>+$E$2</f>
        <v>Docket UE-200980</v>
      </c>
      <c r="CW2" s="52"/>
      <c r="CX2" s="52"/>
      <c r="CY2" s="52"/>
      <c r="CZ2" s="52"/>
      <c r="DA2" s="52"/>
      <c r="DB2" s="52" t="str">
        <f>+$E$2</f>
        <v>Docket UE-200980</v>
      </c>
      <c r="DC2" s="55"/>
      <c r="DI2" s="55"/>
    </row>
    <row r="3" spans="1:134" x14ac:dyDescent="0.3">
      <c r="A3" s="48"/>
      <c r="B3" s="48"/>
      <c r="C3" s="48"/>
      <c r="D3" s="52"/>
      <c r="E3" s="52" t="s">
        <v>275</v>
      </c>
      <c r="F3" s="48"/>
      <c r="H3" s="48"/>
      <c r="J3" s="52"/>
      <c r="K3" s="52" t="str">
        <f>$E$3</f>
        <v>Exh. SEF-15</v>
      </c>
      <c r="L3" s="52"/>
      <c r="M3" s="52"/>
      <c r="N3" s="48"/>
      <c r="O3" s="48"/>
      <c r="P3" s="48"/>
      <c r="Q3" s="48"/>
      <c r="R3" s="48"/>
      <c r="S3" s="52" t="str">
        <f>$E$3</f>
        <v>Exh. SEF-15</v>
      </c>
      <c r="T3" s="52"/>
      <c r="U3" s="54"/>
      <c r="V3" s="48"/>
      <c r="W3" s="48"/>
      <c r="X3" s="52"/>
      <c r="Y3" s="52"/>
      <c r="Z3" s="52" t="str">
        <f>+$E$3</f>
        <v>Exh. SEF-15</v>
      </c>
      <c r="AA3" s="52"/>
      <c r="AB3" s="53"/>
      <c r="AC3" s="53"/>
      <c r="AD3" s="53"/>
      <c r="AE3" s="52"/>
      <c r="AF3" s="52" t="str">
        <f>+$E$3</f>
        <v>Exh. SEF-15</v>
      </c>
      <c r="AG3" s="52"/>
      <c r="AH3" s="48"/>
      <c r="AI3" s="48"/>
      <c r="AJ3" s="48"/>
      <c r="AK3" s="52"/>
      <c r="AL3" s="52" t="str">
        <f>+$E$3</f>
        <v>Exh. SEF-15</v>
      </c>
      <c r="AM3" s="52"/>
      <c r="AN3" s="48"/>
      <c r="AO3" s="48"/>
      <c r="AP3" s="48"/>
      <c r="AQ3" s="52"/>
      <c r="AR3" s="52" t="str">
        <f>+$E$3</f>
        <v>Exh. SEF-15</v>
      </c>
      <c r="AS3" s="48"/>
      <c r="AT3" s="52"/>
      <c r="AU3" s="52"/>
      <c r="AV3" s="52"/>
      <c r="AW3" s="52"/>
      <c r="AX3" s="52" t="str">
        <f>+$E$3</f>
        <v>Exh. SEF-15</v>
      </c>
      <c r="AY3" s="52"/>
      <c r="AZ3" s="52"/>
      <c r="BA3" s="52"/>
      <c r="BB3" s="52"/>
      <c r="BC3" s="52"/>
      <c r="BD3" s="52" t="str">
        <f>+$E$3</f>
        <v>Exh. SEF-15</v>
      </c>
      <c r="BE3" s="48"/>
      <c r="BF3" s="54"/>
      <c r="BG3" s="48"/>
      <c r="BH3" s="52"/>
      <c r="BI3" s="48"/>
      <c r="BJ3" s="52" t="str">
        <f>+$E$3</f>
        <v>Exh. SEF-15</v>
      </c>
      <c r="BK3" s="48"/>
      <c r="BL3" s="48"/>
      <c r="BM3" s="48"/>
      <c r="BN3" s="48"/>
      <c r="BO3" s="52"/>
      <c r="BP3" s="52" t="str">
        <f>+$E$3</f>
        <v>Exh. SEF-15</v>
      </c>
      <c r="BQ3" s="48"/>
      <c r="BR3" s="48"/>
      <c r="BS3" s="48"/>
      <c r="BT3" s="48"/>
      <c r="BU3" s="48"/>
      <c r="BV3" s="48"/>
      <c r="BW3" s="52"/>
      <c r="BX3" s="52" t="str">
        <f>+$E$3</f>
        <v>Exh. SEF-15</v>
      </c>
      <c r="BY3" s="48"/>
      <c r="BZ3" s="54"/>
      <c r="CA3" s="48"/>
      <c r="CB3" s="48"/>
      <c r="CC3" s="52"/>
      <c r="CD3" s="52" t="str">
        <f>+$E$3</f>
        <v>Exh. SEF-15</v>
      </c>
      <c r="CE3" s="48"/>
      <c r="CF3" s="54"/>
      <c r="CG3" s="48"/>
      <c r="CH3" s="52"/>
      <c r="CI3" s="48"/>
      <c r="CJ3" s="52" t="str">
        <f>+$E$3</f>
        <v>Exh. SEF-15</v>
      </c>
      <c r="CK3" s="48"/>
      <c r="CL3" s="54"/>
      <c r="CM3" s="48"/>
      <c r="CN3" s="52"/>
      <c r="CO3" s="48"/>
      <c r="CP3" s="52" t="str">
        <f>+$E$3</f>
        <v>Exh. SEF-15</v>
      </c>
      <c r="CQ3" s="52"/>
      <c r="CR3" s="52"/>
      <c r="CS3" s="52"/>
      <c r="CT3" s="52"/>
      <c r="CU3" s="52"/>
      <c r="CV3" s="52" t="str">
        <f>+$E$3</f>
        <v>Exh. SEF-15</v>
      </c>
      <c r="CW3" s="52"/>
      <c r="CX3" s="52"/>
      <c r="CY3" s="52"/>
      <c r="CZ3" s="52"/>
      <c r="DA3" s="52"/>
      <c r="DB3" s="52" t="str">
        <f>+$E$3</f>
        <v>Exh. SEF-15</v>
      </c>
      <c r="DC3" s="55"/>
      <c r="DI3" s="55"/>
    </row>
    <row r="4" spans="1:134" x14ac:dyDescent="0.3">
      <c r="A4" s="48"/>
      <c r="B4" s="48"/>
      <c r="C4" s="52"/>
      <c r="D4" s="48"/>
      <c r="E4" s="56" t="s">
        <v>44</v>
      </c>
      <c r="F4" s="48"/>
      <c r="H4" s="48"/>
      <c r="K4" s="56" t="str">
        <f>$E$4</f>
        <v>Adjustments to  Test Year Power Cost Rate</v>
      </c>
      <c r="L4" s="56"/>
      <c r="M4" s="56"/>
      <c r="N4" s="48"/>
      <c r="O4" s="57"/>
      <c r="P4" s="57"/>
      <c r="Q4" s="53"/>
      <c r="R4" s="53"/>
      <c r="S4" s="56" t="str">
        <f>$E$4</f>
        <v>Adjustments to  Test Year Power Cost Rate</v>
      </c>
      <c r="T4" s="56"/>
      <c r="U4" s="48"/>
      <c r="V4" s="48"/>
      <c r="W4" s="52"/>
      <c r="X4" s="48"/>
      <c r="Y4" s="48"/>
      <c r="Z4" s="56" t="str">
        <f>+$E$4</f>
        <v>Adjustments to  Test Year Power Cost Rate</v>
      </c>
      <c r="AA4" s="56"/>
      <c r="AB4" s="53"/>
      <c r="AC4" s="53"/>
      <c r="AD4" s="52"/>
      <c r="AE4" s="53"/>
      <c r="AF4" s="56" t="str">
        <f>+$E$4</f>
        <v>Adjustments to  Test Year Power Cost Rate</v>
      </c>
      <c r="AG4" s="56"/>
      <c r="AH4" s="48"/>
      <c r="AI4" s="48"/>
      <c r="AJ4" s="52"/>
      <c r="AK4" s="48"/>
      <c r="AL4" s="56" t="str">
        <f>+$E$4</f>
        <v>Adjustments to  Test Year Power Cost Rate</v>
      </c>
      <c r="AM4" s="56"/>
      <c r="AN4" s="48"/>
      <c r="AO4" s="48"/>
      <c r="AP4" s="52"/>
      <c r="AQ4" s="48"/>
      <c r="AR4" s="56" t="str">
        <f>+$E$4</f>
        <v>Adjustments to  Test Year Power Cost Rate</v>
      </c>
      <c r="AS4" s="48"/>
      <c r="AT4" s="56"/>
      <c r="AU4" s="56"/>
      <c r="AV4" s="56"/>
      <c r="AW4" s="56"/>
      <c r="AX4" s="56" t="str">
        <f>+$E$4</f>
        <v>Adjustments to  Test Year Power Cost Rate</v>
      </c>
      <c r="AY4" s="56"/>
      <c r="AZ4" s="56"/>
      <c r="BA4" s="56"/>
      <c r="BB4" s="56"/>
      <c r="BC4" s="56"/>
      <c r="BD4" s="56" t="str">
        <f>+$E$4</f>
        <v>Adjustments to  Test Year Power Cost Rate</v>
      </c>
      <c r="BE4" s="48"/>
      <c r="BF4" s="48"/>
      <c r="BG4" s="48"/>
      <c r="BH4" s="52"/>
      <c r="BI4" s="48"/>
      <c r="BJ4" s="56" t="str">
        <f>+$E$4</f>
        <v>Adjustments to  Test Year Power Cost Rate</v>
      </c>
      <c r="BK4" s="48"/>
      <c r="BL4" s="48"/>
      <c r="BM4" s="48"/>
      <c r="BN4" s="52"/>
      <c r="BO4" s="48"/>
      <c r="BP4" s="56" t="str">
        <f>+$E$4</f>
        <v>Adjustments to  Test Year Power Cost Rate</v>
      </c>
      <c r="BQ4" s="48"/>
      <c r="BR4" s="48"/>
      <c r="BS4" s="48"/>
      <c r="BT4" s="52"/>
      <c r="BU4" s="52"/>
      <c r="BV4" s="52"/>
      <c r="BW4" s="48"/>
      <c r="BX4" s="56" t="str">
        <f>+$E$4</f>
        <v>Adjustments to  Test Year Power Cost Rate</v>
      </c>
      <c r="BY4" s="48"/>
      <c r="BZ4" s="48"/>
      <c r="CA4" s="48"/>
      <c r="CB4" s="52"/>
      <c r="CC4" s="48"/>
      <c r="CD4" s="56" t="str">
        <f>+$E$4</f>
        <v>Adjustments to  Test Year Power Cost Rate</v>
      </c>
      <c r="CE4" s="48"/>
      <c r="CF4" s="48"/>
      <c r="CG4" s="48"/>
      <c r="CH4" s="52"/>
      <c r="CI4" s="48"/>
      <c r="CJ4" s="56" t="str">
        <f>+$E$4</f>
        <v>Adjustments to  Test Year Power Cost Rate</v>
      </c>
      <c r="CK4" s="48"/>
      <c r="CL4" s="48"/>
      <c r="CM4" s="48"/>
      <c r="CN4" s="52"/>
      <c r="CO4" s="48"/>
      <c r="CP4" s="56" t="str">
        <f>+$E$4</f>
        <v>Adjustments to  Test Year Power Cost Rate</v>
      </c>
      <c r="CQ4" s="56"/>
      <c r="CR4" s="56"/>
      <c r="CS4" s="56"/>
      <c r="CT4" s="56"/>
      <c r="CU4" s="56"/>
      <c r="CV4" s="56" t="str">
        <f>+$E$4</f>
        <v>Adjustments to  Test Year Power Cost Rate</v>
      </c>
      <c r="CW4" s="56"/>
      <c r="CX4" s="56"/>
      <c r="CY4" s="56"/>
      <c r="CZ4" s="56"/>
      <c r="DA4" s="56"/>
      <c r="DB4" s="56" t="str">
        <f>+$E$4</f>
        <v>Adjustments to  Test Year Power Cost Rate</v>
      </c>
      <c r="DC4" s="55"/>
      <c r="DI4" s="55"/>
    </row>
    <row r="5" spans="1:134" s="48" customFormat="1" ht="13.5" x14ac:dyDescent="0.35">
      <c r="A5" s="58"/>
      <c r="B5" s="59"/>
      <c r="C5" s="59"/>
      <c r="D5" s="59"/>
      <c r="E5" s="56" t="s">
        <v>45</v>
      </c>
      <c r="G5" s="58"/>
      <c r="H5" s="59"/>
      <c r="I5" s="59"/>
      <c r="J5" s="59"/>
      <c r="K5" s="56" t="s">
        <v>46</v>
      </c>
      <c r="L5" s="56"/>
      <c r="M5" s="56"/>
      <c r="N5" s="59"/>
      <c r="O5" s="57"/>
      <c r="P5" s="57"/>
      <c r="Q5" s="53"/>
      <c r="R5" s="53"/>
      <c r="S5" s="56" t="s">
        <v>47</v>
      </c>
      <c r="T5" s="56"/>
      <c r="U5" s="58"/>
      <c r="V5" s="59"/>
      <c r="W5" s="59"/>
      <c r="X5" s="59"/>
      <c r="Y5" s="59"/>
      <c r="Z5" s="56" t="s">
        <v>48</v>
      </c>
      <c r="AB5" s="56"/>
      <c r="AC5" s="56"/>
      <c r="AD5" s="56"/>
      <c r="AE5" s="56"/>
      <c r="AF5" s="56" t="s">
        <v>49</v>
      </c>
      <c r="AH5" s="56"/>
      <c r="AI5" s="56"/>
      <c r="AJ5" s="56"/>
      <c r="AK5" s="56"/>
      <c r="AL5" s="56" t="s">
        <v>50</v>
      </c>
      <c r="AM5" s="56"/>
      <c r="AN5" s="58"/>
      <c r="AO5" s="59"/>
      <c r="AP5" s="59"/>
      <c r="AQ5" s="59"/>
      <c r="AR5" s="56" t="s">
        <v>51</v>
      </c>
      <c r="AS5" s="56"/>
      <c r="AT5" s="56"/>
      <c r="AU5" s="56"/>
      <c r="AV5" s="56"/>
      <c r="AW5" s="56"/>
      <c r="AX5" s="56" t="s">
        <v>52</v>
      </c>
      <c r="AY5" s="56"/>
      <c r="AZ5" s="56"/>
      <c r="BA5" s="56"/>
      <c r="BB5" s="56"/>
      <c r="BC5" s="56"/>
      <c r="BD5" s="56" t="s">
        <v>53</v>
      </c>
      <c r="BF5" s="58"/>
      <c r="BG5" s="59"/>
      <c r="BH5" s="59"/>
      <c r="BI5" s="59"/>
      <c r="BJ5" s="56" t="s">
        <v>54</v>
      </c>
      <c r="BL5" s="58"/>
      <c r="BM5" s="59"/>
      <c r="BN5" s="59"/>
      <c r="BO5" s="59"/>
      <c r="BP5" s="56" t="s">
        <v>55</v>
      </c>
      <c r="BR5" s="58"/>
      <c r="BS5" s="59"/>
      <c r="BT5" s="59"/>
      <c r="BU5" s="59"/>
      <c r="BV5" s="59"/>
      <c r="BW5" s="59"/>
      <c r="BX5" s="56" t="s">
        <v>56</v>
      </c>
      <c r="BZ5" s="58"/>
      <c r="CA5" s="59"/>
      <c r="CB5" s="59"/>
      <c r="CC5" s="59"/>
      <c r="CD5" s="56" t="s">
        <v>57</v>
      </c>
      <c r="CF5" s="58"/>
      <c r="CG5" s="59"/>
      <c r="CH5" s="59"/>
      <c r="CI5" s="59"/>
      <c r="CJ5" s="56" t="s">
        <v>58</v>
      </c>
      <c r="CL5" s="58"/>
      <c r="CM5" s="59"/>
      <c r="CN5" s="59"/>
      <c r="CO5" s="59"/>
      <c r="CP5" s="56" t="s">
        <v>57</v>
      </c>
      <c r="CQ5" s="56"/>
      <c r="CR5" s="60"/>
      <c r="CS5" s="61"/>
      <c r="CT5" s="61"/>
      <c r="CU5" s="61"/>
      <c r="CV5" s="56" t="s">
        <v>59</v>
      </c>
      <c r="CW5" s="58"/>
      <c r="CX5" s="59"/>
      <c r="CY5" s="59"/>
      <c r="CZ5" s="59"/>
      <c r="DB5" s="56" t="s">
        <v>59</v>
      </c>
      <c r="DC5" s="56"/>
      <c r="DD5" s="58"/>
      <c r="DE5" s="59"/>
      <c r="DF5" s="59"/>
      <c r="DG5" s="59"/>
      <c r="DH5" s="56"/>
      <c r="DI5" s="55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</row>
    <row r="6" spans="1:134" ht="14" thickBot="1" x14ac:dyDescent="0.4">
      <c r="A6" s="59"/>
      <c r="B6" s="59"/>
      <c r="C6" s="59"/>
      <c r="D6" s="59"/>
      <c r="E6" s="59"/>
      <c r="F6" s="62"/>
      <c r="G6" s="59"/>
      <c r="H6" s="59"/>
      <c r="I6" s="59"/>
      <c r="J6" s="59"/>
      <c r="K6" s="59"/>
      <c r="L6" s="63"/>
      <c r="N6" s="59"/>
      <c r="O6" s="57"/>
      <c r="P6" s="57"/>
      <c r="Q6" s="53"/>
      <c r="R6" s="53"/>
      <c r="S6" s="59"/>
      <c r="T6" s="63"/>
      <c r="U6" s="59"/>
      <c r="V6" s="59"/>
      <c r="W6" s="59"/>
      <c r="X6" s="59"/>
      <c r="Y6" s="59"/>
      <c r="Z6" s="64"/>
      <c r="AA6" s="64"/>
      <c r="AB6" s="61"/>
      <c r="AC6" s="61"/>
      <c r="AD6" s="61"/>
      <c r="AE6" s="61"/>
      <c r="AF6" s="65"/>
      <c r="AG6" s="64"/>
      <c r="AH6" s="59"/>
      <c r="AI6" s="59"/>
      <c r="AJ6" s="59"/>
      <c r="AK6" s="59"/>
      <c r="AL6" s="64"/>
      <c r="AM6" s="64"/>
      <c r="AN6" s="59"/>
      <c r="AO6" s="59"/>
      <c r="AP6" s="59"/>
      <c r="AQ6" s="59"/>
      <c r="AR6" s="64"/>
      <c r="AS6" s="48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48"/>
      <c r="BF6" s="59"/>
      <c r="BG6" s="59"/>
      <c r="BH6" s="59"/>
      <c r="BI6" s="59"/>
      <c r="BJ6" s="64"/>
      <c r="BK6" s="48"/>
      <c r="BL6" s="59"/>
      <c r="BM6" s="59"/>
      <c r="BN6" s="59"/>
      <c r="BO6" s="59"/>
      <c r="BP6" s="64"/>
      <c r="BQ6" s="48"/>
      <c r="BR6" s="59"/>
      <c r="BS6" s="59"/>
      <c r="BT6" s="59"/>
      <c r="BU6" s="59"/>
      <c r="BV6" s="59"/>
      <c r="BW6" s="59"/>
      <c r="BX6" s="64"/>
      <c r="BY6" s="48"/>
      <c r="BZ6" s="59"/>
      <c r="CA6" s="59"/>
      <c r="CB6" s="59"/>
      <c r="CC6" s="59"/>
      <c r="CD6" s="64"/>
      <c r="CE6" s="48"/>
      <c r="CF6" s="59"/>
      <c r="CG6" s="59"/>
      <c r="CH6" s="59"/>
      <c r="CI6" s="59"/>
      <c r="CJ6" s="64"/>
      <c r="CK6" s="48"/>
      <c r="CL6" s="59"/>
      <c r="CM6" s="59"/>
      <c r="CN6" s="59"/>
      <c r="CO6" s="59"/>
      <c r="CP6" s="64"/>
      <c r="CQ6" s="64"/>
      <c r="CR6" s="61"/>
      <c r="CS6" s="61"/>
      <c r="CT6" s="61"/>
      <c r="CU6" s="61"/>
      <c r="CV6" s="65"/>
      <c r="CW6" s="64"/>
      <c r="CX6" s="59"/>
      <c r="CY6" s="59"/>
      <c r="CZ6" s="59"/>
      <c r="DA6" s="59"/>
      <c r="DB6" s="64"/>
      <c r="DC6" s="55"/>
      <c r="DI6" s="55"/>
    </row>
    <row r="7" spans="1:134" ht="13.5" thickBot="1" x14ac:dyDescent="0.35">
      <c r="A7" s="257" t="s">
        <v>274</v>
      </c>
      <c r="B7" s="54"/>
      <c r="C7" s="54"/>
      <c r="D7" s="54"/>
      <c r="E7" s="66" t="s">
        <v>60</v>
      </c>
      <c r="F7" s="54"/>
      <c r="G7" s="54"/>
      <c r="H7" s="54"/>
      <c r="I7" s="54"/>
      <c r="J7" s="54"/>
      <c r="K7" s="66" t="s">
        <v>61</v>
      </c>
      <c r="L7" s="67"/>
      <c r="M7" s="51" t="s">
        <v>274</v>
      </c>
      <c r="N7" s="54"/>
      <c r="O7" s="57"/>
      <c r="P7" s="57"/>
      <c r="Q7" s="53"/>
      <c r="R7" s="53"/>
      <c r="S7" s="66" t="s">
        <v>62</v>
      </c>
      <c r="T7" s="67"/>
      <c r="U7" s="51" t="s">
        <v>274</v>
      </c>
      <c r="V7" s="54"/>
      <c r="W7" s="54"/>
      <c r="X7" s="54"/>
      <c r="Y7" s="54"/>
      <c r="Z7" s="68">
        <f>+'SEF-15 Summary'!G4</f>
        <v>2</v>
      </c>
      <c r="AB7" s="57"/>
      <c r="AC7" s="57"/>
      <c r="AD7" s="57"/>
      <c r="AE7" s="57"/>
      <c r="AF7" s="68">
        <f>+'SEF-15 Summary'!H4</f>
        <v>3</v>
      </c>
      <c r="AG7" s="69"/>
      <c r="AH7" s="54"/>
      <c r="AI7" s="54"/>
      <c r="AJ7" s="54"/>
      <c r="AK7" s="54"/>
      <c r="AL7" s="68">
        <f>+'SEF-15 Summary'!I4</f>
        <v>4</v>
      </c>
      <c r="AM7" s="69"/>
      <c r="AN7" s="54"/>
      <c r="AO7" s="54"/>
      <c r="AP7" s="54"/>
      <c r="AQ7" s="54"/>
      <c r="AR7" s="68">
        <f>+'SEF-15 Summary'!J4</f>
        <v>5</v>
      </c>
      <c r="AS7" s="48"/>
      <c r="AT7" s="63"/>
      <c r="AU7" s="63"/>
      <c r="AV7" s="63"/>
      <c r="AW7" s="63"/>
      <c r="AX7" s="68">
        <f>+'SEF-15 Summary'!K4</f>
        <v>6</v>
      </c>
      <c r="AY7" s="63"/>
      <c r="AZ7" s="63"/>
      <c r="BA7" s="63"/>
      <c r="BB7" s="63"/>
      <c r="BC7" s="63"/>
      <c r="BD7" s="68">
        <f>+'SEF-15 Summary'!L4</f>
        <v>7</v>
      </c>
      <c r="BE7" s="48"/>
      <c r="BF7" s="70"/>
      <c r="BG7" s="70"/>
      <c r="BH7" s="70"/>
      <c r="BI7" s="70"/>
      <c r="BJ7" s="68">
        <f>+'SEF-15 Summary'!M4</f>
        <v>8</v>
      </c>
      <c r="BK7" s="48"/>
      <c r="BL7" s="71"/>
      <c r="BM7" s="71"/>
      <c r="BN7" s="71"/>
      <c r="BO7" s="71"/>
      <c r="BP7" s="72">
        <f>+'SEF-15 Summary'!N4</f>
        <v>9</v>
      </c>
      <c r="BQ7" s="48"/>
      <c r="BR7" s="71"/>
      <c r="BS7" s="71"/>
      <c r="BT7" s="71"/>
      <c r="BU7" s="71"/>
      <c r="BV7" s="71"/>
      <c r="BW7" s="71"/>
      <c r="BX7" s="72">
        <f>+'SEF-15 Summary'!O4</f>
        <v>10</v>
      </c>
      <c r="BY7" s="48"/>
      <c r="BZ7" s="54"/>
      <c r="CA7" s="54"/>
      <c r="CB7" s="54"/>
      <c r="CC7" s="54"/>
      <c r="CD7" s="68">
        <f>+'SEF-15 Summary'!P4</f>
        <v>11</v>
      </c>
      <c r="CE7" s="48"/>
      <c r="CF7" s="51" t="s">
        <v>274</v>
      </c>
      <c r="CG7" s="70"/>
      <c r="CH7" s="70"/>
      <c r="CI7" s="70"/>
      <c r="CJ7" s="68">
        <f>CD7+1</f>
        <v>12</v>
      </c>
      <c r="CK7" s="48"/>
      <c r="CL7" s="70"/>
      <c r="CM7" s="70"/>
      <c r="CN7" s="70"/>
      <c r="CO7" s="70"/>
      <c r="CP7" s="68">
        <f>CJ7+1</f>
        <v>13</v>
      </c>
      <c r="CQ7" s="63"/>
      <c r="CR7" s="73"/>
      <c r="CS7" s="73"/>
      <c r="CT7" s="73"/>
      <c r="CU7" s="73"/>
      <c r="CV7" s="68"/>
      <c r="CW7" s="63"/>
      <c r="CX7" s="70"/>
      <c r="CY7" s="70"/>
      <c r="CZ7" s="70"/>
      <c r="DA7" s="70"/>
      <c r="DB7" s="68" t="s">
        <v>63</v>
      </c>
      <c r="DC7" s="55"/>
      <c r="DI7" s="55"/>
    </row>
    <row r="8" spans="1:134" x14ac:dyDescent="0.3">
      <c r="A8" s="74" t="s">
        <v>64</v>
      </c>
      <c r="B8" s="74"/>
      <c r="C8" s="70"/>
      <c r="D8" s="70"/>
      <c r="E8" s="70"/>
      <c r="F8" s="57"/>
      <c r="G8" s="74" t="s">
        <v>64</v>
      </c>
      <c r="H8" s="74"/>
      <c r="I8" s="74"/>
      <c r="J8" s="70"/>
      <c r="K8" s="70"/>
      <c r="L8" s="75"/>
      <c r="M8" s="74" t="s">
        <v>64</v>
      </c>
      <c r="N8" s="74"/>
      <c r="O8" s="74"/>
      <c r="P8" s="74"/>
      <c r="Q8" s="71"/>
      <c r="R8" s="71"/>
      <c r="S8" s="76"/>
      <c r="T8" s="75"/>
      <c r="U8" s="74" t="s">
        <v>64</v>
      </c>
      <c r="V8" s="74"/>
      <c r="W8" s="70"/>
      <c r="X8" s="70"/>
      <c r="Y8" s="70"/>
      <c r="Z8" s="70"/>
      <c r="AA8" s="70"/>
      <c r="AB8" s="74" t="s">
        <v>64</v>
      </c>
      <c r="AC8" s="74"/>
      <c r="AD8" s="74"/>
      <c r="AE8" s="74"/>
      <c r="AF8" s="74"/>
      <c r="AG8" s="70"/>
      <c r="AH8" s="74" t="s">
        <v>64</v>
      </c>
      <c r="AI8" s="74"/>
      <c r="AJ8" s="74"/>
      <c r="AK8" s="74"/>
      <c r="AL8" s="74"/>
      <c r="AM8" s="70"/>
      <c r="AN8" s="74" t="s">
        <v>64</v>
      </c>
      <c r="AO8" s="74"/>
      <c r="AP8" s="70"/>
      <c r="AQ8" s="70"/>
      <c r="AR8" s="70"/>
      <c r="AS8" s="48"/>
      <c r="AT8" s="74" t="s">
        <v>64</v>
      </c>
      <c r="AU8" s="74"/>
      <c r="AV8" s="74"/>
      <c r="AW8" s="74"/>
      <c r="AX8" s="74"/>
      <c r="AY8" s="70"/>
      <c r="AZ8" s="74" t="s">
        <v>64</v>
      </c>
      <c r="BA8" s="74"/>
      <c r="BB8" s="74"/>
      <c r="BC8" s="74"/>
      <c r="BD8" s="74"/>
      <c r="BE8" s="48"/>
      <c r="BF8" s="74" t="s">
        <v>64</v>
      </c>
      <c r="BG8" s="74"/>
      <c r="BH8" s="70"/>
      <c r="BI8" s="70"/>
      <c r="BJ8" s="70"/>
      <c r="BK8" s="48"/>
      <c r="BL8" s="74" t="s">
        <v>64</v>
      </c>
      <c r="BM8" s="74"/>
      <c r="BN8" s="70"/>
      <c r="BO8" s="70"/>
      <c r="BP8" s="70"/>
      <c r="BQ8" s="48"/>
      <c r="BR8" s="74" t="s">
        <v>64</v>
      </c>
      <c r="BS8" s="74"/>
      <c r="BT8" s="70"/>
      <c r="BU8" s="70"/>
      <c r="BV8" s="70"/>
      <c r="BW8" s="70"/>
      <c r="BX8" s="70"/>
      <c r="BY8" s="48"/>
      <c r="BZ8" s="74" t="s">
        <v>64</v>
      </c>
      <c r="CA8" s="74"/>
      <c r="CB8" s="70"/>
      <c r="CC8" s="70"/>
      <c r="CD8" s="70"/>
      <c r="CE8" s="48"/>
      <c r="CF8" s="74" t="s">
        <v>64</v>
      </c>
      <c r="CG8" s="74"/>
      <c r="CH8" s="70"/>
      <c r="CI8" s="70"/>
      <c r="CJ8" s="70"/>
      <c r="CK8" s="48"/>
      <c r="CL8" s="74" t="s">
        <v>64</v>
      </c>
      <c r="CM8" s="74"/>
      <c r="CN8" s="70"/>
      <c r="CO8" s="70"/>
      <c r="CP8" s="70"/>
      <c r="CQ8" s="77"/>
      <c r="CR8" s="74" t="s">
        <v>64</v>
      </c>
      <c r="CS8" s="74"/>
      <c r="CT8" s="74"/>
      <c r="CU8" s="74"/>
      <c r="CV8" s="74"/>
      <c r="CW8" s="77"/>
      <c r="CX8" s="74" t="s">
        <v>64</v>
      </c>
      <c r="CY8" s="74"/>
      <c r="CZ8" s="74"/>
      <c r="DA8" s="74"/>
      <c r="DB8" s="74"/>
      <c r="DC8" s="78"/>
      <c r="DI8" s="78"/>
    </row>
    <row r="9" spans="1:134" x14ac:dyDescent="0.3">
      <c r="A9" s="70" t="s">
        <v>65</v>
      </c>
      <c r="B9" s="70"/>
      <c r="C9" s="70"/>
      <c r="D9" s="70"/>
      <c r="E9" s="79"/>
      <c r="F9" s="80"/>
      <c r="G9" s="70" t="s">
        <v>65</v>
      </c>
      <c r="H9" s="70"/>
      <c r="I9" s="70"/>
      <c r="J9" s="70"/>
      <c r="K9" s="79"/>
      <c r="L9" s="81"/>
      <c r="M9" s="70" t="s">
        <v>65</v>
      </c>
      <c r="N9" s="70"/>
      <c r="O9" s="70"/>
      <c r="P9" s="70"/>
      <c r="Q9" s="71"/>
      <c r="R9" s="71"/>
      <c r="S9" s="71"/>
      <c r="T9" s="81"/>
      <c r="U9" s="70" t="str">
        <f>+$A$9</f>
        <v xml:space="preserve"> POWER COST ONLY RATE CASE</v>
      </c>
      <c r="V9" s="70"/>
      <c r="W9" s="70"/>
      <c r="X9" s="70"/>
      <c r="Y9" s="70"/>
      <c r="Z9" s="79"/>
      <c r="AA9" s="79"/>
      <c r="AB9" s="70" t="str">
        <f>+$A$9</f>
        <v xml:space="preserve"> POWER COST ONLY RATE CASE</v>
      </c>
      <c r="AC9" s="70"/>
      <c r="AD9" s="70"/>
      <c r="AE9" s="70"/>
      <c r="AF9" s="70"/>
      <c r="AG9" s="79"/>
      <c r="AH9" s="70" t="str">
        <f>+$A$9</f>
        <v xml:space="preserve"> POWER COST ONLY RATE CASE</v>
      </c>
      <c r="AI9" s="70"/>
      <c r="AJ9" s="70"/>
      <c r="AK9" s="70"/>
      <c r="AL9" s="70"/>
      <c r="AM9" s="79"/>
      <c r="AN9" s="70" t="str">
        <f>+$A$9</f>
        <v xml:space="preserve"> POWER COST ONLY RATE CASE</v>
      </c>
      <c r="AO9" s="70"/>
      <c r="AP9" s="70"/>
      <c r="AQ9" s="70"/>
      <c r="AR9" s="79"/>
      <c r="AS9" s="48"/>
      <c r="AT9" s="70" t="str">
        <f>+$A$9</f>
        <v xml:space="preserve"> POWER COST ONLY RATE CASE</v>
      </c>
      <c r="AU9" s="70"/>
      <c r="AV9" s="70"/>
      <c r="AW9" s="70"/>
      <c r="AX9" s="70"/>
      <c r="AY9" s="79"/>
      <c r="AZ9" s="70" t="str">
        <f>+$A$9</f>
        <v xml:space="preserve"> POWER COST ONLY RATE CASE</v>
      </c>
      <c r="BA9" s="70"/>
      <c r="BB9" s="70"/>
      <c r="BC9" s="70"/>
      <c r="BD9" s="70"/>
      <c r="BE9" s="48"/>
      <c r="BF9" s="70" t="str">
        <f>+$A$9</f>
        <v xml:space="preserve"> POWER COST ONLY RATE CASE</v>
      </c>
      <c r="BG9" s="70"/>
      <c r="BH9" s="70"/>
      <c r="BI9" s="70"/>
      <c r="BJ9" s="70"/>
      <c r="BK9" s="48"/>
      <c r="BL9" s="70" t="str">
        <f>+$A$9</f>
        <v xml:space="preserve"> POWER COST ONLY RATE CASE</v>
      </c>
      <c r="BM9" s="70"/>
      <c r="BN9" s="70"/>
      <c r="BO9" s="70"/>
      <c r="BP9" s="79"/>
      <c r="BQ9" s="48"/>
      <c r="BR9" s="70" t="str">
        <f>+$A$9</f>
        <v xml:space="preserve"> POWER COST ONLY RATE CASE</v>
      </c>
      <c r="BS9" s="70"/>
      <c r="BT9" s="70"/>
      <c r="BU9" s="70"/>
      <c r="BV9" s="70"/>
      <c r="BW9" s="70"/>
      <c r="BX9" s="79"/>
      <c r="BY9" s="48"/>
      <c r="BZ9" s="70" t="str">
        <f>+$A$9</f>
        <v xml:space="preserve"> POWER COST ONLY RATE CASE</v>
      </c>
      <c r="CA9" s="70"/>
      <c r="CB9" s="70"/>
      <c r="CC9" s="70"/>
      <c r="CD9" s="79"/>
      <c r="CE9" s="48"/>
      <c r="CF9" s="70" t="str">
        <f>+$A$9</f>
        <v xml:space="preserve"> POWER COST ONLY RATE CASE</v>
      </c>
      <c r="CG9" s="70"/>
      <c r="CH9" s="70"/>
      <c r="CI9" s="70"/>
      <c r="CJ9" s="79"/>
      <c r="CK9" s="48"/>
      <c r="CL9" s="70" t="str">
        <f>+$A$9</f>
        <v xml:space="preserve"> POWER COST ONLY RATE CASE</v>
      </c>
      <c r="CM9" s="70"/>
      <c r="CN9" s="70"/>
      <c r="CO9" s="70"/>
      <c r="CP9" s="79"/>
      <c r="CQ9" s="77"/>
      <c r="CR9" s="70" t="str">
        <f>+$A$9</f>
        <v xml:space="preserve"> POWER COST ONLY RATE CASE</v>
      </c>
      <c r="CS9" s="74"/>
      <c r="CT9" s="74"/>
      <c r="CU9" s="74"/>
      <c r="CV9" s="74"/>
      <c r="CW9" s="77"/>
      <c r="CX9" s="70" t="str">
        <f>+$A$9</f>
        <v xml:space="preserve"> POWER COST ONLY RATE CASE</v>
      </c>
      <c r="CY9" s="74"/>
      <c r="CZ9" s="74"/>
      <c r="DA9" s="74"/>
      <c r="DB9" s="74"/>
      <c r="DC9" s="55"/>
      <c r="DI9" s="55"/>
    </row>
    <row r="10" spans="1:134" x14ac:dyDescent="0.3">
      <c r="A10" s="70" t="s">
        <v>244</v>
      </c>
      <c r="B10" s="70"/>
      <c r="C10" s="70"/>
      <c r="D10" s="70"/>
      <c r="E10" s="82"/>
      <c r="F10" s="83"/>
      <c r="G10" s="70" t="s">
        <v>244</v>
      </c>
      <c r="H10" s="70"/>
      <c r="I10" s="70"/>
      <c r="J10" s="70"/>
      <c r="K10" s="82"/>
      <c r="L10" s="84"/>
      <c r="M10" s="70" t="s">
        <v>244</v>
      </c>
      <c r="N10" s="70"/>
      <c r="O10" s="70"/>
      <c r="P10" s="70"/>
      <c r="Q10" s="76"/>
      <c r="R10" s="76"/>
      <c r="S10" s="76"/>
      <c r="T10" s="84"/>
      <c r="U10" s="70" t="str">
        <f>+$A$10</f>
        <v>TEST YEAR 12 MONTHS ENDED JUNE 30, 2020</v>
      </c>
      <c r="V10" s="70"/>
      <c r="W10" s="70"/>
      <c r="X10" s="70"/>
      <c r="Y10" s="70"/>
      <c r="Z10" s="82"/>
      <c r="AA10" s="82"/>
      <c r="AB10" s="70" t="str">
        <f>+$A$10</f>
        <v>TEST YEAR 12 MONTHS ENDED JUNE 30, 2020</v>
      </c>
      <c r="AC10" s="70"/>
      <c r="AD10" s="70"/>
      <c r="AE10" s="70"/>
      <c r="AF10" s="70"/>
      <c r="AG10" s="82"/>
      <c r="AH10" s="70" t="str">
        <f>+$A$10</f>
        <v>TEST YEAR 12 MONTHS ENDED JUNE 30, 2020</v>
      </c>
      <c r="AI10" s="70"/>
      <c r="AJ10" s="70"/>
      <c r="AK10" s="70"/>
      <c r="AL10" s="70"/>
      <c r="AM10" s="82"/>
      <c r="AN10" s="70" t="str">
        <f>+$A$10</f>
        <v>TEST YEAR 12 MONTHS ENDED JUNE 30, 2020</v>
      </c>
      <c r="AO10" s="70"/>
      <c r="AP10" s="70"/>
      <c r="AQ10" s="70"/>
      <c r="AR10" s="82"/>
      <c r="AS10" s="48"/>
      <c r="AT10" s="70" t="str">
        <f>+$A$10</f>
        <v>TEST YEAR 12 MONTHS ENDED JUNE 30, 2020</v>
      </c>
      <c r="AU10" s="70"/>
      <c r="AV10" s="70"/>
      <c r="AW10" s="70"/>
      <c r="AX10" s="70"/>
      <c r="AY10" s="82"/>
      <c r="AZ10" s="70" t="str">
        <f>+$A$10</f>
        <v>TEST YEAR 12 MONTHS ENDED JUNE 30, 2020</v>
      </c>
      <c r="BA10" s="70"/>
      <c r="BB10" s="70"/>
      <c r="BC10" s="70"/>
      <c r="BD10" s="70"/>
      <c r="BE10" s="48"/>
      <c r="BF10" s="70" t="str">
        <f>+$A$10</f>
        <v>TEST YEAR 12 MONTHS ENDED JUNE 30, 2020</v>
      </c>
      <c r="BG10" s="70"/>
      <c r="BH10" s="70"/>
      <c r="BI10" s="70"/>
      <c r="BJ10" s="70"/>
      <c r="BK10" s="48"/>
      <c r="BL10" s="70" t="str">
        <f>+$A$10</f>
        <v>TEST YEAR 12 MONTHS ENDED JUNE 30, 2020</v>
      </c>
      <c r="BM10" s="70"/>
      <c r="BN10" s="70"/>
      <c r="BO10" s="70"/>
      <c r="BP10" s="82"/>
      <c r="BQ10" s="48"/>
      <c r="BR10" s="70" t="str">
        <f>+$A$10</f>
        <v>TEST YEAR 12 MONTHS ENDED JUNE 30, 2020</v>
      </c>
      <c r="BS10" s="70"/>
      <c r="BT10" s="70"/>
      <c r="BU10" s="70"/>
      <c r="BV10" s="70"/>
      <c r="BW10" s="70"/>
      <c r="BX10" s="82"/>
      <c r="BY10" s="48"/>
      <c r="BZ10" s="70" t="str">
        <f>+$A$10</f>
        <v>TEST YEAR 12 MONTHS ENDED JUNE 30, 2020</v>
      </c>
      <c r="CA10" s="70"/>
      <c r="CB10" s="70"/>
      <c r="CC10" s="70"/>
      <c r="CD10" s="82"/>
      <c r="CE10" s="48"/>
      <c r="CF10" s="70" t="str">
        <f>+$A$10</f>
        <v>TEST YEAR 12 MONTHS ENDED JUNE 30, 2020</v>
      </c>
      <c r="CG10" s="70"/>
      <c r="CH10" s="70"/>
      <c r="CI10" s="70"/>
      <c r="CJ10" s="82"/>
      <c r="CK10" s="48"/>
      <c r="CL10" s="70" t="str">
        <f>+$A$10</f>
        <v>TEST YEAR 12 MONTHS ENDED JUNE 30, 2020</v>
      </c>
      <c r="CM10" s="70"/>
      <c r="CN10" s="70"/>
      <c r="CO10" s="70"/>
      <c r="CP10" s="82"/>
      <c r="CQ10" s="77"/>
      <c r="CR10" s="70" t="str">
        <f>+$A$10</f>
        <v>TEST YEAR 12 MONTHS ENDED JUNE 30, 2020</v>
      </c>
      <c r="CS10" s="74"/>
      <c r="CT10" s="74"/>
      <c r="CU10" s="74"/>
      <c r="CV10" s="74"/>
      <c r="CW10" s="77"/>
      <c r="CX10" s="70" t="str">
        <f>+$A$10</f>
        <v>TEST YEAR 12 MONTHS ENDED JUNE 30, 2020</v>
      </c>
      <c r="CY10" s="74"/>
      <c r="CZ10" s="74"/>
      <c r="DA10" s="74"/>
      <c r="DB10" s="74"/>
      <c r="DC10" s="85"/>
      <c r="DI10" s="85"/>
    </row>
    <row r="11" spans="1:134" s="48" customFormat="1" x14ac:dyDescent="0.3">
      <c r="A11" s="70" t="s">
        <v>243</v>
      </c>
      <c r="B11" s="70"/>
      <c r="C11" s="70"/>
      <c r="D11" s="70"/>
      <c r="E11" s="82"/>
      <c r="F11" s="83"/>
      <c r="G11" s="70" t="s">
        <v>243</v>
      </c>
      <c r="H11" s="70"/>
      <c r="I11" s="70"/>
      <c r="J11" s="70"/>
      <c r="K11" s="82"/>
      <c r="L11" s="84"/>
      <c r="M11" s="70" t="s">
        <v>243</v>
      </c>
      <c r="N11" s="70"/>
      <c r="O11" s="70"/>
      <c r="P11" s="70"/>
      <c r="Q11" s="71"/>
      <c r="R11" s="71"/>
      <c r="S11" s="71"/>
      <c r="T11" s="84"/>
      <c r="U11" s="70" t="str">
        <f>+$A$11</f>
        <v>RATE YEAR 12 MONTHS ENDED MAY 31, 2022</v>
      </c>
      <c r="V11" s="70"/>
      <c r="W11" s="70"/>
      <c r="X11" s="70"/>
      <c r="Y11" s="70"/>
      <c r="Z11" s="82"/>
      <c r="AA11" s="82"/>
      <c r="AB11" s="70" t="str">
        <f>+$A$11</f>
        <v>RATE YEAR 12 MONTHS ENDED MAY 31, 2022</v>
      </c>
      <c r="AC11" s="70"/>
      <c r="AD11" s="70"/>
      <c r="AE11" s="70"/>
      <c r="AF11" s="70"/>
      <c r="AG11" s="82"/>
      <c r="AH11" s="70" t="str">
        <f>+$A$11</f>
        <v>RATE YEAR 12 MONTHS ENDED MAY 31, 2022</v>
      </c>
      <c r="AI11" s="70"/>
      <c r="AJ11" s="70"/>
      <c r="AK11" s="70"/>
      <c r="AL11" s="70"/>
      <c r="AM11" s="82"/>
      <c r="AN11" s="70" t="str">
        <f>+$A$11</f>
        <v>RATE YEAR 12 MONTHS ENDED MAY 31, 2022</v>
      </c>
      <c r="AO11" s="70"/>
      <c r="AP11" s="70"/>
      <c r="AQ11" s="70"/>
      <c r="AR11" s="82"/>
      <c r="AT11" s="70" t="str">
        <f>+$A$11</f>
        <v>RATE YEAR 12 MONTHS ENDED MAY 31, 2022</v>
      </c>
      <c r="AU11" s="70"/>
      <c r="AV11" s="70"/>
      <c r="AW11" s="70"/>
      <c r="AX11" s="70"/>
      <c r="AY11" s="82"/>
      <c r="AZ11" s="70" t="str">
        <f>+$A$11</f>
        <v>RATE YEAR 12 MONTHS ENDED MAY 31, 2022</v>
      </c>
      <c r="BA11" s="70"/>
      <c r="BB11" s="70"/>
      <c r="BC11" s="70"/>
      <c r="BD11" s="70"/>
      <c r="BF11" s="70" t="str">
        <f>+$A$11</f>
        <v>RATE YEAR 12 MONTHS ENDED MAY 31, 2022</v>
      </c>
      <c r="BG11" s="70"/>
      <c r="BH11" s="70"/>
      <c r="BI11" s="70"/>
      <c r="BJ11" s="70"/>
      <c r="BL11" s="70" t="str">
        <f>+$A$11</f>
        <v>RATE YEAR 12 MONTHS ENDED MAY 31, 2022</v>
      </c>
      <c r="BM11" s="70"/>
      <c r="BN11" s="70"/>
      <c r="BO11" s="70"/>
      <c r="BP11" s="82"/>
      <c r="BR11" s="70" t="str">
        <f>+$A$11</f>
        <v>RATE YEAR 12 MONTHS ENDED MAY 31, 2022</v>
      </c>
      <c r="BS11" s="70"/>
      <c r="BT11" s="70"/>
      <c r="BU11" s="70"/>
      <c r="BV11" s="70"/>
      <c r="BW11" s="70"/>
      <c r="BX11" s="82"/>
      <c r="BZ11" s="70" t="str">
        <f>+$A$11</f>
        <v>RATE YEAR 12 MONTHS ENDED MAY 31, 2022</v>
      </c>
      <c r="CA11" s="70"/>
      <c r="CB11" s="70"/>
      <c r="CC11" s="70"/>
      <c r="CD11" s="82"/>
      <c r="CF11" s="70" t="str">
        <f>+$A$11</f>
        <v>RATE YEAR 12 MONTHS ENDED MAY 31, 2022</v>
      </c>
      <c r="CG11" s="70"/>
      <c r="CH11" s="70"/>
      <c r="CI11" s="70"/>
      <c r="CJ11" s="82"/>
      <c r="CL11" s="70" t="str">
        <f>+$A$11</f>
        <v>RATE YEAR 12 MONTHS ENDED MAY 31, 2022</v>
      </c>
      <c r="CM11" s="70"/>
      <c r="CN11" s="70"/>
      <c r="CO11" s="70"/>
      <c r="CP11" s="82"/>
      <c r="CQ11" s="77"/>
      <c r="CR11" s="70" t="str">
        <f>+$A$11</f>
        <v>RATE YEAR 12 MONTHS ENDED MAY 31, 2022</v>
      </c>
      <c r="CS11" s="74"/>
      <c r="CT11" s="74"/>
      <c r="CU11" s="74"/>
      <c r="CV11" s="74"/>
      <c r="CW11" s="77"/>
      <c r="CX11" s="70" t="str">
        <f>+$A$11</f>
        <v>RATE YEAR 12 MONTHS ENDED MAY 31, 2022</v>
      </c>
      <c r="CY11" s="74"/>
      <c r="CZ11" s="74"/>
      <c r="DA11" s="74"/>
      <c r="DB11" s="74"/>
      <c r="DC11" s="55"/>
      <c r="DD11" s="46"/>
      <c r="DE11" s="46"/>
      <c r="DF11" s="46"/>
      <c r="DG11" s="46"/>
      <c r="DH11" s="46"/>
      <c r="DI11" s="55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</row>
    <row r="12" spans="1:134" s="97" customFormat="1" x14ac:dyDescent="0.3">
      <c r="A12" s="86" t="s">
        <v>66</v>
      </c>
      <c r="B12" s="86"/>
      <c r="C12" s="86"/>
      <c r="D12" s="86"/>
      <c r="E12" s="87"/>
      <c r="F12" s="88"/>
      <c r="G12" s="86" t="s">
        <v>67</v>
      </c>
      <c r="H12" s="86"/>
      <c r="I12" s="86"/>
      <c r="J12" s="86"/>
      <c r="K12" s="87"/>
      <c r="L12" s="89"/>
      <c r="M12" s="86" t="s">
        <v>68</v>
      </c>
      <c r="N12" s="86"/>
      <c r="O12" s="86"/>
      <c r="P12" s="86"/>
      <c r="Q12" s="90"/>
      <c r="R12" s="90"/>
      <c r="S12" s="90"/>
      <c r="T12" s="89"/>
      <c r="U12" s="86" t="s">
        <v>69</v>
      </c>
      <c r="V12" s="86"/>
      <c r="W12" s="86"/>
      <c r="X12" s="86"/>
      <c r="Y12" s="86"/>
      <c r="Z12" s="87"/>
      <c r="AA12" s="87"/>
      <c r="AB12" s="86" t="s">
        <v>70</v>
      </c>
      <c r="AC12" s="86"/>
      <c r="AD12" s="86"/>
      <c r="AE12" s="86"/>
      <c r="AF12" s="87"/>
      <c r="AG12" s="87"/>
      <c r="AH12" s="86" t="s">
        <v>71</v>
      </c>
      <c r="AI12" s="86"/>
      <c r="AJ12" s="86"/>
      <c r="AK12" s="86"/>
      <c r="AL12" s="87"/>
      <c r="AM12" s="87"/>
      <c r="AN12" s="86" t="s">
        <v>72</v>
      </c>
      <c r="AO12" s="86"/>
      <c r="AP12" s="86"/>
      <c r="AQ12" s="86"/>
      <c r="AR12" s="87"/>
      <c r="AS12" s="91"/>
      <c r="AT12" s="86" t="s">
        <v>73</v>
      </c>
      <c r="AU12" s="87"/>
      <c r="AV12" s="87"/>
      <c r="AW12" s="87"/>
      <c r="AX12" s="87"/>
      <c r="AY12" s="87"/>
      <c r="AZ12" s="86" t="s">
        <v>74</v>
      </c>
      <c r="BA12" s="87"/>
      <c r="BB12" s="87"/>
      <c r="BC12" s="87"/>
      <c r="BD12" s="87"/>
      <c r="BE12" s="91"/>
      <c r="BF12" s="86" t="s">
        <v>75</v>
      </c>
      <c r="BG12" s="86"/>
      <c r="BH12" s="92"/>
      <c r="BI12" s="86"/>
      <c r="BJ12" s="87"/>
      <c r="BK12" s="91"/>
      <c r="BL12" s="86" t="s">
        <v>76</v>
      </c>
      <c r="BM12" s="86"/>
      <c r="BN12" s="86"/>
      <c r="BO12" s="86"/>
      <c r="BP12" s="87"/>
      <c r="BQ12" s="91"/>
      <c r="BR12" s="86" t="s">
        <v>77</v>
      </c>
      <c r="BS12" s="86"/>
      <c r="BT12" s="86"/>
      <c r="BU12" s="86"/>
      <c r="BV12" s="86"/>
      <c r="BW12" s="86"/>
      <c r="BX12" s="87"/>
      <c r="BY12" s="91"/>
      <c r="BZ12" s="86" t="s">
        <v>78</v>
      </c>
      <c r="CA12" s="86"/>
      <c r="CB12" s="86"/>
      <c r="CC12" s="86"/>
      <c r="CD12" s="87"/>
      <c r="CE12" s="91"/>
      <c r="CF12" s="86" t="s">
        <v>79</v>
      </c>
      <c r="CG12" s="86"/>
      <c r="CH12" s="92"/>
      <c r="CI12" s="86"/>
      <c r="CJ12" s="87"/>
      <c r="CK12" s="91"/>
      <c r="CL12" s="86" t="s">
        <v>6</v>
      </c>
      <c r="CM12" s="86"/>
      <c r="CN12" s="92"/>
      <c r="CO12" s="86"/>
      <c r="CP12" s="87"/>
      <c r="CQ12" s="93"/>
      <c r="CR12" s="94"/>
      <c r="CS12" s="261" t="s">
        <v>6</v>
      </c>
      <c r="CT12" s="261"/>
      <c r="CU12" s="261"/>
      <c r="CV12" s="261"/>
      <c r="CW12" s="93"/>
      <c r="CX12" s="86" t="s">
        <v>80</v>
      </c>
      <c r="CY12" s="95"/>
      <c r="CZ12" s="95"/>
      <c r="DA12" s="95"/>
      <c r="DB12" s="95"/>
      <c r="DC12" s="96"/>
      <c r="DD12" s="46"/>
      <c r="DE12" s="46"/>
      <c r="DF12" s="46"/>
      <c r="DG12" s="46"/>
      <c r="DH12" s="46"/>
      <c r="DI12" s="9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</row>
    <row r="13" spans="1:134" x14ac:dyDescent="0.3">
      <c r="A13" s="54"/>
      <c r="B13" s="48"/>
      <c r="C13" s="54"/>
      <c r="D13" s="98"/>
      <c r="E13" s="54"/>
      <c r="F13" s="54"/>
      <c r="H13" s="48"/>
      <c r="L13" s="99"/>
      <c r="M13" s="99"/>
      <c r="N13" s="48"/>
      <c r="T13" s="99"/>
      <c r="U13" s="54"/>
      <c r="V13" s="48"/>
      <c r="W13" s="54"/>
      <c r="X13" s="98"/>
      <c r="Y13" s="98"/>
      <c r="Z13" s="54"/>
      <c r="AA13" s="54"/>
      <c r="AB13" s="57"/>
      <c r="AC13" s="53"/>
      <c r="AD13" s="46"/>
      <c r="AE13" s="46"/>
      <c r="AF13" s="46"/>
      <c r="AG13" s="54"/>
      <c r="AH13" s="54"/>
      <c r="AI13" s="48"/>
      <c r="AJ13" s="54"/>
      <c r="AK13" s="98"/>
      <c r="AL13" s="54"/>
      <c r="AM13" s="54"/>
      <c r="AN13" s="54"/>
      <c r="AO13" s="48"/>
      <c r="AS13" s="48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48"/>
      <c r="BF13" s="54"/>
      <c r="BG13" s="48"/>
      <c r="BH13" s="48"/>
      <c r="BI13" s="98"/>
      <c r="BJ13" s="54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54"/>
      <c r="CA13" s="48"/>
      <c r="CB13" s="54"/>
      <c r="CC13" s="98"/>
      <c r="CD13" s="54"/>
      <c r="CE13" s="48"/>
      <c r="CH13" s="46" t="s">
        <v>81</v>
      </c>
      <c r="CI13" s="100">
        <v>1.01684</v>
      </c>
      <c r="CK13" s="48"/>
      <c r="CL13" s="54"/>
      <c r="CM13" s="48"/>
      <c r="CN13" s="48"/>
      <c r="CO13" s="98"/>
      <c r="CP13" s="54"/>
      <c r="CQ13" s="54"/>
      <c r="CR13" s="77"/>
      <c r="CS13" s="77"/>
      <c r="CT13" s="77"/>
      <c r="CU13" s="77"/>
      <c r="CV13" s="77"/>
      <c r="CW13" s="77"/>
      <c r="CX13" s="262"/>
      <c r="CY13" s="262"/>
      <c r="CZ13" s="262"/>
      <c r="DA13" s="262"/>
      <c r="DB13" s="262"/>
      <c r="DC13" s="101"/>
      <c r="DI13" s="101"/>
    </row>
    <row r="14" spans="1:134" ht="13.5" x14ac:dyDescent="0.35">
      <c r="F14" s="73"/>
      <c r="I14" s="102" t="s">
        <v>82</v>
      </c>
      <c r="J14" s="103"/>
      <c r="K14" s="103"/>
      <c r="L14" s="104"/>
      <c r="M14" s="67"/>
      <c r="O14" s="102" t="s">
        <v>83</v>
      </c>
      <c r="P14" s="102"/>
      <c r="Q14" s="103"/>
      <c r="R14" s="103"/>
      <c r="S14" s="103"/>
      <c r="T14" s="104"/>
      <c r="U14" s="77" t="s">
        <v>84</v>
      </c>
      <c r="V14" s="54"/>
      <c r="W14" s="73"/>
      <c r="X14" s="73"/>
      <c r="Y14" s="73" t="s">
        <v>18</v>
      </c>
      <c r="Z14" s="73"/>
      <c r="AB14" s="77" t="s">
        <v>84</v>
      </c>
      <c r="AC14" s="54"/>
      <c r="AD14" s="73"/>
      <c r="AE14" s="73" t="s">
        <v>18</v>
      </c>
      <c r="AF14" s="73"/>
      <c r="AH14" s="77" t="s">
        <v>84</v>
      </c>
      <c r="AI14" s="54"/>
      <c r="AJ14" s="73"/>
      <c r="AK14" s="73" t="s">
        <v>18</v>
      </c>
      <c r="AL14" s="73"/>
      <c r="AN14" s="77" t="s">
        <v>84</v>
      </c>
      <c r="AO14" s="54"/>
      <c r="AP14" s="73" t="s">
        <v>85</v>
      </c>
      <c r="AQ14" s="73" t="s">
        <v>18</v>
      </c>
      <c r="AR14" s="73"/>
      <c r="AT14" s="77" t="s">
        <v>84</v>
      </c>
      <c r="AU14" s="73"/>
      <c r="AV14" s="73" t="s">
        <v>85</v>
      </c>
      <c r="AW14" s="73" t="s">
        <v>18</v>
      </c>
      <c r="AX14" s="73"/>
      <c r="AZ14" s="77" t="s">
        <v>84</v>
      </c>
      <c r="BA14" s="73"/>
      <c r="BB14" s="73"/>
      <c r="BC14" s="73" t="s">
        <v>18</v>
      </c>
      <c r="BD14" s="73"/>
      <c r="BF14" s="77" t="s">
        <v>84</v>
      </c>
      <c r="BG14" s="54"/>
      <c r="BH14" s="73" t="s">
        <v>86</v>
      </c>
      <c r="BI14" s="73" t="s">
        <v>18</v>
      </c>
      <c r="BJ14" s="73"/>
      <c r="BL14" s="77" t="s">
        <v>84</v>
      </c>
      <c r="BM14" s="54"/>
      <c r="BN14" s="73" t="s">
        <v>85</v>
      </c>
      <c r="BO14" s="73" t="s">
        <v>18</v>
      </c>
      <c r="BP14" s="73"/>
      <c r="BR14" s="77" t="s">
        <v>84</v>
      </c>
      <c r="BS14" s="54"/>
      <c r="BT14" s="73"/>
      <c r="BU14" s="73" t="s">
        <v>87</v>
      </c>
      <c r="BV14" s="73" t="s">
        <v>88</v>
      </c>
      <c r="BW14" s="73" t="s">
        <v>18</v>
      </c>
      <c r="BX14" s="73" t="s">
        <v>9</v>
      </c>
      <c r="BZ14" s="77" t="s">
        <v>84</v>
      </c>
      <c r="CA14" s="54"/>
      <c r="CB14" s="73"/>
      <c r="CC14" s="73" t="s">
        <v>18</v>
      </c>
      <c r="CD14" s="73"/>
      <c r="CF14" s="77" t="s">
        <v>84</v>
      </c>
      <c r="CG14" s="54"/>
      <c r="CH14" s="73"/>
      <c r="CI14" s="73" t="s">
        <v>18</v>
      </c>
      <c r="CJ14" s="73"/>
      <c r="CL14" s="77" t="s">
        <v>84</v>
      </c>
      <c r="CM14" s="54"/>
      <c r="CN14" s="73"/>
      <c r="CO14" s="73" t="s">
        <v>18</v>
      </c>
      <c r="CP14" s="73"/>
      <c r="CQ14" s="73"/>
      <c r="CR14" s="77" t="s">
        <v>84</v>
      </c>
      <c r="CS14" s="54"/>
      <c r="CT14" s="73"/>
      <c r="CU14" s="73" t="s">
        <v>18</v>
      </c>
      <c r="CV14" s="73"/>
      <c r="CW14" s="73"/>
      <c r="CX14" s="77" t="s">
        <v>84</v>
      </c>
      <c r="CY14" s="54"/>
      <c r="CZ14" s="73"/>
      <c r="DA14" s="73"/>
      <c r="DB14" s="73"/>
      <c r="DI14" s="105"/>
    </row>
    <row r="15" spans="1:134" ht="13.5" x14ac:dyDescent="0.35">
      <c r="F15" s="106"/>
      <c r="I15" s="107"/>
      <c r="J15" s="69"/>
      <c r="K15" s="108" t="s">
        <v>89</v>
      </c>
      <c r="L15" s="104"/>
      <c r="M15" s="67"/>
      <c r="O15" s="107"/>
      <c r="P15" s="107"/>
      <c r="Q15" s="54"/>
      <c r="R15" s="54"/>
      <c r="S15" s="73" t="s">
        <v>90</v>
      </c>
      <c r="T15" s="104"/>
      <c r="U15" s="109" t="s">
        <v>91</v>
      </c>
      <c r="V15" s="110" t="s">
        <v>92</v>
      </c>
      <c r="W15" s="109"/>
      <c r="X15" s="109" t="s">
        <v>82</v>
      </c>
      <c r="Y15" s="109" t="s">
        <v>93</v>
      </c>
      <c r="Z15" s="109" t="s">
        <v>29</v>
      </c>
      <c r="AB15" s="109" t="s">
        <v>91</v>
      </c>
      <c r="AC15" s="110" t="s">
        <v>92</v>
      </c>
      <c r="AD15" s="109" t="s">
        <v>82</v>
      </c>
      <c r="AE15" s="109" t="s">
        <v>93</v>
      </c>
      <c r="AF15" s="109" t="s">
        <v>29</v>
      </c>
      <c r="AH15" s="109" t="s">
        <v>91</v>
      </c>
      <c r="AI15" s="110" t="s">
        <v>92</v>
      </c>
      <c r="AJ15" s="109" t="s">
        <v>82</v>
      </c>
      <c r="AK15" s="109" t="s">
        <v>93</v>
      </c>
      <c r="AL15" s="109" t="s">
        <v>29</v>
      </c>
      <c r="AN15" s="109" t="s">
        <v>91</v>
      </c>
      <c r="AO15" s="110" t="s">
        <v>92</v>
      </c>
      <c r="AP15" s="109" t="s">
        <v>94</v>
      </c>
      <c r="AQ15" s="109" t="s">
        <v>93</v>
      </c>
      <c r="AR15" s="109" t="s">
        <v>29</v>
      </c>
      <c r="AT15" s="109" t="s">
        <v>91</v>
      </c>
      <c r="AU15" s="110" t="s">
        <v>92</v>
      </c>
      <c r="AV15" s="109" t="s">
        <v>94</v>
      </c>
      <c r="AW15" s="109" t="s">
        <v>93</v>
      </c>
      <c r="AX15" s="109" t="s">
        <v>29</v>
      </c>
      <c r="AZ15" s="109" t="s">
        <v>91</v>
      </c>
      <c r="BA15" s="110" t="s">
        <v>92</v>
      </c>
      <c r="BB15" s="109" t="str">
        <f>+C17</f>
        <v>TEST YEAR</v>
      </c>
      <c r="BC15" s="109" t="s">
        <v>93</v>
      </c>
      <c r="BD15" s="109" t="s">
        <v>29</v>
      </c>
      <c r="BF15" s="109" t="s">
        <v>91</v>
      </c>
      <c r="BG15" s="110" t="s">
        <v>92</v>
      </c>
      <c r="BH15" s="109" t="str">
        <f>+C17</f>
        <v>TEST YEAR</v>
      </c>
      <c r="BI15" s="109" t="s">
        <v>93</v>
      </c>
      <c r="BJ15" s="109" t="s">
        <v>29</v>
      </c>
      <c r="BL15" s="109" t="s">
        <v>91</v>
      </c>
      <c r="BM15" s="110" t="s">
        <v>92</v>
      </c>
      <c r="BN15" s="109" t="s">
        <v>94</v>
      </c>
      <c r="BO15" s="109" t="s">
        <v>93</v>
      </c>
      <c r="BP15" s="109" t="s">
        <v>29</v>
      </c>
      <c r="BQ15" s="48"/>
      <c r="BR15" s="109" t="s">
        <v>91</v>
      </c>
      <c r="BS15" s="110" t="s">
        <v>92</v>
      </c>
      <c r="BT15" s="109" t="str">
        <f>+BN15</f>
        <v xml:space="preserve">ADJS. #3 &amp; #4 </v>
      </c>
      <c r="BU15" s="109" t="s">
        <v>95</v>
      </c>
      <c r="BV15" s="109" t="s">
        <v>96</v>
      </c>
      <c r="BW15" s="109" t="s">
        <v>93</v>
      </c>
      <c r="BX15" s="109" t="s">
        <v>29</v>
      </c>
      <c r="BZ15" s="109" t="s">
        <v>91</v>
      </c>
      <c r="CA15" s="110" t="s">
        <v>92</v>
      </c>
      <c r="CB15" s="109" t="s">
        <v>94</v>
      </c>
      <c r="CC15" s="109" t="s">
        <v>93</v>
      </c>
      <c r="CD15" s="109" t="s">
        <v>29</v>
      </c>
      <c r="CF15" s="109" t="s">
        <v>91</v>
      </c>
      <c r="CG15" s="110" t="s">
        <v>92</v>
      </c>
      <c r="CH15" s="109" t="s">
        <v>82</v>
      </c>
      <c r="CI15" s="109" t="s">
        <v>93</v>
      </c>
      <c r="CJ15" s="109" t="s">
        <v>29</v>
      </c>
      <c r="CL15" s="109" t="s">
        <v>91</v>
      </c>
      <c r="CM15" s="110" t="s">
        <v>92</v>
      </c>
      <c r="CN15" s="109" t="str">
        <f>+BH15</f>
        <v>TEST YEAR</v>
      </c>
      <c r="CO15" s="109" t="s">
        <v>93</v>
      </c>
      <c r="CP15" s="109" t="s">
        <v>29</v>
      </c>
      <c r="CQ15" s="69"/>
      <c r="CR15" s="109" t="s">
        <v>91</v>
      </c>
      <c r="CS15" s="110" t="s">
        <v>92</v>
      </c>
      <c r="CT15" s="109" t="str">
        <f>+BN15</f>
        <v xml:space="preserve">ADJS. #3 &amp; #4 </v>
      </c>
      <c r="CU15" s="109" t="s">
        <v>93</v>
      </c>
      <c r="CV15" s="109" t="s">
        <v>29</v>
      </c>
      <c r="CW15" s="111"/>
      <c r="CX15" s="109" t="s">
        <v>91</v>
      </c>
      <c r="CY15" s="110" t="s">
        <v>92</v>
      </c>
      <c r="CZ15" s="109"/>
      <c r="DA15" s="109"/>
      <c r="DB15" s="109" t="s">
        <v>97</v>
      </c>
      <c r="DI15" s="105"/>
    </row>
    <row r="16" spans="1:134" x14ac:dyDescent="0.3">
      <c r="A16" s="77" t="s">
        <v>84</v>
      </c>
      <c r="B16" s="54"/>
      <c r="C16" s="73"/>
      <c r="D16" s="73"/>
      <c r="E16" s="73"/>
      <c r="F16" s="48"/>
      <c r="G16" s="77" t="s">
        <v>84</v>
      </c>
      <c r="H16" s="54"/>
      <c r="I16" s="73" t="s">
        <v>98</v>
      </c>
      <c r="J16" s="73" t="s">
        <v>99</v>
      </c>
      <c r="K16" s="73" t="s">
        <v>100</v>
      </c>
      <c r="L16" s="112"/>
      <c r="M16" s="77" t="s">
        <v>84</v>
      </c>
      <c r="N16" s="54"/>
      <c r="O16" s="73" t="s">
        <v>98</v>
      </c>
      <c r="P16" s="73" t="s">
        <v>101</v>
      </c>
      <c r="Q16" s="73" t="s">
        <v>102</v>
      </c>
      <c r="R16" s="73"/>
      <c r="S16" s="73" t="s">
        <v>103</v>
      </c>
      <c r="T16" s="112"/>
      <c r="U16" s="98"/>
      <c r="V16" s="91"/>
      <c r="W16" s="48"/>
      <c r="Z16" s="48"/>
      <c r="AA16" s="73"/>
      <c r="AG16" s="73"/>
      <c r="AM16" s="69"/>
      <c r="AN16" s="48"/>
      <c r="AO16" s="91"/>
      <c r="AQ16" s="48"/>
      <c r="AR16" s="48"/>
      <c r="AS16" s="48"/>
      <c r="AT16" s="48"/>
      <c r="AU16" s="91"/>
      <c r="AW16" s="48"/>
      <c r="AX16" s="48"/>
      <c r="AY16" s="73"/>
      <c r="AZ16" s="48"/>
      <c r="BA16" s="91"/>
      <c r="BC16" s="48"/>
      <c r="BD16" s="48"/>
      <c r="BE16" s="48"/>
      <c r="BF16" s="48"/>
      <c r="BG16" s="113" t="s">
        <v>104</v>
      </c>
      <c r="BH16" s="114"/>
      <c r="BI16" s="48"/>
      <c r="BJ16" s="48"/>
      <c r="BK16" s="48"/>
      <c r="BL16" s="48"/>
      <c r="BM16" s="91"/>
      <c r="BN16" s="48"/>
      <c r="BO16" s="48"/>
      <c r="BP16" s="48"/>
      <c r="BQ16" s="48"/>
      <c r="BR16" s="48"/>
      <c r="BS16" s="91" t="s">
        <v>0</v>
      </c>
      <c r="BW16" s="48"/>
      <c r="BX16" s="48"/>
      <c r="BY16" s="48"/>
      <c r="BZ16" s="48"/>
      <c r="CA16" s="91"/>
      <c r="CC16" s="48"/>
      <c r="CD16" s="48"/>
      <c r="CE16" s="48"/>
      <c r="CF16" s="48"/>
      <c r="CG16" s="91"/>
      <c r="CI16" s="48"/>
      <c r="CJ16" s="48"/>
      <c r="CK16" s="48"/>
      <c r="CL16" s="48"/>
      <c r="CM16" s="91"/>
      <c r="CO16" s="48"/>
      <c r="CP16" s="48"/>
      <c r="CQ16" s="48"/>
      <c r="CR16" s="48"/>
      <c r="CS16" s="91"/>
      <c r="CT16" s="48"/>
      <c r="CU16" s="48"/>
      <c r="CV16" s="48"/>
      <c r="CW16" s="48"/>
      <c r="CX16" s="48"/>
      <c r="CY16" s="91"/>
      <c r="CZ16" s="48"/>
      <c r="DA16" s="48"/>
      <c r="DB16" s="48"/>
      <c r="DC16" s="105"/>
      <c r="DI16" s="115"/>
    </row>
    <row r="17" spans="1:119" x14ac:dyDescent="0.3">
      <c r="A17" s="109" t="s">
        <v>91</v>
      </c>
      <c r="B17" s="110" t="s">
        <v>92</v>
      </c>
      <c r="C17" s="109" t="s">
        <v>82</v>
      </c>
      <c r="D17" s="109" t="s">
        <v>93</v>
      </c>
      <c r="E17" s="109" t="s">
        <v>29</v>
      </c>
      <c r="F17" s="116"/>
      <c r="G17" s="109" t="s">
        <v>91</v>
      </c>
      <c r="H17" s="110" t="s">
        <v>105</v>
      </c>
      <c r="I17" s="117">
        <v>44012</v>
      </c>
      <c r="J17" s="109" t="s">
        <v>106</v>
      </c>
      <c r="K17" s="109" t="s">
        <v>107</v>
      </c>
      <c r="L17" s="104"/>
      <c r="M17" s="109" t="s">
        <v>91</v>
      </c>
      <c r="N17" s="110" t="s">
        <v>105</v>
      </c>
      <c r="O17" s="117">
        <v>44712</v>
      </c>
      <c r="P17" s="109" t="s">
        <v>106</v>
      </c>
      <c r="Q17" s="109" t="s">
        <v>108</v>
      </c>
      <c r="R17" s="69"/>
      <c r="S17" s="118">
        <v>1.01684</v>
      </c>
      <c r="T17" s="104"/>
      <c r="U17" s="98">
        <v>1</v>
      </c>
      <c r="V17" s="119" t="s">
        <v>109</v>
      </c>
      <c r="W17" s="119"/>
      <c r="X17" s="120"/>
      <c r="Y17" s="121"/>
      <c r="Z17" s="121"/>
      <c r="AA17" s="69"/>
      <c r="AB17" s="98">
        <v>1</v>
      </c>
      <c r="AC17" s="57" t="s">
        <v>110</v>
      </c>
      <c r="AD17" s="53"/>
      <c r="AE17" s="53"/>
      <c r="AF17" s="53"/>
      <c r="AG17" s="69"/>
      <c r="AH17" s="98">
        <v>1</v>
      </c>
      <c r="AI17" s="54" t="s">
        <v>110</v>
      </c>
      <c r="AJ17" s="48"/>
      <c r="AK17" s="48"/>
      <c r="AL17" s="48"/>
      <c r="AM17" s="69"/>
      <c r="AN17" s="98">
        <v>1</v>
      </c>
      <c r="AO17" s="122" t="s">
        <v>111</v>
      </c>
      <c r="AP17" s="48"/>
      <c r="AQ17" s="48"/>
      <c r="AR17" s="48"/>
      <c r="AS17" s="48"/>
      <c r="AT17" s="98">
        <v>1</v>
      </c>
      <c r="AU17" s="123" t="s">
        <v>112</v>
      </c>
      <c r="AY17" s="69"/>
      <c r="AZ17" s="98">
        <v>1</v>
      </c>
      <c r="BA17" s="124" t="s">
        <v>113</v>
      </c>
      <c r="BE17" s="48"/>
      <c r="BF17" s="98">
        <v>1</v>
      </c>
      <c r="BG17" s="112" t="s">
        <v>114</v>
      </c>
      <c r="BH17" s="125">
        <v>62500.000000000466</v>
      </c>
      <c r="BI17" s="125">
        <v>0</v>
      </c>
      <c r="BJ17" s="126">
        <f>BI17-BH17</f>
        <v>-62500.000000000466</v>
      </c>
      <c r="BK17" s="48"/>
      <c r="BL17" s="98">
        <v>1</v>
      </c>
      <c r="BM17" s="127" t="s">
        <v>115</v>
      </c>
      <c r="BN17" s="128"/>
      <c r="BO17" s="128"/>
      <c r="BP17" s="128"/>
      <c r="BQ17" s="48"/>
      <c r="BR17" s="98">
        <v>1</v>
      </c>
      <c r="BS17" s="128" t="s">
        <v>116</v>
      </c>
      <c r="BT17" s="129"/>
      <c r="BU17" s="129"/>
      <c r="BV17" s="129"/>
      <c r="BW17" s="129"/>
      <c r="BX17" s="48"/>
      <c r="BY17" s="48"/>
      <c r="BZ17" s="130">
        <v>1</v>
      </c>
      <c r="CA17" s="131" t="s">
        <v>117</v>
      </c>
      <c r="CB17" s="131"/>
      <c r="CC17" s="131"/>
      <c r="CD17" s="131"/>
      <c r="CE17" s="48"/>
      <c r="CF17" s="98">
        <v>1</v>
      </c>
      <c r="CG17" s="113" t="s">
        <v>118</v>
      </c>
      <c r="CH17" s="129"/>
      <c r="CI17" s="129"/>
      <c r="CJ17" s="129"/>
      <c r="CK17" s="48"/>
      <c r="CL17" s="98">
        <v>1</v>
      </c>
      <c r="CM17" s="132"/>
      <c r="CN17" s="121"/>
      <c r="CO17" s="121"/>
      <c r="CP17" s="121"/>
      <c r="CQ17" s="48"/>
      <c r="CR17" s="98">
        <v>1</v>
      </c>
      <c r="CS17"/>
      <c r="CT17"/>
      <c r="CU17"/>
      <c r="CV17"/>
      <c r="CW17" s="133"/>
      <c r="CX17" s="98">
        <v>1</v>
      </c>
      <c r="CY17" s="112" t="s">
        <v>119</v>
      </c>
      <c r="CZ17" s="48"/>
      <c r="DA17" s="134"/>
      <c r="DB17" s="135">
        <v>8.4790000000000004E-3</v>
      </c>
      <c r="DC17" s="105"/>
      <c r="DD17" s="48"/>
      <c r="DE17" s="48"/>
      <c r="DF17" s="48"/>
      <c r="DG17" s="48"/>
      <c r="DH17" s="48"/>
      <c r="DI17" s="136"/>
      <c r="DJ17" s="48"/>
      <c r="DK17" s="48"/>
      <c r="DL17" s="48"/>
      <c r="DM17" s="48"/>
      <c r="DN17" s="48"/>
      <c r="DO17" s="48"/>
    </row>
    <row r="18" spans="1:119" ht="14" thickBot="1" x14ac:dyDescent="0.4">
      <c r="A18" s="48"/>
      <c r="B18" s="91"/>
      <c r="D18" s="48"/>
      <c r="E18" s="48"/>
      <c r="F18" s="116"/>
      <c r="H18" s="91"/>
      <c r="L18" s="112"/>
      <c r="M18" s="48"/>
      <c r="N18" s="91"/>
      <c r="O18" s="98"/>
      <c r="P18" s="98"/>
      <c r="Q18" s="48"/>
      <c r="R18" s="128"/>
      <c r="S18" s="98"/>
      <c r="T18" s="112"/>
      <c r="U18" s="98">
        <f t="shared" ref="U18:U21" si="0">+U17+1</f>
        <v>2</v>
      </c>
      <c r="V18" s="137" t="s">
        <v>120</v>
      </c>
      <c r="W18" s="138"/>
      <c r="X18" s="139">
        <v>1116935.45</v>
      </c>
      <c r="Y18" s="140">
        <v>797064.36743651982</v>
      </c>
      <c r="Z18" s="140">
        <f>+Y18-X18</f>
        <v>-319871.08256348013</v>
      </c>
      <c r="AA18" s="48"/>
      <c r="AB18" s="98">
        <f>AB17+1</f>
        <v>2</v>
      </c>
      <c r="AC18" s="53"/>
      <c r="AD18" s="53"/>
      <c r="AE18" s="53"/>
      <c r="AF18" s="53"/>
      <c r="AG18" s="48"/>
      <c r="AH18" s="98">
        <f>AH17+1</f>
        <v>2</v>
      </c>
      <c r="AJ18" s="48"/>
      <c r="AK18" s="48"/>
      <c r="AL18" s="48"/>
      <c r="AM18" s="128"/>
      <c r="AN18" s="98">
        <f t="shared" ref="AN18:AN28" si="1">AN17+1</f>
        <v>2</v>
      </c>
      <c r="AO18" s="141" t="s">
        <v>121</v>
      </c>
      <c r="AP18" s="125">
        <v>2683622.25</v>
      </c>
      <c r="AQ18" s="125">
        <v>0</v>
      </c>
      <c r="AR18" s="121">
        <f>AQ18-AP18</f>
        <v>-2683622.25</v>
      </c>
      <c r="AS18" s="48"/>
      <c r="AT18" s="98">
        <v>2</v>
      </c>
      <c r="AU18" s="142" t="s">
        <v>122</v>
      </c>
      <c r="AY18" s="48"/>
      <c r="AZ18" s="98">
        <f t="shared" ref="AZ18:AZ19" si="2">AZ17+1</f>
        <v>2</v>
      </c>
      <c r="BA18" s="104" t="s">
        <v>123</v>
      </c>
      <c r="BB18" s="143">
        <v>3549801.75</v>
      </c>
      <c r="BC18" s="143">
        <v>3609732</v>
      </c>
      <c r="BD18" s="144">
        <f>+BC18-BB18</f>
        <v>59930.25</v>
      </c>
      <c r="BE18" s="48"/>
      <c r="BF18" s="98">
        <f t="shared" ref="BF18:BF56" si="3">BF17+1</f>
        <v>2</v>
      </c>
      <c r="BG18" s="112" t="s">
        <v>124</v>
      </c>
      <c r="BH18" s="145">
        <v>45753.118444445863</v>
      </c>
      <c r="BI18" s="145">
        <v>-0.20155555414385162</v>
      </c>
      <c r="BJ18" s="47">
        <f t="shared" ref="BJ18:BJ32" si="4">BI18-BH18</f>
        <v>-45753.320000000007</v>
      </c>
      <c r="BK18" s="48"/>
      <c r="BL18" s="98">
        <v>2</v>
      </c>
      <c r="BM18" s="146"/>
      <c r="BN18" s="48"/>
      <c r="BO18" s="48"/>
      <c r="BP18" s="48"/>
      <c r="BQ18" s="48"/>
      <c r="BR18" s="98">
        <f t="shared" ref="BR18:BR24" si="5">BR17+1</f>
        <v>2</v>
      </c>
      <c r="BS18" s="147" t="s">
        <v>125</v>
      </c>
      <c r="BT18" s="121">
        <v>24694365.932500001</v>
      </c>
      <c r="BU18" s="121">
        <f>AE38</f>
        <v>110897621.825</v>
      </c>
      <c r="BV18" s="121">
        <v>-150652868.28645569</v>
      </c>
      <c r="BW18" s="121">
        <f>BU18+BV18</f>
        <v>-39755246.461455688</v>
      </c>
      <c r="BX18" s="121">
        <f>BW18-BU18</f>
        <v>-150652868.28645569</v>
      </c>
      <c r="BY18" s="48"/>
      <c r="BZ18" s="130">
        <v>2</v>
      </c>
      <c r="CA18" s="131" t="s">
        <v>126</v>
      </c>
      <c r="CB18" s="148">
        <v>0</v>
      </c>
      <c r="CC18" s="148">
        <v>0</v>
      </c>
      <c r="CD18" s="148">
        <f>CC18-CB18</f>
        <v>0</v>
      </c>
      <c r="CE18" s="48"/>
      <c r="CF18" s="98">
        <f t="shared" ref="CF18:CF25" si="6">CF17+1</f>
        <v>2</v>
      </c>
      <c r="CG18" s="137" t="s">
        <v>127</v>
      </c>
      <c r="CH18" s="139">
        <v>0</v>
      </c>
      <c r="CI18" s="149">
        <v>919072.07222625264</v>
      </c>
      <c r="CJ18" s="149">
        <f>SUM(CH18:CI18)</f>
        <v>919072.07222625264</v>
      </c>
      <c r="CK18" s="48"/>
      <c r="CL18" s="98">
        <f t="shared" ref="CL18:CL31" si="7">CL17+1</f>
        <v>2</v>
      </c>
      <c r="CM18" s="147"/>
      <c r="CN18" s="121"/>
      <c r="CO18" s="121"/>
      <c r="CP18" s="121">
        <f>+CO18-CN18</f>
        <v>0</v>
      </c>
      <c r="CQ18" s="48"/>
      <c r="CR18" s="98">
        <f>CR17+1</f>
        <v>2</v>
      </c>
      <c r="CS18"/>
      <c r="CT18"/>
      <c r="CU18"/>
      <c r="CV18"/>
      <c r="CW18" s="133"/>
      <c r="CX18" s="98">
        <v>2</v>
      </c>
      <c r="CY18" s="112" t="s">
        <v>128</v>
      </c>
      <c r="CZ18" s="48"/>
      <c r="DA18" s="134"/>
      <c r="DB18" s="135">
        <v>2E-3</v>
      </c>
      <c r="DC18" s="115"/>
      <c r="DD18" s="48"/>
      <c r="DE18" s="48"/>
      <c r="DF18" s="48"/>
      <c r="DG18" s="48"/>
      <c r="DH18" s="48"/>
      <c r="DI18" s="150"/>
      <c r="DJ18" s="48"/>
      <c r="DK18" s="48"/>
      <c r="DL18" s="48"/>
      <c r="DM18" s="48"/>
      <c r="DN18" s="48"/>
      <c r="DO18" s="48"/>
    </row>
    <row r="19" spans="1:119" ht="14" thickTop="1" x14ac:dyDescent="0.35">
      <c r="A19" s="98">
        <v>1</v>
      </c>
      <c r="B19" s="112" t="s">
        <v>129</v>
      </c>
      <c r="C19" s="121">
        <f>+'SEF-15 Adjustments'!K19</f>
        <v>81044146.280000001</v>
      </c>
      <c r="D19" s="151">
        <f>+'SEF-15 Adjustments'!S19</f>
        <v>41909417.092460752</v>
      </c>
      <c r="E19" s="152">
        <f t="shared" ref="E19:E26" si="8">+D19-C19</f>
        <v>-39134729.18753925</v>
      </c>
      <c r="F19" s="116"/>
      <c r="G19" s="98">
        <v>1</v>
      </c>
      <c r="H19" s="112" t="s">
        <v>129</v>
      </c>
      <c r="I19" s="153">
        <v>81044146.280000001</v>
      </c>
      <c r="J19" s="153">
        <v>0</v>
      </c>
      <c r="K19" s="154">
        <f t="shared" ref="K19:K26" si="9">SUM(I19:J19)</f>
        <v>81044146.280000001</v>
      </c>
      <c r="L19" s="154"/>
      <c r="M19" s="98">
        <v>1</v>
      </c>
      <c r="N19" s="112" t="s">
        <v>129</v>
      </c>
      <c r="O19" s="155">
        <v>41215350.588549577</v>
      </c>
      <c r="P19" s="154">
        <v>0</v>
      </c>
      <c r="Q19" s="155">
        <f>SUM(O19:P19)</f>
        <v>41215350.588549577</v>
      </c>
      <c r="R19" s="129"/>
      <c r="S19" s="155">
        <f t="shared" ref="S19:S23" si="10">Q19*$S$17</f>
        <v>41909417.092460752</v>
      </c>
      <c r="T19" s="112"/>
      <c r="U19" s="98">
        <f t="shared" si="0"/>
        <v>3</v>
      </c>
      <c r="V19" s="137" t="s">
        <v>130</v>
      </c>
      <c r="W19" s="137"/>
      <c r="X19" s="156">
        <f>+X18</f>
        <v>1116935.45</v>
      </c>
      <c r="Y19" s="157">
        <f t="shared" ref="Y19:Z19" si="11">+Y18</f>
        <v>797064.36743651982</v>
      </c>
      <c r="Z19" s="157">
        <f t="shared" si="11"/>
        <v>-319871.08256348013</v>
      </c>
      <c r="AA19" s="48"/>
      <c r="AB19" s="98">
        <f t="shared" ref="AB19:AB37" si="12">AB18+1</f>
        <v>3</v>
      </c>
      <c r="AC19" s="158" t="s">
        <v>131</v>
      </c>
      <c r="AD19" s="159">
        <v>418626650.62125003</v>
      </c>
      <c r="AE19" s="159">
        <v>336350908.62000006</v>
      </c>
      <c r="AF19" s="159">
        <f>AE19-AD19</f>
        <v>-82275742.001249969</v>
      </c>
      <c r="AG19" s="48"/>
      <c r="AH19" s="98">
        <f t="shared" ref="AH19:AH44" si="13">AH18+1</f>
        <v>3</v>
      </c>
      <c r="AI19" s="46" t="s">
        <v>132</v>
      </c>
      <c r="AJ19" s="125">
        <v>129583081.42000031</v>
      </c>
      <c r="AK19" s="125">
        <v>121228083.29346541</v>
      </c>
      <c r="AL19" s="125">
        <f>AK19-AJ19</f>
        <v>-8354998.126534909</v>
      </c>
      <c r="AM19" s="129"/>
      <c r="AN19" s="98">
        <f t="shared" si="1"/>
        <v>3</v>
      </c>
      <c r="AO19" s="141" t="s">
        <v>133</v>
      </c>
      <c r="AP19" s="145">
        <v>-1777545.5254166669</v>
      </c>
      <c r="AQ19" s="145">
        <v>0</v>
      </c>
      <c r="AR19" s="160">
        <f>AQ19-AP19</f>
        <v>1777545.5254166669</v>
      </c>
      <c r="AS19" s="48"/>
      <c r="AT19" s="98">
        <v>3</v>
      </c>
      <c r="AU19" s="161" t="s">
        <v>121</v>
      </c>
      <c r="AV19" s="121">
        <v>4539303</v>
      </c>
      <c r="AW19" s="121">
        <v>0</v>
      </c>
      <c r="AX19" s="121">
        <f>AW19-AV19</f>
        <v>-4539303</v>
      </c>
      <c r="AY19" s="48"/>
      <c r="AZ19" s="98">
        <f t="shared" si="2"/>
        <v>3</v>
      </c>
      <c r="BA19" s="162" t="s">
        <v>134</v>
      </c>
      <c r="BB19" s="121">
        <f>SUM(BB18:BB18)</f>
        <v>3549801.75</v>
      </c>
      <c r="BC19" s="121">
        <f>SUM(BC18:BC18)</f>
        <v>3609732</v>
      </c>
      <c r="BD19" s="121">
        <f>BC19-BB19</f>
        <v>59930.25</v>
      </c>
      <c r="BE19" s="48"/>
      <c r="BF19" s="98">
        <f t="shared" si="3"/>
        <v>3</v>
      </c>
      <c r="BG19" s="112" t="s">
        <v>135</v>
      </c>
      <c r="BH19" s="145">
        <v>62723.058252429</v>
      </c>
      <c r="BI19" s="145">
        <v>-0.32174757100438001</v>
      </c>
      <c r="BJ19" s="47">
        <f t="shared" si="4"/>
        <v>-62723.380000000005</v>
      </c>
      <c r="BK19" s="48"/>
      <c r="BL19" s="98">
        <v>3</v>
      </c>
      <c r="BM19" s="163" t="s">
        <v>136</v>
      </c>
      <c r="BN19" s="48"/>
      <c r="BO19" s="48"/>
      <c r="BP19" s="48"/>
      <c r="BQ19" s="48"/>
      <c r="BR19" s="98">
        <v>3</v>
      </c>
      <c r="BS19" s="147" t="s">
        <v>137</v>
      </c>
      <c r="BT19" s="164">
        <v>-5185816.8458333332</v>
      </c>
      <c r="BU19" s="164">
        <f>AE39</f>
        <v>-23288500.583250001</v>
      </c>
      <c r="BV19" s="164">
        <v>31637102.340155691</v>
      </c>
      <c r="BW19" s="164">
        <f>BU19+BV19</f>
        <v>8348601.7569056898</v>
      </c>
      <c r="BX19" s="164">
        <f>BW19-BU19</f>
        <v>31637102.340155691</v>
      </c>
      <c r="BY19" s="48"/>
      <c r="BZ19" s="130">
        <v>3</v>
      </c>
      <c r="CA19" s="131" t="s">
        <v>138</v>
      </c>
      <c r="CB19" s="131"/>
      <c r="CC19" s="131"/>
      <c r="CD19" s="131"/>
      <c r="CE19" s="129"/>
      <c r="CF19" s="98">
        <f t="shared" si="6"/>
        <v>3</v>
      </c>
      <c r="CG19" s="137" t="s">
        <v>139</v>
      </c>
      <c r="CH19" s="139">
        <v>0</v>
      </c>
      <c r="CI19" s="149">
        <v>-193005.13516751316</v>
      </c>
      <c r="CJ19" s="140">
        <f>SUM(CH19:CI19)</f>
        <v>-193005.13516751316</v>
      </c>
      <c r="CK19" s="48"/>
      <c r="CL19" s="98">
        <f t="shared" si="7"/>
        <v>3</v>
      </c>
      <c r="CM19" s="147"/>
      <c r="CN19" s="139"/>
      <c r="CO19" s="139"/>
      <c r="CP19" s="139">
        <f>+CO19-CN19</f>
        <v>0</v>
      </c>
      <c r="CQ19" s="48"/>
      <c r="CR19" s="98">
        <f t="shared" ref="CR19:CR29" si="14">CR18+1</f>
        <v>3</v>
      </c>
      <c r="CS19"/>
      <c r="CT19"/>
      <c r="CU19"/>
      <c r="CV19"/>
      <c r="CW19" s="133"/>
      <c r="CX19" s="98">
        <v>3</v>
      </c>
      <c r="CY19" s="112" t="str">
        <f>"STATE UTILITY TAX ( ( 1 - LINE 1 ) * "&amp;DA19*100&amp;"% )"</f>
        <v>STATE UTILITY TAX ( ( 1 - LINE 1 ) * 3.8734% )</v>
      </c>
      <c r="CZ19" s="48"/>
      <c r="DA19" s="165">
        <v>3.8733999999999998E-2</v>
      </c>
      <c r="DB19" s="166">
        <v>3.8406000000000003E-2</v>
      </c>
      <c r="DC19" s="136"/>
      <c r="DD19" s="48"/>
      <c r="DE19" s="48"/>
      <c r="DF19" s="48"/>
      <c r="DG19" s="48"/>
      <c r="DH19" s="48"/>
      <c r="DI19" s="150"/>
      <c r="DJ19" s="48"/>
      <c r="DK19" s="48"/>
      <c r="DL19" s="48"/>
      <c r="DM19" s="48"/>
      <c r="DN19" s="48"/>
      <c r="DO19" s="48"/>
    </row>
    <row r="20" spans="1:119" ht="14" thickBot="1" x14ac:dyDescent="0.4">
      <c r="A20" s="98">
        <f t="shared" ref="A20:A33" si="15">A19+1</f>
        <v>2</v>
      </c>
      <c r="B20" s="112" t="s">
        <v>140</v>
      </c>
      <c r="C20" s="139">
        <f>+'SEF-15 Adjustments'!K20</f>
        <v>183617976.11000001</v>
      </c>
      <c r="D20" s="140">
        <f>+'SEF-15 Adjustments'!S20</f>
        <v>146911812.44474319</v>
      </c>
      <c r="E20" s="140">
        <f t="shared" si="8"/>
        <v>-36706163.665256828</v>
      </c>
      <c r="F20" s="167"/>
      <c r="G20" s="98">
        <f>G19+1</f>
        <v>2</v>
      </c>
      <c r="H20" s="112" t="s">
        <v>140</v>
      </c>
      <c r="I20" s="153">
        <v>183617976.11000001</v>
      </c>
      <c r="J20" s="153">
        <v>0</v>
      </c>
      <c r="K20" s="153">
        <f t="shared" si="9"/>
        <v>183617976.11000001</v>
      </c>
      <c r="L20" s="153"/>
      <c r="M20" s="98">
        <f>M19+1</f>
        <v>2</v>
      </c>
      <c r="N20" s="112" t="s">
        <v>140</v>
      </c>
      <c r="O20" s="149">
        <v>144478789.62741747</v>
      </c>
      <c r="P20" s="153">
        <v>0</v>
      </c>
      <c r="Q20" s="149">
        <f t="shared" ref="Q20:Q26" si="16">SUM(O20:P20)</f>
        <v>144478789.62741747</v>
      </c>
      <c r="R20" s="139"/>
      <c r="S20" s="149">
        <f t="shared" si="10"/>
        <v>146911812.44474319</v>
      </c>
      <c r="T20" s="154"/>
      <c r="U20" s="98">
        <f t="shared" si="0"/>
        <v>4</v>
      </c>
      <c r="V20" s="137" t="s">
        <v>141</v>
      </c>
      <c r="W20" s="168">
        <v>1.01684</v>
      </c>
      <c r="X20" s="169"/>
      <c r="Y20" s="170">
        <f>-(1-W20)*Y19</f>
        <v>13422.563947630966</v>
      </c>
      <c r="Z20" s="140">
        <f>+Y20-X20</f>
        <v>13422.563947630966</v>
      </c>
      <c r="AA20" s="48"/>
      <c r="AB20" s="98">
        <f t="shared" si="12"/>
        <v>4</v>
      </c>
      <c r="AC20" s="158" t="s">
        <v>142</v>
      </c>
      <c r="AD20" s="171">
        <v>532612048.31958318</v>
      </c>
      <c r="AE20" s="171">
        <v>524035174.56000006</v>
      </c>
      <c r="AF20" s="171">
        <f t="shared" ref="AF20:AF32" si="17">AE20-AD20</f>
        <v>-8576873.7595831156</v>
      </c>
      <c r="AG20" s="48"/>
      <c r="AH20" s="98">
        <f t="shared" si="13"/>
        <v>4</v>
      </c>
      <c r="AI20" s="46" t="s">
        <v>143</v>
      </c>
      <c r="AJ20" s="164">
        <v>1201842.0499999998</v>
      </c>
      <c r="AK20" s="164">
        <v>1193954.9999999995</v>
      </c>
      <c r="AL20" s="164">
        <f t="shared" ref="AL20" si="18">AK20-AJ20</f>
        <v>-7887.0500000002794</v>
      </c>
      <c r="AM20" s="139"/>
      <c r="AN20" s="98">
        <f t="shared" si="1"/>
        <v>4</v>
      </c>
      <c r="AO20" s="141" t="s">
        <v>137</v>
      </c>
      <c r="AP20" s="164">
        <v>-847014.5392203785</v>
      </c>
      <c r="AQ20" s="164">
        <v>0</v>
      </c>
      <c r="AR20" s="160">
        <f>AQ20-AP20</f>
        <v>847014.5392203785</v>
      </c>
      <c r="AS20" s="48"/>
      <c r="AT20" s="98">
        <v>4</v>
      </c>
      <c r="AU20" s="161" t="s">
        <v>144</v>
      </c>
      <c r="AV20" s="160">
        <v>-2438000</v>
      </c>
      <c r="AW20" s="160">
        <v>0</v>
      </c>
      <c r="AX20" s="145">
        <f>AW20-AV20</f>
        <v>2438000</v>
      </c>
      <c r="AY20" s="121"/>
      <c r="BE20" s="48"/>
      <c r="BF20" s="98">
        <f t="shared" si="3"/>
        <v>4</v>
      </c>
      <c r="BG20" s="112" t="s">
        <v>145</v>
      </c>
      <c r="BH20" s="145">
        <v>8929369.2699999958</v>
      </c>
      <c r="BI20" s="145">
        <v>7465974.1908618575</v>
      </c>
      <c r="BJ20" s="47">
        <f t="shared" si="4"/>
        <v>-1463395.0791381383</v>
      </c>
      <c r="BK20" s="48"/>
      <c r="BL20" s="98">
        <v>4</v>
      </c>
      <c r="BM20" s="146" t="s">
        <v>146</v>
      </c>
      <c r="BN20" s="125">
        <v>24173718.963481996</v>
      </c>
      <c r="BO20" s="125">
        <v>41096273.81753172</v>
      </c>
      <c r="BP20" s="125">
        <f>BO20-BN20</f>
        <v>16922554.854049724</v>
      </c>
      <c r="BQ20" s="48"/>
      <c r="BR20" s="98">
        <f t="shared" si="5"/>
        <v>4</v>
      </c>
      <c r="BS20" s="147" t="s">
        <v>147</v>
      </c>
      <c r="BT20" s="172">
        <v>19508549.086666666</v>
      </c>
      <c r="BU20" s="172">
        <v>87609121.241750002</v>
      </c>
      <c r="BV20" s="172">
        <v>-119015765.9463</v>
      </c>
      <c r="BW20" s="172">
        <v>-31406644.704549998</v>
      </c>
      <c r="BX20" s="172">
        <v>-119015765.9463</v>
      </c>
      <c r="BY20" s="48"/>
      <c r="BZ20" s="130">
        <v>4</v>
      </c>
      <c r="CA20" s="131" t="s">
        <v>138</v>
      </c>
      <c r="CB20" s="131"/>
      <c r="CC20" s="131"/>
      <c r="CD20" s="131"/>
      <c r="CE20" s="129"/>
      <c r="CF20" s="98">
        <f t="shared" si="6"/>
        <v>4</v>
      </c>
      <c r="CG20" s="137" t="s">
        <v>148</v>
      </c>
      <c r="CH20" s="156">
        <f>SUM(CH18:CH19)</f>
        <v>0</v>
      </c>
      <c r="CI20" s="157">
        <f t="shared" ref="CI20:CJ20" si="19">SUM(CI18:CI19)</f>
        <v>726066.93705873948</v>
      </c>
      <c r="CJ20" s="157">
        <f t="shared" si="19"/>
        <v>726066.93705873948</v>
      </c>
      <c r="CK20" s="48"/>
      <c r="CL20" s="98">
        <f t="shared" si="7"/>
        <v>4</v>
      </c>
      <c r="CM20" s="147"/>
      <c r="CN20" s="139"/>
      <c r="CO20" s="139"/>
      <c r="CP20" s="139">
        <f>+CO20-CN20</f>
        <v>0</v>
      </c>
      <c r="CQ20" s="48"/>
      <c r="CR20" s="98">
        <f>CR19+1</f>
        <v>4</v>
      </c>
      <c r="CS20"/>
      <c r="CT20"/>
      <c r="CU20"/>
      <c r="CV20"/>
      <c r="CW20" s="133"/>
      <c r="CX20" s="98">
        <v>4</v>
      </c>
      <c r="CY20" s="112"/>
      <c r="CZ20" s="48"/>
      <c r="DA20" s="48"/>
      <c r="DB20" s="173"/>
      <c r="DC20" s="150"/>
      <c r="DD20" s="48"/>
      <c r="DE20" s="48"/>
      <c r="DF20" s="48"/>
      <c r="DG20" s="48"/>
      <c r="DH20" s="48"/>
      <c r="DI20" s="150"/>
      <c r="DJ20" s="48"/>
      <c r="DK20" s="48"/>
      <c r="DL20" s="48"/>
      <c r="DM20" s="48"/>
      <c r="DN20" s="48"/>
      <c r="DO20" s="48"/>
    </row>
    <row r="21" spans="1:119" ht="14.5" thickTop="1" thickBot="1" x14ac:dyDescent="0.4">
      <c r="A21" s="98">
        <f t="shared" si="15"/>
        <v>3</v>
      </c>
      <c r="B21" s="112" t="s">
        <v>149</v>
      </c>
      <c r="C21" s="133">
        <f>+'SEF-15 Adjustments'!K21</f>
        <v>535009174.27999997</v>
      </c>
      <c r="D21" s="140">
        <f>+'SEF-15 Adjustments'!S21</f>
        <v>528564730.94858474</v>
      </c>
      <c r="E21" s="140">
        <f t="shared" si="8"/>
        <v>-6444443.331415236</v>
      </c>
      <c r="F21" s="48"/>
      <c r="G21" s="98">
        <f>G20+1</f>
        <v>3</v>
      </c>
      <c r="H21" s="112" t="s">
        <v>149</v>
      </c>
      <c r="I21" s="153">
        <v>535009174.27999997</v>
      </c>
      <c r="J21" s="153">
        <v>0</v>
      </c>
      <c r="K21" s="153">
        <f t="shared" si="9"/>
        <v>535009174.27999997</v>
      </c>
      <c r="L21" s="153"/>
      <c r="M21" s="98">
        <f>M20+1</f>
        <v>3</v>
      </c>
      <c r="N21" s="112" t="s">
        <v>149</v>
      </c>
      <c r="O21" s="149">
        <v>519811111.82544428</v>
      </c>
      <c r="P21" s="153">
        <v>0</v>
      </c>
      <c r="Q21" s="149">
        <f t="shared" si="16"/>
        <v>519811111.82544428</v>
      </c>
      <c r="R21" s="139"/>
      <c r="S21" s="149">
        <f t="shared" si="10"/>
        <v>528564730.94858474</v>
      </c>
      <c r="T21" s="153"/>
      <c r="U21" s="98">
        <f t="shared" si="0"/>
        <v>5</v>
      </c>
      <c r="V21" s="130" t="s">
        <v>150</v>
      </c>
      <c r="X21" s="156">
        <f>SUM(X19:X20)</f>
        <v>1116935.45</v>
      </c>
      <c r="Y21" s="157">
        <f t="shared" ref="Y21:Z21" si="20">SUM(Y19:Y20)</f>
        <v>810486.93138415075</v>
      </c>
      <c r="Z21" s="157">
        <f t="shared" si="20"/>
        <v>-306448.51861584914</v>
      </c>
      <c r="AA21" s="129"/>
      <c r="AB21" s="98">
        <f t="shared" si="12"/>
        <v>5</v>
      </c>
      <c r="AC21" s="158" t="s">
        <v>151</v>
      </c>
      <c r="AD21" s="171">
        <v>1116884837.384584</v>
      </c>
      <c r="AE21" s="171">
        <v>1095820012.71</v>
      </c>
      <c r="AF21" s="171">
        <f t="shared" si="17"/>
        <v>-21064824.674583912</v>
      </c>
      <c r="AG21" s="129"/>
      <c r="AH21" s="98">
        <f t="shared" si="13"/>
        <v>5</v>
      </c>
      <c r="AI21" s="46" t="s">
        <v>152</v>
      </c>
      <c r="AJ21" s="145">
        <v>130784923.47000031</v>
      </c>
      <c r="AK21" s="145">
        <v>122422038.29346541</v>
      </c>
      <c r="AL21" s="145">
        <v>-8362885.1765349098</v>
      </c>
      <c r="AM21" s="129"/>
      <c r="AN21" s="98">
        <f t="shared" si="1"/>
        <v>5</v>
      </c>
      <c r="AO21" s="147" t="s">
        <v>153</v>
      </c>
      <c r="AP21" s="172">
        <f>SUM(AP18:AP20)</f>
        <v>59062.185362954624</v>
      </c>
      <c r="AQ21" s="172">
        <f>SUM(AQ18:AQ20)</f>
        <v>0</v>
      </c>
      <c r="AR21" s="172">
        <f>SUM(AR18:AR20)</f>
        <v>-59062.185362954624</v>
      </c>
      <c r="AS21" s="48"/>
      <c r="AT21" s="98">
        <v>5</v>
      </c>
      <c r="AU21" s="161" t="s">
        <v>137</v>
      </c>
      <c r="AV21" s="164">
        <v>-699320.98</v>
      </c>
      <c r="AW21" s="164">
        <v>0</v>
      </c>
      <c r="AX21" s="164">
        <f>AW21-AV21</f>
        <v>699320.98</v>
      </c>
      <c r="AY21" s="160"/>
      <c r="BE21" s="48"/>
      <c r="BF21" s="98">
        <f t="shared" si="3"/>
        <v>5</v>
      </c>
      <c r="BG21" s="112" t="s">
        <v>154</v>
      </c>
      <c r="BH21" s="145">
        <v>72210989.068333358</v>
      </c>
      <c r="BI21" s="145">
        <v>64796327.29774306</v>
      </c>
      <c r="BJ21" s="47">
        <f t="shared" si="4"/>
        <v>-7414661.7705902979</v>
      </c>
      <c r="BK21" s="48"/>
      <c r="BL21" s="98">
        <v>5</v>
      </c>
      <c r="BM21" s="146"/>
      <c r="BN21" s="153"/>
      <c r="BO21" s="153"/>
      <c r="BP21" s="153"/>
      <c r="BQ21" s="48"/>
      <c r="BR21" s="98">
        <v>5</v>
      </c>
      <c r="BS21" s="147" t="s">
        <v>138</v>
      </c>
      <c r="BT21" s="121"/>
      <c r="BU21" s="121"/>
      <c r="BV21" s="121"/>
      <c r="BW21" s="121"/>
      <c r="BX21" s="121"/>
      <c r="BY21" s="48"/>
      <c r="BZ21" s="130">
        <v>5</v>
      </c>
      <c r="CA21" s="131" t="s">
        <v>138</v>
      </c>
      <c r="CB21" s="131"/>
      <c r="CC21" s="131"/>
      <c r="CD21" s="131"/>
      <c r="CE21" s="167"/>
      <c r="CF21" s="98">
        <f t="shared" si="6"/>
        <v>5</v>
      </c>
      <c r="CG21" s="137"/>
      <c r="CH21" s="139"/>
      <c r="CI21" s="139"/>
      <c r="CJ21" s="139"/>
      <c r="CK21" s="48"/>
      <c r="CL21" s="98">
        <f t="shared" si="7"/>
        <v>5</v>
      </c>
      <c r="CM21" s="147"/>
      <c r="CN21" s="139"/>
      <c r="CO21" s="169"/>
      <c r="CP21" s="139">
        <f>+CO21-CN21</f>
        <v>0</v>
      </c>
      <c r="CQ21" s="48"/>
      <c r="CR21" s="98">
        <f t="shared" si="14"/>
        <v>5</v>
      </c>
      <c r="CS21"/>
      <c r="CT21"/>
      <c r="CU21"/>
      <c r="CV21"/>
      <c r="CW21" s="133"/>
      <c r="CX21" s="98">
        <v>5</v>
      </c>
      <c r="CY21" s="112" t="s">
        <v>155</v>
      </c>
      <c r="CZ21" s="48"/>
      <c r="DA21" s="48"/>
      <c r="DB21" s="135">
        <f>ROUND(SUM(DB17:DB19),6)</f>
        <v>4.8884999999999998E-2</v>
      </c>
      <c r="DC21" s="150"/>
      <c r="DD21" s="48"/>
      <c r="DE21" s="48"/>
      <c r="DF21" s="48"/>
      <c r="DG21" s="48"/>
      <c r="DH21" s="48"/>
      <c r="DI21" s="150"/>
      <c r="DJ21" s="48"/>
      <c r="DK21" s="48"/>
      <c r="DL21" s="48"/>
      <c r="DM21" s="48"/>
      <c r="DN21" s="48"/>
      <c r="DO21" s="48"/>
    </row>
    <row r="22" spans="1:119" ht="13.5" thickTop="1" x14ac:dyDescent="0.3">
      <c r="A22" s="98">
        <f t="shared" si="15"/>
        <v>4</v>
      </c>
      <c r="B22" s="112" t="s">
        <v>156</v>
      </c>
      <c r="C22" s="133">
        <f>+'SEF-15 Adjustments'!K22</f>
        <v>-23522407.310000002</v>
      </c>
      <c r="D22" s="139">
        <f>+'SEF-15 Adjustments'!S22</f>
        <v>8006583.2700000033</v>
      </c>
      <c r="E22" s="133">
        <f t="shared" si="8"/>
        <v>31528990.580000006</v>
      </c>
      <c r="F22" s="116"/>
      <c r="G22" s="98">
        <f>G21+1</f>
        <v>4</v>
      </c>
      <c r="H22" s="112" t="s">
        <v>156</v>
      </c>
      <c r="I22" s="153">
        <v>-21224501.000000004</v>
      </c>
      <c r="J22" s="153">
        <v>-2297906.31</v>
      </c>
      <c r="K22" s="153">
        <f t="shared" si="9"/>
        <v>-23522407.310000002</v>
      </c>
      <c r="L22" s="153"/>
      <c r="M22" s="98">
        <f>M21+1</f>
        <v>4</v>
      </c>
      <c r="N22" s="112" t="s">
        <v>156</v>
      </c>
      <c r="O22" s="153">
        <v>10304489.580000004</v>
      </c>
      <c r="P22" s="153">
        <v>-2297906.31</v>
      </c>
      <c r="Q22" s="153">
        <f t="shared" si="16"/>
        <v>8006583.2700000033</v>
      </c>
      <c r="R22" s="139"/>
      <c r="S22" s="153">
        <f>Q22</f>
        <v>8006583.2700000033</v>
      </c>
      <c r="T22" s="153"/>
      <c r="X22" s="48"/>
      <c r="Y22" s="48"/>
      <c r="Z22" s="48"/>
      <c r="AA22" s="139"/>
      <c r="AB22" s="98">
        <f t="shared" si="12"/>
        <v>6</v>
      </c>
      <c r="AC22" s="158" t="s">
        <v>157</v>
      </c>
      <c r="AD22" s="171">
        <v>2207007</v>
      </c>
      <c r="AE22" s="171">
        <v>2101303</v>
      </c>
      <c r="AF22" s="171">
        <f t="shared" si="17"/>
        <v>-105704</v>
      </c>
      <c r="AG22" s="139"/>
      <c r="AH22" s="98">
        <f t="shared" si="13"/>
        <v>6</v>
      </c>
      <c r="AI22" s="46" t="s">
        <v>158</v>
      </c>
      <c r="AJ22" s="145">
        <v>7464653.5799999991</v>
      </c>
      <c r="AK22" s="145">
        <v>7646709.719999996</v>
      </c>
      <c r="AL22" s="145">
        <f t="shared" ref="AL22:AL25" si="21">AK22-AJ22</f>
        <v>182056.13999999687</v>
      </c>
      <c r="AM22" s="139"/>
      <c r="AN22" s="98">
        <f t="shared" si="1"/>
        <v>6</v>
      </c>
      <c r="AO22" s="147"/>
      <c r="AP22" s="174"/>
      <c r="AQ22" s="174"/>
      <c r="AR22" s="160"/>
      <c r="AS22" s="48"/>
      <c r="AT22" s="98">
        <v>6</v>
      </c>
      <c r="AU22" s="146" t="s">
        <v>159</v>
      </c>
      <c r="AV22" s="125">
        <f>SUM(AV19:AV21)</f>
        <v>1401982.02</v>
      </c>
      <c r="AW22" s="125">
        <f t="shared" ref="AW22:AX22" si="22">SUM(AW19:AW21)</f>
        <v>0</v>
      </c>
      <c r="AX22" s="125">
        <f t="shared" si="22"/>
        <v>-1401982.02</v>
      </c>
      <c r="AY22" s="160"/>
      <c r="BE22" s="48"/>
      <c r="BF22" s="98">
        <f t="shared" si="3"/>
        <v>6</v>
      </c>
      <c r="BG22" s="112" t="s">
        <v>160</v>
      </c>
      <c r="BH22" s="145">
        <v>18500000</v>
      </c>
      <c r="BI22" s="145">
        <v>18500000</v>
      </c>
      <c r="BJ22" s="47">
        <f t="shared" si="4"/>
        <v>0</v>
      </c>
      <c r="BK22" s="48"/>
      <c r="BL22" s="98">
        <v>6</v>
      </c>
      <c r="BM22" s="146"/>
      <c r="BN22" s="153"/>
      <c r="BO22" s="153"/>
      <c r="BP22" s="153"/>
      <c r="BQ22" s="48"/>
      <c r="BR22" s="98">
        <f t="shared" si="5"/>
        <v>6</v>
      </c>
      <c r="BS22" s="129" t="s">
        <v>138</v>
      </c>
      <c r="BT22" s="73" t="s">
        <v>82</v>
      </c>
      <c r="BU22" s="73"/>
      <c r="BV22" s="73"/>
      <c r="BW22" s="73" t="s">
        <v>18</v>
      </c>
      <c r="BX22" s="175" t="s">
        <v>93</v>
      </c>
      <c r="BY22" s="48"/>
      <c r="BZ22" s="130">
        <v>6</v>
      </c>
      <c r="CA22" s="131" t="s">
        <v>138</v>
      </c>
      <c r="CB22" s="131"/>
      <c r="CC22" s="131"/>
      <c r="CD22" s="131"/>
      <c r="CE22" s="167"/>
      <c r="CF22" s="98">
        <f t="shared" si="6"/>
        <v>6</v>
      </c>
      <c r="CG22" s="176" t="s">
        <v>161</v>
      </c>
      <c r="CH22" s="139"/>
      <c r="CI22" s="139"/>
      <c r="CJ22" s="139"/>
      <c r="CK22" s="48"/>
      <c r="CL22" s="98">
        <f t="shared" si="7"/>
        <v>6</v>
      </c>
      <c r="CM22" s="147"/>
      <c r="CN22" s="177"/>
      <c r="CO22" s="177"/>
      <c r="CP22" s="139">
        <f>+CO22-CN22</f>
        <v>0</v>
      </c>
      <c r="CQ22" s="48"/>
      <c r="CR22" s="98">
        <f t="shared" si="14"/>
        <v>6</v>
      </c>
      <c r="CS22"/>
      <c r="CT22"/>
      <c r="CU22"/>
      <c r="CV22"/>
      <c r="CW22" s="133"/>
      <c r="CX22" s="98">
        <v>6</v>
      </c>
      <c r="CY22" s="48"/>
      <c r="CZ22" s="48"/>
      <c r="DA22" s="48"/>
      <c r="DB22" s="135"/>
      <c r="DC22" s="150"/>
      <c r="DD22" s="48"/>
      <c r="DE22" s="48"/>
      <c r="DF22" s="48"/>
      <c r="DG22" s="48"/>
      <c r="DH22" s="48"/>
      <c r="DI22" s="150"/>
      <c r="DJ22" s="48"/>
      <c r="DK22" s="48"/>
      <c r="DL22" s="48"/>
      <c r="DM22" s="48"/>
      <c r="DN22" s="48"/>
      <c r="DO22" s="48"/>
    </row>
    <row r="23" spans="1:119" ht="14" thickBot="1" x14ac:dyDescent="0.4">
      <c r="A23" s="98">
        <f t="shared" si="15"/>
        <v>5</v>
      </c>
      <c r="B23" s="112" t="s">
        <v>162</v>
      </c>
      <c r="C23" s="133">
        <f>+'SEF-15 Adjustments'!K23</f>
        <v>489609.01</v>
      </c>
      <c r="D23" s="139">
        <f>+'SEF-15 Adjustments'!S23</f>
        <v>497854.02572839998</v>
      </c>
      <c r="E23" s="133">
        <f t="shared" si="8"/>
        <v>8245.0157283999724</v>
      </c>
      <c r="G23" s="98">
        <f>G22+1</f>
        <v>5</v>
      </c>
      <c r="H23" s="112" t="s">
        <v>162</v>
      </c>
      <c r="I23" s="153">
        <v>489609.01</v>
      </c>
      <c r="J23" s="153">
        <v>0</v>
      </c>
      <c r="K23" s="153">
        <f t="shared" si="9"/>
        <v>489609.01</v>
      </c>
      <c r="M23" s="98">
        <f>M22+1</f>
        <v>5</v>
      </c>
      <c r="N23" s="112" t="s">
        <v>162</v>
      </c>
      <c r="O23" s="48">
        <v>489609.01</v>
      </c>
      <c r="P23" s="48">
        <v>0</v>
      </c>
      <c r="Q23" s="153">
        <f t="shared" si="16"/>
        <v>489609.01</v>
      </c>
      <c r="R23" s="48"/>
      <c r="S23" s="153">
        <f t="shared" si="10"/>
        <v>497854.02572839998</v>
      </c>
      <c r="T23" s="153"/>
      <c r="V23" s="43" t="s">
        <v>43</v>
      </c>
      <c r="X23" s="48"/>
      <c r="Y23" s="48"/>
      <c r="Z23" s="48"/>
      <c r="AA23" s="160"/>
      <c r="AB23" s="98">
        <f t="shared" si="12"/>
        <v>7</v>
      </c>
      <c r="AC23" s="158" t="s">
        <v>163</v>
      </c>
      <c r="AD23" s="171">
        <v>1173209.1928333351</v>
      </c>
      <c r="AE23" s="171">
        <v>906076.72458333313</v>
      </c>
      <c r="AF23" s="171">
        <f t="shared" si="17"/>
        <v>-267132.46825000201</v>
      </c>
      <c r="AG23" s="160"/>
      <c r="AH23" s="98">
        <f t="shared" si="13"/>
        <v>7</v>
      </c>
      <c r="AI23" s="46" t="s">
        <v>164</v>
      </c>
      <c r="AJ23" s="160">
        <v>3553168.6199999996</v>
      </c>
      <c r="AK23" s="160">
        <v>3487179.4151999997</v>
      </c>
      <c r="AL23" s="160">
        <f t="shared" si="21"/>
        <v>-65989.204799999949</v>
      </c>
      <c r="AM23" s="139"/>
      <c r="AN23" s="98">
        <f>AN22+1</f>
        <v>7</v>
      </c>
      <c r="AO23" s="48"/>
      <c r="AP23" s="48"/>
      <c r="AQ23" s="48"/>
      <c r="AR23" s="48"/>
      <c r="AS23" s="48"/>
      <c r="AT23" s="98">
        <v>7</v>
      </c>
      <c r="AU23" s="147"/>
      <c r="AV23" s="48"/>
      <c r="AW23" s="48"/>
      <c r="AX23" s="48"/>
      <c r="AY23" s="160"/>
      <c r="BE23" s="48"/>
      <c r="BF23" s="98">
        <f>BF22+1</f>
        <v>7</v>
      </c>
      <c r="BG23" s="112" t="s">
        <v>165</v>
      </c>
      <c r="BH23" s="145">
        <v>55678656.244999997</v>
      </c>
      <c r="BI23" s="145">
        <v>47760710.165185846</v>
      </c>
      <c r="BJ23" s="47">
        <f t="shared" si="4"/>
        <v>-7917946.0798141509</v>
      </c>
      <c r="BK23" s="48"/>
      <c r="BL23" s="98">
        <v>7</v>
      </c>
      <c r="BM23" s="146" t="s">
        <v>134</v>
      </c>
      <c r="BN23" s="172">
        <f>SUM(BN20:BN22)</f>
        <v>24173718.963481996</v>
      </c>
      <c r="BO23" s="172">
        <f>SUM(BO20:BO22)</f>
        <v>41096273.81753172</v>
      </c>
      <c r="BP23" s="172">
        <f>SUM(BP20:BP22)</f>
        <v>16922554.854049724</v>
      </c>
      <c r="BQ23" s="48"/>
      <c r="BR23" s="98">
        <v>7</v>
      </c>
      <c r="BS23" s="48" t="s">
        <v>166</v>
      </c>
      <c r="BT23" s="109" t="s">
        <v>136</v>
      </c>
      <c r="BU23" s="109"/>
      <c r="BV23" s="109"/>
      <c r="BW23" s="109" t="s">
        <v>93</v>
      </c>
      <c r="BX23" s="73" t="s">
        <v>29</v>
      </c>
      <c r="BY23" s="48"/>
      <c r="BZ23" s="130">
        <v>7</v>
      </c>
      <c r="CA23" s="131" t="s">
        <v>9</v>
      </c>
      <c r="CB23" s="131"/>
      <c r="CC23" s="131"/>
      <c r="CD23" s="131"/>
      <c r="CE23" s="167"/>
      <c r="CF23" s="98">
        <f>CF22+1</f>
        <v>7</v>
      </c>
      <c r="CG23" s="162" t="s">
        <v>167</v>
      </c>
      <c r="CH23" s="139">
        <v>0</v>
      </c>
      <c r="CI23" s="140">
        <v>612714.71481750195</v>
      </c>
      <c r="CJ23" s="140">
        <f>SUM(CH23:CI23)</f>
        <v>612714.71481750195</v>
      </c>
      <c r="CK23" s="48"/>
      <c r="CL23" s="98">
        <f>CL22+1</f>
        <v>7</v>
      </c>
      <c r="CM23" s="167"/>
      <c r="CN23" s="172">
        <f>SUM(CN18:CN22)</f>
        <v>0</v>
      </c>
      <c r="CO23" s="172">
        <f>SUM(CO18:CO22)</f>
        <v>0</v>
      </c>
      <c r="CP23" s="172">
        <f>SUM(CP18:CP22)</f>
        <v>0</v>
      </c>
      <c r="CQ23" s="48"/>
      <c r="CR23" s="98">
        <f>CR22+1</f>
        <v>7</v>
      </c>
      <c r="CS23"/>
      <c r="CT23"/>
      <c r="CU23"/>
      <c r="CV23"/>
      <c r="CW23" s="133"/>
      <c r="CX23" s="98">
        <v>7</v>
      </c>
      <c r="CY23" s="112" t="str">
        <f>"CONVERSION FACTOR ( 1 - LINE "&amp;CX21&amp;" )"</f>
        <v>CONVERSION FACTOR ( 1 - LINE 5 )</v>
      </c>
      <c r="CZ23" s="48"/>
      <c r="DA23" s="48"/>
      <c r="DB23" s="178">
        <f>ROUND(1-DB21,6)</f>
        <v>0.95111500000000004</v>
      </c>
      <c r="DC23" s="150"/>
      <c r="DD23" s="48"/>
      <c r="DE23" s="48"/>
      <c r="DF23" s="48"/>
      <c r="DG23" s="48"/>
      <c r="DH23" s="48"/>
      <c r="DI23" s="150"/>
      <c r="DJ23" s="48"/>
      <c r="DK23" s="48"/>
      <c r="DL23" s="48"/>
      <c r="DM23" s="48"/>
      <c r="DN23" s="48"/>
      <c r="DO23" s="48"/>
    </row>
    <row r="24" spans="1:119" ht="14.5" thickTop="1" thickBot="1" x14ac:dyDescent="0.4">
      <c r="A24" s="98">
        <f t="shared" si="15"/>
        <v>6</v>
      </c>
      <c r="B24" s="112" t="s">
        <v>168</v>
      </c>
      <c r="C24" s="133">
        <f>+'SEF-15 Adjustments'!K24</f>
        <v>123883050.72</v>
      </c>
      <c r="D24" s="140">
        <f>+'SEF-15 Adjustments'!S24</f>
        <v>136834849.72120711</v>
      </c>
      <c r="E24" s="140">
        <f t="shared" si="8"/>
        <v>12951799.001207113</v>
      </c>
      <c r="F24" s="116"/>
      <c r="G24" s="98">
        <f>G22+1</f>
        <v>5</v>
      </c>
      <c r="H24" s="112" t="s">
        <v>168</v>
      </c>
      <c r="I24" s="153">
        <v>123883050.72</v>
      </c>
      <c r="J24" s="153">
        <v>0</v>
      </c>
      <c r="K24" s="139">
        <f t="shared" si="9"/>
        <v>123883050.72</v>
      </c>
      <c r="L24" s="139"/>
      <c r="M24" s="98">
        <f>M22+1</f>
        <v>5</v>
      </c>
      <c r="N24" s="112" t="s">
        <v>168</v>
      </c>
      <c r="O24" s="140">
        <v>134568712.60100618</v>
      </c>
      <c r="P24" s="139">
        <v>0</v>
      </c>
      <c r="Q24" s="149">
        <f t="shared" si="16"/>
        <v>134568712.60100618</v>
      </c>
      <c r="R24" s="139"/>
      <c r="S24" s="140">
        <f>Q24*$S$17</f>
        <v>136834849.72120711</v>
      </c>
      <c r="T24" s="139"/>
      <c r="X24" s="48"/>
      <c r="Y24" s="48"/>
      <c r="Z24" s="48"/>
      <c r="AA24" s="139"/>
      <c r="AB24" s="98">
        <f t="shared" si="12"/>
        <v>8</v>
      </c>
      <c r="AC24" s="158" t="s">
        <v>169</v>
      </c>
      <c r="AD24" s="171">
        <v>340636.73</v>
      </c>
      <c r="AE24" s="171">
        <v>340636.55000000005</v>
      </c>
      <c r="AF24" s="171">
        <f t="shared" si="17"/>
        <v>-0.17999999993480742</v>
      </c>
      <c r="AG24" s="139"/>
      <c r="AH24" s="98">
        <f t="shared" si="13"/>
        <v>8</v>
      </c>
      <c r="AI24" s="46" t="s">
        <v>170</v>
      </c>
      <c r="AJ24" s="160">
        <v>2608551.2440000013</v>
      </c>
      <c r="AK24" s="160">
        <v>2608551.2440000013</v>
      </c>
      <c r="AL24" s="160">
        <f t="shared" si="21"/>
        <v>0</v>
      </c>
      <c r="AM24" s="129"/>
      <c r="AN24" s="98">
        <f t="shared" si="1"/>
        <v>8</v>
      </c>
      <c r="AO24" s="48"/>
      <c r="AP24" s="48"/>
      <c r="AQ24" s="48"/>
      <c r="AR24" s="48"/>
      <c r="AS24" s="48"/>
      <c r="AT24" s="98">
        <v>8</v>
      </c>
      <c r="AU24" s="48"/>
      <c r="AV24" s="48"/>
      <c r="AW24" s="48"/>
      <c r="AX24" s="48"/>
      <c r="AY24" s="160"/>
      <c r="BE24" s="48"/>
      <c r="BF24" s="98">
        <f t="shared" si="3"/>
        <v>8</v>
      </c>
      <c r="BG24" s="112" t="s">
        <v>171</v>
      </c>
      <c r="BH24" s="145">
        <v>7603989</v>
      </c>
      <c r="BI24" s="145">
        <v>8434836.8844743464</v>
      </c>
      <c r="BJ24" s="47">
        <f t="shared" si="4"/>
        <v>830847.88447434641</v>
      </c>
      <c r="BK24" s="48"/>
      <c r="BL24" s="98">
        <v>8</v>
      </c>
      <c r="BM24" s="146"/>
      <c r="BN24" s="125"/>
      <c r="BO24" s="125"/>
      <c r="BP24" s="125"/>
      <c r="BQ24" s="48"/>
      <c r="BR24" s="98">
        <f t="shared" si="5"/>
        <v>8</v>
      </c>
      <c r="BS24" s="147" t="s">
        <v>172</v>
      </c>
      <c r="BT24" s="172">
        <v>9250000.0199999996</v>
      </c>
      <c r="BU24" s="172">
        <v>0</v>
      </c>
      <c r="BV24" s="172">
        <v>0</v>
      </c>
      <c r="BW24" s="172">
        <v>0</v>
      </c>
      <c r="BX24" s="172">
        <v>-9250000.0199999996</v>
      </c>
      <c r="BY24" s="48"/>
      <c r="BZ24" s="130">
        <v>8</v>
      </c>
      <c r="CA24" s="131" t="s">
        <v>173</v>
      </c>
      <c r="CB24" s="125">
        <v>340637.09</v>
      </c>
      <c r="CC24" s="125">
        <v>0</v>
      </c>
      <c r="CD24" s="125">
        <f t="shared" ref="CD24:CD26" si="23">CC24-CB24</f>
        <v>-340637.09</v>
      </c>
      <c r="CE24" s="129"/>
      <c r="CF24" s="98">
        <f t="shared" si="6"/>
        <v>8</v>
      </c>
      <c r="CG24" s="179" t="s">
        <v>174</v>
      </c>
      <c r="CH24" s="48"/>
      <c r="CI24" s="140">
        <v>10318.115797526712</v>
      </c>
      <c r="CJ24" s="140">
        <f>SUM(CH24:CI24)</f>
        <v>10318.115797526712</v>
      </c>
      <c r="CK24" s="48"/>
      <c r="CL24" s="98">
        <f t="shared" si="7"/>
        <v>8</v>
      </c>
      <c r="CM24" s="129"/>
      <c r="CN24" s="145"/>
      <c r="CO24" s="145"/>
      <c r="CP24" s="145"/>
      <c r="CQ24" s="48"/>
      <c r="CR24" s="98">
        <f>CR23+1</f>
        <v>8</v>
      </c>
      <c r="CS24"/>
      <c r="CT24"/>
      <c r="CU24"/>
      <c r="CV24"/>
      <c r="CW24" s="133"/>
      <c r="CX24" s="98"/>
      <c r="CY24" s="112"/>
      <c r="CZ24" s="48"/>
      <c r="DA24" s="48"/>
      <c r="DB24" s="180"/>
      <c r="DC24" s="150"/>
      <c r="DD24" s="48"/>
      <c r="DE24" s="48"/>
      <c r="DF24" s="48"/>
      <c r="DG24" s="48"/>
      <c r="DH24" s="48"/>
      <c r="DI24" s="150"/>
      <c r="DJ24" s="48"/>
      <c r="DK24" s="48"/>
      <c r="DL24" s="48"/>
      <c r="DM24" s="48"/>
      <c r="DN24" s="48"/>
      <c r="DO24" s="48"/>
    </row>
    <row r="25" spans="1:119" ht="14" thickTop="1" x14ac:dyDescent="0.35">
      <c r="A25" s="98">
        <f>A24+1</f>
        <v>7</v>
      </c>
      <c r="B25" s="112" t="s">
        <v>175</v>
      </c>
      <c r="C25" s="133">
        <f>+'SEF-15 Adjustments'!K25</f>
        <v>-189780073.88</v>
      </c>
      <c r="D25" s="140">
        <f>+'SEF-15 Adjustments'!S25</f>
        <v>-33218152.945881978</v>
      </c>
      <c r="E25" s="140">
        <f t="shared" si="8"/>
        <v>156561920.93411803</v>
      </c>
      <c r="F25" s="116"/>
      <c r="G25" s="98">
        <f>G24+1</f>
        <v>6</v>
      </c>
      <c r="H25" s="112" t="s">
        <v>175</v>
      </c>
      <c r="I25" s="153">
        <v>-189780073.88</v>
      </c>
      <c r="J25" s="153">
        <v>0</v>
      </c>
      <c r="K25" s="153">
        <f t="shared" si="9"/>
        <v>-189780073.88</v>
      </c>
      <c r="L25" s="153"/>
      <c r="M25" s="98">
        <f>M24+1</f>
        <v>6</v>
      </c>
      <c r="N25" s="112" t="s">
        <v>175</v>
      </c>
      <c r="O25" s="149">
        <v>-32668023.431298904</v>
      </c>
      <c r="P25" s="153">
        <v>0</v>
      </c>
      <c r="Q25" s="149">
        <f t="shared" si="16"/>
        <v>-32668023.431298904</v>
      </c>
      <c r="R25" s="139"/>
      <c r="S25" s="149">
        <f>Q25*$S$17</f>
        <v>-33218152.945881978</v>
      </c>
      <c r="T25" s="153"/>
      <c r="X25" s="48"/>
      <c r="Y25" s="131"/>
      <c r="Z25" s="48"/>
      <c r="AA25" s="48"/>
      <c r="AB25" s="98">
        <f t="shared" si="12"/>
        <v>9</v>
      </c>
      <c r="AC25" s="158" t="s">
        <v>176</v>
      </c>
      <c r="AD25" s="171">
        <v>401648</v>
      </c>
      <c r="AE25" s="171">
        <v>179711.19999999984</v>
      </c>
      <c r="AF25" s="171">
        <f t="shared" si="17"/>
        <v>-221936.80000000016</v>
      </c>
      <c r="AG25" s="48"/>
      <c r="AH25" s="98">
        <f t="shared" si="13"/>
        <v>9</v>
      </c>
      <c r="AI25" s="46" t="s">
        <v>177</v>
      </c>
      <c r="AJ25" s="145">
        <v>9121496.040000001</v>
      </c>
      <c r="AK25" s="145">
        <v>9121496.040000001</v>
      </c>
      <c r="AL25" s="145">
        <f t="shared" si="21"/>
        <v>0</v>
      </c>
      <c r="AM25" s="139"/>
      <c r="AN25" s="98">
        <f t="shared" si="1"/>
        <v>9</v>
      </c>
      <c r="AO25" s="147"/>
      <c r="AP25" s="174"/>
      <c r="AQ25" s="174"/>
      <c r="AR25" s="160"/>
      <c r="AS25" s="48"/>
      <c r="AT25" s="98">
        <v>9</v>
      </c>
      <c r="AU25" s="48"/>
      <c r="AV25" s="48"/>
      <c r="AW25" s="48"/>
      <c r="AX25" s="48"/>
      <c r="AY25" s="160"/>
      <c r="BE25" s="48"/>
      <c r="BF25" s="98">
        <f t="shared" si="3"/>
        <v>9</v>
      </c>
      <c r="BG25" s="112" t="s">
        <v>178</v>
      </c>
      <c r="BH25" s="145">
        <v>-78555.810000000012</v>
      </c>
      <c r="BI25" s="145">
        <v>0</v>
      </c>
      <c r="BJ25" s="47">
        <f t="shared" si="4"/>
        <v>78555.810000000012</v>
      </c>
      <c r="BK25" s="48"/>
      <c r="BL25" s="98">
        <v>9</v>
      </c>
      <c r="BM25" s="163" t="s">
        <v>9</v>
      </c>
      <c r="BN25" s="125"/>
      <c r="BO25" s="125"/>
      <c r="BP25" s="125"/>
      <c r="BQ25" s="48"/>
      <c r="BR25" s="48"/>
      <c r="BS25" s="48"/>
      <c r="BU25" s="48"/>
      <c r="BV25" s="48"/>
      <c r="BW25" s="48"/>
      <c r="BX25" s="48"/>
      <c r="BY25" s="48"/>
      <c r="BZ25" s="130">
        <v>9</v>
      </c>
      <c r="CA25" s="131" t="s">
        <v>144</v>
      </c>
      <c r="CB25" s="145">
        <v>0</v>
      </c>
      <c r="CC25" s="145">
        <v>0</v>
      </c>
      <c r="CD25" s="145">
        <f t="shared" si="23"/>
        <v>0</v>
      </c>
      <c r="CE25" s="48"/>
      <c r="CF25" s="98">
        <f t="shared" si="6"/>
        <v>9</v>
      </c>
      <c r="CG25" s="162" t="s">
        <v>179</v>
      </c>
      <c r="CH25" s="156">
        <f t="shared" ref="CH25:CJ25" si="24">SUM(CH23:CH24)</f>
        <v>0</v>
      </c>
      <c r="CI25" s="157">
        <f t="shared" si="24"/>
        <v>623032.83061502862</v>
      </c>
      <c r="CJ25" s="157">
        <f t="shared" si="24"/>
        <v>623032.83061502862</v>
      </c>
      <c r="CK25" s="48"/>
      <c r="CL25" s="98">
        <f t="shared" si="7"/>
        <v>9</v>
      </c>
      <c r="CM25" s="181"/>
      <c r="CN25" s="48"/>
      <c r="CO25" s="48"/>
      <c r="CP25" s="48"/>
      <c r="CQ25" s="48"/>
      <c r="CR25" s="98">
        <f t="shared" si="14"/>
        <v>9</v>
      </c>
      <c r="CS25"/>
      <c r="CT25"/>
      <c r="CU25"/>
      <c r="CV25"/>
      <c r="CW25" s="133"/>
      <c r="CX25" s="48"/>
      <c r="CY25" s="48"/>
      <c r="CZ25" s="48"/>
      <c r="DA25" s="48"/>
      <c r="DB25" s="48"/>
      <c r="DC25" s="150"/>
      <c r="DD25" s="48"/>
      <c r="DE25" s="48"/>
      <c r="DF25" s="48"/>
      <c r="DG25" s="48"/>
      <c r="DH25" s="48"/>
      <c r="DI25" s="150"/>
      <c r="DJ25" s="48"/>
      <c r="DK25" s="48"/>
      <c r="DL25" s="48"/>
      <c r="DM25" s="48"/>
      <c r="DN25" s="48"/>
      <c r="DO25" s="48"/>
    </row>
    <row r="26" spans="1:119" ht="13.5" x14ac:dyDescent="0.35">
      <c r="A26" s="98">
        <f t="shared" si="15"/>
        <v>8</v>
      </c>
      <c r="B26" s="112" t="s">
        <v>180</v>
      </c>
      <c r="C26" s="133">
        <f>+'SEF-15 Adjustments'!K26</f>
        <v>-9520817.3900000006</v>
      </c>
      <c r="D26" s="140">
        <f>+'SEF-15 Adjustments'!S26</f>
        <v>-49932542.908260092</v>
      </c>
      <c r="E26" s="140">
        <f t="shared" si="8"/>
        <v>-40411725.518260092</v>
      </c>
      <c r="F26" s="167"/>
      <c r="G26" s="98">
        <f t="shared" ref="G26:G32" si="25">G25+1</f>
        <v>7</v>
      </c>
      <c r="H26" s="112" t="s">
        <v>180</v>
      </c>
      <c r="I26" s="153">
        <v>-9520817.3900000006</v>
      </c>
      <c r="J26" s="153">
        <v>0</v>
      </c>
      <c r="K26" s="153">
        <f t="shared" si="9"/>
        <v>-9520817.3900000006</v>
      </c>
      <c r="L26" s="153"/>
      <c r="M26" s="98">
        <f t="shared" ref="M26:M32" si="26">M25+1</f>
        <v>7</v>
      </c>
      <c r="N26" s="112" t="s">
        <v>180</v>
      </c>
      <c r="O26" s="149">
        <v>-49105604.528008431</v>
      </c>
      <c r="P26" s="153">
        <v>0</v>
      </c>
      <c r="Q26" s="149">
        <f t="shared" si="16"/>
        <v>-49105604.528008431</v>
      </c>
      <c r="R26" s="139"/>
      <c r="S26" s="149">
        <f>Q26*$S$17</f>
        <v>-49932542.908260092</v>
      </c>
      <c r="T26" s="153"/>
      <c r="X26"/>
      <c r="Y26"/>
      <c r="Z26"/>
      <c r="AA26" s="129"/>
      <c r="AB26" s="98">
        <f t="shared" si="12"/>
        <v>10</v>
      </c>
      <c r="AC26" s="158" t="s">
        <v>181</v>
      </c>
      <c r="AD26" s="171">
        <v>40925231</v>
      </c>
      <c r="AE26" s="171">
        <v>40373437.299999997</v>
      </c>
      <c r="AF26" s="171">
        <f t="shared" si="17"/>
        <v>-551793.70000000298</v>
      </c>
      <c r="AG26" s="129"/>
      <c r="AH26" s="98">
        <f t="shared" si="13"/>
        <v>10</v>
      </c>
      <c r="AI26" s="182" t="s">
        <v>134</v>
      </c>
      <c r="AJ26" s="183">
        <f>SUM(AJ21:AJ25)</f>
        <v>153532792.95400029</v>
      </c>
      <c r="AK26" s="183">
        <f>SUM(AK21:AK25)</f>
        <v>145285974.71266538</v>
      </c>
      <c r="AL26" s="183">
        <f>SUM(AL21:AL25)</f>
        <v>-8246818.2413349133</v>
      </c>
      <c r="AM26" s="139"/>
      <c r="AN26" s="98">
        <f t="shared" si="1"/>
        <v>10</v>
      </c>
      <c r="AO26" s="122" t="s">
        <v>182</v>
      </c>
      <c r="AP26" s="174"/>
      <c r="AQ26" s="174"/>
      <c r="AR26" s="160"/>
      <c r="AS26" s="48"/>
      <c r="AT26" s="98">
        <v>10</v>
      </c>
      <c r="AU26" s="161"/>
      <c r="AV26" s="128"/>
      <c r="AW26" s="128"/>
      <c r="AX26" s="128"/>
      <c r="AY26" s="160"/>
      <c r="BE26" s="48"/>
      <c r="BF26" s="98">
        <f t="shared" si="3"/>
        <v>10</v>
      </c>
      <c r="BG26" s="112" t="s">
        <v>183</v>
      </c>
      <c r="BH26" s="145">
        <v>-308479.03999999998</v>
      </c>
      <c r="BI26" s="145">
        <v>5.95245425356552E-2</v>
      </c>
      <c r="BJ26" s="47">
        <f t="shared" si="4"/>
        <v>308479.09952454251</v>
      </c>
      <c r="BK26" s="48"/>
      <c r="BL26" s="98">
        <v>10</v>
      </c>
      <c r="BM26" s="146" t="s">
        <v>184</v>
      </c>
      <c r="BN26" s="125">
        <v>-24173718.963481996</v>
      </c>
      <c r="BO26" s="125">
        <v>-41096273.81753172</v>
      </c>
      <c r="BP26" s="125">
        <v>-16922554.854049724</v>
      </c>
      <c r="BQ26" s="48"/>
      <c r="BR26" s="48"/>
      <c r="BS26" s="48"/>
      <c r="BU26" s="48"/>
      <c r="BV26" s="48"/>
      <c r="BW26" s="48"/>
      <c r="BX26" s="48"/>
      <c r="BY26" s="48"/>
      <c r="BZ26" s="130">
        <v>10</v>
      </c>
      <c r="CA26" s="131" t="s">
        <v>185</v>
      </c>
      <c r="CB26" s="145">
        <v>0</v>
      </c>
      <c r="CC26" s="145">
        <v>0</v>
      </c>
      <c r="CD26" s="145">
        <f t="shared" si="23"/>
        <v>0</v>
      </c>
      <c r="CE26" s="48"/>
      <c r="CF26" s="48"/>
      <c r="CG26" s="48"/>
      <c r="CH26" s="48"/>
      <c r="CI26" s="48"/>
      <c r="CJ26" s="48"/>
      <c r="CK26" s="48"/>
      <c r="CL26" s="98">
        <f t="shared" si="7"/>
        <v>10</v>
      </c>
      <c r="CM26" s="147"/>
      <c r="CN26" s="121"/>
      <c r="CO26" s="121"/>
      <c r="CP26" s="121">
        <f>+CO26-CN26</f>
        <v>0</v>
      </c>
      <c r="CQ26" s="48"/>
      <c r="CR26" s="98">
        <f t="shared" si="14"/>
        <v>10</v>
      </c>
      <c r="CS26"/>
      <c r="CT26"/>
      <c r="CU26"/>
      <c r="CV26"/>
      <c r="CW26" s="133"/>
      <c r="CX26" s="48"/>
      <c r="CY26" s="48"/>
      <c r="CZ26" s="48"/>
      <c r="DA26" s="48"/>
      <c r="DB26" s="48"/>
      <c r="DC26" s="150"/>
      <c r="DD26" s="48"/>
      <c r="DE26" s="48"/>
      <c r="DF26" s="48"/>
      <c r="DG26" s="48"/>
      <c r="DH26" s="48"/>
      <c r="DI26" s="150"/>
      <c r="DJ26" s="48"/>
      <c r="DK26" s="48"/>
      <c r="DL26" s="48"/>
      <c r="DM26" s="48"/>
      <c r="DN26" s="48"/>
      <c r="DO26" s="48"/>
    </row>
    <row r="27" spans="1:119" ht="13.5" x14ac:dyDescent="0.35">
      <c r="A27" s="98">
        <f t="shared" si="15"/>
        <v>9</v>
      </c>
      <c r="B27" s="48" t="s">
        <v>186</v>
      </c>
      <c r="C27" s="184">
        <f>SUM(C19:C26)</f>
        <v>701220657.81999993</v>
      </c>
      <c r="D27" s="185">
        <f>SUM(D19:D26)</f>
        <v>779574551.6485821</v>
      </c>
      <c r="E27" s="185">
        <f>SUM(E19:E26)</f>
        <v>78353893.828582138</v>
      </c>
      <c r="F27" s="167"/>
      <c r="G27" s="98">
        <f t="shared" si="25"/>
        <v>8</v>
      </c>
      <c r="H27" s="48" t="s">
        <v>186</v>
      </c>
      <c r="I27" s="184">
        <f>SUM(I19:I26)</f>
        <v>703518564.13</v>
      </c>
      <c r="J27" s="184">
        <f>SUM(J19:J26)</f>
        <v>-2297906.31</v>
      </c>
      <c r="K27" s="184">
        <f>SUM(K19:K26)</f>
        <v>701220657.81999993</v>
      </c>
      <c r="L27" s="139"/>
      <c r="M27" s="98">
        <f t="shared" si="26"/>
        <v>8</v>
      </c>
      <c r="N27" s="48" t="s">
        <v>186</v>
      </c>
      <c r="O27" s="185">
        <f>SUM(O19:O26)</f>
        <v>769094435.27311027</v>
      </c>
      <c r="P27" s="184">
        <f>SUM(P19:P26)</f>
        <v>-2297906.31</v>
      </c>
      <c r="Q27" s="185">
        <f>SUM(Q19:Q26)</f>
        <v>766796528.96311021</v>
      </c>
      <c r="R27" s="139"/>
      <c r="S27" s="185">
        <f>SUM(S19:S26)</f>
        <v>779574551.6485821</v>
      </c>
      <c r="T27" s="139"/>
      <c r="X27"/>
      <c r="Y27"/>
      <c r="Z27"/>
      <c r="AA27" s="48"/>
      <c r="AB27" s="98">
        <f t="shared" si="12"/>
        <v>11</v>
      </c>
      <c r="AC27" s="186" t="s">
        <v>187</v>
      </c>
      <c r="AD27" s="171">
        <v>1578274.6299999158</v>
      </c>
      <c r="AE27" s="171">
        <v>1400940.2499999157</v>
      </c>
      <c r="AF27" s="171">
        <f t="shared" si="17"/>
        <v>-177334.38000000012</v>
      </c>
      <c r="AG27" s="48"/>
      <c r="AH27" s="98">
        <f t="shared" si="13"/>
        <v>11</v>
      </c>
      <c r="AI27" s="182"/>
      <c r="AJ27" s="121"/>
      <c r="AK27" s="121"/>
      <c r="AL27" s="121"/>
      <c r="AM27" s="139"/>
      <c r="AN27" s="98">
        <f t="shared" si="1"/>
        <v>11</v>
      </c>
      <c r="AO27" s="147" t="s">
        <v>126</v>
      </c>
      <c r="AP27" s="125">
        <v>2186134.7040000008</v>
      </c>
      <c r="AQ27" s="125">
        <v>0</v>
      </c>
      <c r="AR27" s="121">
        <f>AQ27-AP27</f>
        <v>-2186134.7040000008</v>
      </c>
      <c r="AS27" s="48"/>
      <c r="AT27" s="98">
        <v>11</v>
      </c>
      <c r="AU27" s="123" t="s">
        <v>188</v>
      </c>
      <c r="AV27" s="128"/>
      <c r="AW27" s="128"/>
      <c r="AX27" s="128"/>
      <c r="AY27" s="160"/>
      <c r="BE27" s="48"/>
      <c r="BF27" s="98">
        <f t="shared" si="3"/>
        <v>11</v>
      </c>
      <c r="BG27" s="112" t="s">
        <v>189</v>
      </c>
      <c r="BH27" s="145">
        <v>-961846.34124999982</v>
      </c>
      <c r="BI27" s="145">
        <v>0.46279960731044412</v>
      </c>
      <c r="BJ27" s="47">
        <f t="shared" si="4"/>
        <v>961846.80404960713</v>
      </c>
      <c r="BK27" s="48"/>
      <c r="BL27" s="98">
        <v>11</v>
      </c>
      <c r="BM27" s="146" t="s">
        <v>190</v>
      </c>
      <c r="BN27" s="153">
        <v>5076480.9823312191</v>
      </c>
      <c r="BO27" s="153">
        <v>8630217.5016816612</v>
      </c>
      <c r="BP27" s="153">
        <v>3553736.5193504421</v>
      </c>
      <c r="BQ27" s="48"/>
      <c r="BR27" s="98"/>
      <c r="BS27" s="48"/>
      <c r="BU27" s="48"/>
      <c r="BV27" s="48"/>
      <c r="BW27" s="48"/>
      <c r="BX27" s="48"/>
      <c r="BY27" s="48"/>
      <c r="BZ27" s="187">
        <v>11</v>
      </c>
      <c r="CA27" s="188" t="s">
        <v>138</v>
      </c>
      <c r="CB27" s="189"/>
      <c r="CC27" s="189"/>
      <c r="CD27" s="189"/>
      <c r="CE27" s="167"/>
      <c r="CF27" s="48"/>
      <c r="CG27" s="43" t="s">
        <v>43</v>
      </c>
      <c r="CH27" s="48"/>
      <c r="CI27" s="48"/>
      <c r="CJ27" s="48"/>
      <c r="CK27" s="48"/>
      <c r="CL27" s="98">
        <f t="shared" si="7"/>
        <v>11</v>
      </c>
      <c r="CM27" s="147"/>
      <c r="CN27" s="139"/>
      <c r="CO27" s="139"/>
      <c r="CP27" s="139">
        <f>+CO27-CN27</f>
        <v>0</v>
      </c>
      <c r="CQ27" s="48"/>
      <c r="CR27" s="98">
        <f t="shared" si="14"/>
        <v>11</v>
      </c>
      <c r="CS27"/>
      <c r="CT27"/>
      <c r="CU27"/>
      <c r="CV27"/>
      <c r="CW27" s="133"/>
      <c r="CX27" s="48"/>
      <c r="CY27" s="48"/>
      <c r="CZ27" s="48"/>
      <c r="DA27" s="48"/>
      <c r="DB27" s="48"/>
      <c r="DC27" s="150"/>
      <c r="DD27" s="48"/>
      <c r="DE27" s="48"/>
      <c r="DF27" s="48"/>
      <c r="DG27" s="48"/>
      <c r="DH27" s="48"/>
      <c r="DI27" s="150"/>
      <c r="DJ27" s="48"/>
      <c r="DK27" s="48"/>
      <c r="DL27" s="48"/>
      <c r="DM27" s="48"/>
      <c r="DN27" s="48"/>
      <c r="DO27" s="48"/>
    </row>
    <row r="28" spans="1:119" ht="13.5" thickBot="1" x14ac:dyDescent="0.35">
      <c r="A28" s="98">
        <f t="shared" si="15"/>
        <v>10</v>
      </c>
      <c r="B28" s="46" t="s">
        <v>138</v>
      </c>
      <c r="C28" s="190"/>
      <c r="D28" s="190"/>
      <c r="E28" s="190"/>
      <c r="F28" s="116"/>
      <c r="G28" s="98">
        <f t="shared" si="25"/>
        <v>9</v>
      </c>
      <c r="H28" s="46" t="s">
        <v>138</v>
      </c>
      <c r="I28" s="190"/>
      <c r="J28" s="190"/>
      <c r="K28" s="190"/>
      <c r="L28" s="139"/>
      <c r="M28" s="98">
        <f t="shared" si="26"/>
        <v>9</v>
      </c>
      <c r="N28" s="46" t="s">
        <v>138</v>
      </c>
      <c r="O28" s="190"/>
      <c r="P28" s="190"/>
      <c r="Q28" s="190"/>
      <c r="R28" s="139"/>
      <c r="S28" s="190"/>
      <c r="T28" s="139"/>
      <c r="X28"/>
      <c r="Y28"/>
      <c r="Z28"/>
      <c r="AA28" s="48"/>
      <c r="AB28" s="98">
        <f t="shared" si="12"/>
        <v>12</v>
      </c>
      <c r="AC28" s="186" t="s">
        <v>191</v>
      </c>
      <c r="AD28" s="171">
        <v>467755.39350000006</v>
      </c>
      <c r="AE28" s="171">
        <v>415599.7905</v>
      </c>
      <c r="AF28" s="171">
        <f t="shared" si="17"/>
        <v>-52155.603000000061</v>
      </c>
      <c r="AG28" s="48"/>
      <c r="AH28" s="98">
        <f t="shared" si="13"/>
        <v>12</v>
      </c>
      <c r="AI28" s="46" t="s">
        <v>192</v>
      </c>
      <c r="AJ28" s="125"/>
      <c r="AK28" s="125"/>
      <c r="AL28" s="125"/>
      <c r="AM28" s="167"/>
      <c r="AN28" s="98">
        <f t="shared" si="1"/>
        <v>12</v>
      </c>
      <c r="AO28" s="191" t="s">
        <v>193</v>
      </c>
      <c r="AP28" s="172">
        <f>SUM(AP27:AP27)</f>
        <v>2186134.7040000008</v>
      </c>
      <c r="AQ28" s="172">
        <f>SUM(AQ27:AQ27)</f>
        <v>0</v>
      </c>
      <c r="AR28" s="172">
        <f>SUM(AR27:AR27)</f>
        <v>-2186134.7040000008</v>
      </c>
      <c r="AS28" s="48"/>
      <c r="AT28" s="98">
        <v>12</v>
      </c>
      <c r="AU28" s="192" t="s">
        <v>194</v>
      </c>
      <c r="AV28" s="143">
        <v>203316.52595000001</v>
      </c>
      <c r="AW28" s="143">
        <v>0</v>
      </c>
      <c r="AX28" s="164">
        <f>AW28-AV28</f>
        <v>-203316.52595000001</v>
      </c>
      <c r="AY28" s="160"/>
      <c r="BE28" s="48"/>
      <c r="BF28" s="98">
        <f t="shared" si="3"/>
        <v>12</v>
      </c>
      <c r="BG28" s="112" t="s">
        <v>195</v>
      </c>
      <c r="BH28" s="145">
        <v>56004.06</v>
      </c>
      <c r="BI28" s="145">
        <v>-0.15212960774078965</v>
      </c>
      <c r="BJ28" s="47">
        <f t="shared" si="4"/>
        <v>-56004.212129607738</v>
      </c>
      <c r="BK28" s="48"/>
      <c r="BL28" s="98">
        <v>12</v>
      </c>
      <c r="BM28" s="146" t="s">
        <v>196</v>
      </c>
      <c r="BN28" s="153">
        <v>2900846.2756178402</v>
      </c>
      <c r="BO28" s="153">
        <v>2900846.2756178402</v>
      </c>
      <c r="BP28" s="153">
        <v>0</v>
      </c>
      <c r="BQ28" s="48"/>
      <c r="BR28" s="98"/>
      <c r="BS28" s="48"/>
      <c r="BU28" s="48"/>
      <c r="BV28" s="48"/>
      <c r="BW28" s="48"/>
      <c r="BX28" s="48"/>
      <c r="BY28" s="48"/>
      <c r="BZ28" s="187">
        <v>12</v>
      </c>
      <c r="CA28" s="188" t="s">
        <v>197</v>
      </c>
      <c r="CB28" s="148">
        <f>SUM(CB24:CB27)</f>
        <v>340637.09</v>
      </c>
      <c r="CC28" s="148">
        <f>SUM(CC24:CC27)</f>
        <v>0</v>
      </c>
      <c r="CD28" s="148">
        <f>SUM(CD24:CD27)</f>
        <v>-340637.09</v>
      </c>
      <c r="CE28" s="167"/>
      <c r="CF28" s="130"/>
      <c r="CG28" s="130"/>
      <c r="CH28" s="130"/>
      <c r="CI28" s="130"/>
      <c r="CJ28" s="130"/>
      <c r="CK28" s="48"/>
      <c r="CL28" s="98">
        <f t="shared" si="7"/>
        <v>12</v>
      </c>
      <c r="CM28" s="147"/>
      <c r="CN28" s="139"/>
      <c r="CO28" s="139"/>
      <c r="CP28" s="139">
        <f>+CO28-CN28</f>
        <v>0</v>
      </c>
      <c r="CQ28" s="48"/>
      <c r="CR28" s="98">
        <f t="shared" si="14"/>
        <v>12</v>
      </c>
      <c r="CS28"/>
      <c r="CT28"/>
      <c r="CU28"/>
      <c r="CV28"/>
      <c r="CW28" s="133"/>
      <c r="CX28" s="48"/>
      <c r="CY28" s="48"/>
      <c r="CZ28" s="48"/>
      <c r="DA28" s="48"/>
      <c r="DB28" s="48"/>
      <c r="DC28" s="150"/>
      <c r="DD28" s="48"/>
      <c r="DE28" s="48"/>
      <c r="DF28" s="48"/>
      <c r="DG28" s="48"/>
      <c r="DH28" s="48"/>
      <c r="DI28" s="150"/>
      <c r="DJ28" s="48"/>
      <c r="DK28" s="48"/>
      <c r="DL28" s="48"/>
      <c r="DM28" s="48"/>
      <c r="DN28" s="48"/>
      <c r="DO28" s="48"/>
    </row>
    <row r="29" spans="1:119" ht="14" thickTop="1" thickBot="1" x14ac:dyDescent="0.35">
      <c r="A29" s="98">
        <f t="shared" si="15"/>
        <v>11</v>
      </c>
      <c r="B29" s="104" t="s">
        <v>198</v>
      </c>
      <c r="C29" s="153">
        <f>+'SEF-15 Adjustments'!K29</f>
        <v>120717329.14999999</v>
      </c>
      <c r="D29" s="145">
        <f>+'SEF-15 Adjustments'!S29</f>
        <v>105539340.61065163</v>
      </c>
      <c r="E29" s="139">
        <f t="shared" ref="E29:E32" si="27">+D29-C29</f>
        <v>-15177988.539348364</v>
      </c>
      <c r="F29" s="116"/>
      <c r="G29" s="98">
        <f t="shared" si="25"/>
        <v>10</v>
      </c>
      <c r="H29" s="104" t="s">
        <v>198</v>
      </c>
      <c r="I29" s="139">
        <v>128319985.64999999</v>
      </c>
      <c r="J29" s="139">
        <v>-7602656.5</v>
      </c>
      <c r="K29" s="153">
        <f>SUM(I29:J29)</f>
        <v>120717329.14999999</v>
      </c>
      <c r="L29" s="153"/>
      <c r="M29" s="98">
        <f t="shared" si="26"/>
        <v>10</v>
      </c>
      <c r="N29" s="104" t="s">
        <v>198</v>
      </c>
      <c r="O29" s="139">
        <v>113141997.11065163</v>
      </c>
      <c r="P29" s="139">
        <v>-7602656.5</v>
      </c>
      <c r="Q29" s="153">
        <f t="shared" ref="Q29:Q32" si="28">SUM(O29:P29)</f>
        <v>105539340.61065163</v>
      </c>
      <c r="R29" s="139"/>
      <c r="S29" s="153">
        <f>Q29</f>
        <v>105539340.61065163</v>
      </c>
      <c r="T29" s="153"/>
      <c r="X29"/>
      <c r="Y29"/>
      <c r="Z29"/>
      <c r="AA29" s="48"/>
      <c r="AB29" s="98">
        <f t="shared" si="12"/>
        <v>13</v>
      </c>
      <c r="AC29" s="48" t="s">
        <v>199</v>
      </c>
      <c r="AD29" s="171">
        <v>136296380.04000002</v>
      </c>
      <c r="AE29" s="171">
        <v>132089183.46000004</v>
      </c>
      <c r="AF29" s="171">
        <f t="shared" si="17"/>
        <v>-4207196.5799999833</v>
      </c>
      <c r="AG29" s="48"/>
      <c r="AH29" s="98">
        <f t="shared" si="13"/>
        <v>13</v>
      </c>
      <c r="AI29" s="46" t="s">
        <v>200</v>
      </c>
      <c r="AJ29" s="125"/>
      <c r="AK29" s="125"/>
      <c r="AL29" s="121">
        <v>431.08832811797038</v>
      </c>
      <c r="AM29" s="167"/>
      <c r="AN29" s="48"/>
      <c r="AO29" s="48"/>
      <c r="AP29" s="48"/>
      <c r="AQ29" s="48"/>
      <c r="AR29" s="48"/>
      <c r="AS29" s="48"/>
      <c r="AT29" s="98">
        <v>13</v>
      </c>
      <c r="AU29" s="104" t="s">
        <v>201</v>
      </c>
      <c r="AV29" s="125">
        <f>AV28</f>
        <v>203316.52595000001</v>
      </c>
      <c r="AW29" s="125">
        <f t="shared" ref="AW29:AX29" si="29">AW28</f>
        <v>0</v>
      </c>
      <c r="AX29" s="125">
        <f t="shared" si="29"/>
        <v>-203316.52595000001</v>
      </c>
      <c r="AY29" s="160"/>
      <c r="BE29" s="48"/>
      <c r="BF29" s="98">
        <f t="shared" si="3"/>
        <v>13</v>
      </c>
      <c r="BG29" s="112" t="s">
        <v>202</v>
      </c>
      <c r="BH29" s="145">
        <v>193459.84</v>
      </c>
      <c r="BI29" s="145">
        <v>0</v>
      </c>
      <c r="BJ29" s="47">
        <f t="shared" si="4"/>
        <v>-193459.84</v>
      </c>
      <c r="BK29" s="48"/>
      <c r="BL29" s="98">
        <v>13</v>
      </c>
      <c r="BM29" s="146" t="s">
        <v>203</v>
      </c>
      <c r="BN29" s="172">
        <v>-16196391.705532936</v>
      </c>
      <c r="BO29" s="172">
        <v>-29565210.040232215</v>
      </c>
      <c r="BP29" s="172">
        <v>-13368818.334699281</v>
      </c>
      <c r="BQ29" s="48"/>
      <c r="BR29" s="98"/>
      <c r="BS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130"/>
      <c r="CG29" s="130"/>
      <c r="CH29"/>
      <c r="CI29"/>
      <c r="CJ29"/>
      <c r="CK29" s="48"/>
      <c r="CL29" s="98">
        <f t="shared" si="7"/>
        <v>13</v>
      </c>
      <c r="CM29" s="147"/>
      <c r="CN29" s="139"/>
      <c r="CO29" s="169"/>
      <c r="CP29" s="139">
        <f>+CO29-CN29</f>
        <v>0</v>
      </c>
      <c r="CQ29" s="48"/>
      <c r="CR29" s="98">
        <f t="shared" si="14"/>
        <v>13</v>
      </c>
      <c r="CS29"/>
      <c r="CT29"/>
      <c r="CU29"/>
      <c r="CV29"/>
      <c r="CW29" s="193"/>
      <c r="CX29" s="48"/>
      <c r="CY29" s="48"/>
      <c r="CZ29" s="48"/>
      <c r="DA29" s="48"/>
      <c r="DB29" s="48"/>
      <c r="DC29" s="150"/>
      <c r="DD29" s="48"/>
      <c r="DE29" s="48"/>
      <c r="DF29" s="48"/>
      <c r="DG29" s="48"/>
      <c r="DH29" s="48"/>
      <c r="DI29" s="150"/>
      <c r="DJ29" s="48"/>
      <c r="DK29" s="48"/>
      <c r="DL29" s="48"/>
      <c r="DM29" s="48"/>
      <c r="DN29" s="48"/>
      <c r="DO29" s="48"/>
    </row>
    <row r="30" spans="1:119" ht="13.5" thickTop="1" x14ac:dyDescent="0.3">
      <c r="A30" s="98">
        <f t="shared" si="15"/>
        <v>12</v>
      </c>
      <c r="B30" s="112" t="s">
        <v>204</v>
      </c>
      <c r="C30" s="139">
        <f>+'SEF-15 Adjustments'!K30</f>
        <v>728609.68</v>
      </c>
      <c r="D30" s="139">
        <f>+'SEF-15 Adjustments'!S30</f>
        <v>728609.68</v>
      </c>
      <c r="E30" s="139">
        <f t="shared" si="27"/>
        <v>0</v>
      </c>
      <c r="F30" s="48"/>
      <c r="G30" s="98">
        <f t="shared" si="25"/>
        <v>11</v>
      </c>
      <c r="H30" s="112" t="s">
        <v>204</v>
      </c>
      <c r="I30" s="139">
        <v>728609.68</v>
      </c>
      <c r="J30" s="139">
        <v>0</v>
      </c>
      <c r="K30" s="153">
        <f>SUM(I30:J30)</f>
        <v>728609.68</v>
      </c>
      <c r="L30" s="153"/>
      <c r="M30" s="98">
        <f t="shared" si="26"/>
        <v>11</v>
      </c>
      <c r="N30" s="112" t="s">
        <v>204</v>
      </c>
      <c r="O30" s="139">
        <v>728609.68</v>
      </c>
      <c r="P30" s="139">
        <v>0</v>
      </c>
      <c r="Q30" s="139">
        <f t="shared" si="28"/>
        <v>728609.68</v>
      </c>
      <c r="R30" s="139"/>
      <c r="S30" s="153">
        <f>Q30</f>
        <v>728609.68</v>
      </c>
      <c r="T30" s="153"/>
      <c r="X30"/>
      <c r="Y30"/>
      <c r="Z30"/>
      <c r="AA30" s="48"/>
      <c r="AB30" s="98">
        <f t="shared" si="12"/>
        <v>14</v>
      </c>
      <c r="AC30" s="158" t="s">
        <v>205</v>
      </c>
      <c r="AD30" s="171">
        <v>-150654882.25291669</v>
      </c>
      <c r="AE30" s="171">
        <v>-150865209.69</v>
      </c>
      <c r="AF30" s="171">
        <f t="shared" si="17"/>
        <v>-210327.43708330393</v>
      </c>
      <c r="AG30" s="48"/>
      <c r="AH30" s="98">
        <f t="shared" si="13"/>
        <v>14</v>
      </c>
      <c r="AI30" s="46" t="s">
        <v>137</v>
      </c>
      <c r="AJ30" s="125"/>
      <c r="AK30" s="125"/>
      <c r="AL30" s="164">
        <f>-AL29*0.21</f>
        <v>-90.528548904773771</v>
      </c>
      <c r="AM30" s="167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160"/>
      <c r="BE30" s="48"/>
      <c r="BF30" s="98">
        <f t="shared" si="3"/>
        <v>14</v>
      </c>
      <c r="BG30" s="112" t="s">
        <v>206</v>
      </c>
      <c r="BH30" s="145">
        <v>-530083.09</v>
      </c>
      <c r="BI30" s="145">
        <v>0.16050000127870589</v>
      </c>
      <c r="BJ30" s="47">
        <f t="shared" si="4"/>
        <v>530083.25050000125</v>
      </c>
      <c r="BN30" s="48"/>
      <c r="BO30" s="48"/>
      <c r="BP30" s="48"/>
      <c r="BQ30" s="48"/>
      <c r="BR30" s="98"/>
      <c r="BS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98"/>
      <c r="CG30" s="48"/>
      <c r="CH30"/>
      <c r="CI30"/>
      <c r="CJ30"/>
      <c r="CK30" s="48"/>
      <c r="CL30" s="98">
        <f t="shared" si="7"/>
        <v>14</v>
      </c>
      <c r="CM30" s="147"/>
      <c r="CN30" s="177"/>
      <c r="CO30" s="177"/>
      <c r="CP30" s="139">
        <f>+CO30-CN30</f>
        <v>0</v>
      </c>
      <c r="CQ30" s="48"/>
      <c r="CR30" s="98"/>
      <c r="CS30"/>
      <c r="CT30"/>
      <c r="CU30"/>
      <c r="CV30"/>
      <c r="CW30" s="48"/>
      <c r="CX30" s="48"/>
      <c r="CY30" s="48"/>
      <c r="CZ30" s="48"/>
      <c r="DA30" s="48"/>
      <c r="DB30" s="48"/>
      <c r="DC30" s="150"/>
      <c r="DD30" s="48"/>
      <c r="DE30" s="48"/>
      <c r="DF30" s="48"/>
      <c r="DG30" s="48"/>
      <c r="DH30" s="48"/>
      <c r="DI30" s="150"/>
      <c r="DJ30" s="48"/>
      <c r="DK30" s="48"/>
      <c r="DL30" s="48"/>
      <c r="DM30" s="48"/>
      <c r="DN30" s="48"/>
      <c r="DO30" s="48"/>
    </row>
    <row r="31" spans="1:119" ht="13.5" thickBot="1" x14ac:dyDescent="0.35">
      <c r="A31" s="98">
        <f t="shared" si="15"/>
        <v>13</v>
      </c>
      <c r="B31" s="112" t="s">
        <v>207</v>
      </c>
      <c r="C31" s="139">
        <f>+'SEF-15 Adjustments'!K31</f>
        <v>-6480453.6300000008</v>
      </c>
      <c r="D31" s="139">
        <f>+'SEF-15 Adjustments'!S31</f>
        <v>-6515420.6045234576</v>
      </c>
      <c r="E31" s="139">
        <f t="shared" si="27"/>
        <v>-34966.974523456767</v>
      </c>
      <c r="F31" s="116"/>
      <c r="G31" s="98">
        <f t="shared" si="25"/>
        <v>12</v>
      </c>
      <c r="H31" s="112" t="s">
        <v>207</v>
      </c>
      <c r="I31" s="139">
        <v>-6480453.6300000008</v>
      </c>
      <c r="J31" s="139">
        <v>0</v>
      </c>
      <c r="K31" s="153">
        <f>SUM(I31:J31)</f>
        <v>-6480453.6300000008</v>
      </c>
      <c r="L31" s="153"/>
      <c r="M31" s="98">
        <f t="shared" si="26"/>
        <v>12</v>
      </c>
      <c r="N31" s="112" t="s">
        <v>207</v>
      </c>
      <c r="O31" s="139">
        <v>-6515420.6045234576</v>
      </c>
      <c r="P31" s="139">
        <v>0</v>
      </c>
      <c r="Q31" s="139">
        <f t="shared" si="28"/>
        <v>-6515420.6045234576</v>
      </c>
      <c r="R31" s="139"/>
      <c r="S31" s="153">
        <f>Q31</f>
        <v>-6515420.6045234576</v>
      </c>
      <c r="T31" s="153"/>
      <c r="X31"/>
      <c r="Y31"/>
      <c r="Z31"/>
      <c r="AA31" s="48"/>
      <c r="AB31" s="98">
        <f t="shared" si="12"/>
        <v>15</v>
      </c>
      <c r="AC31" s="158" t="s">
        <v>137</v>
      </c>
      <c r="AD31" s="171">
        <v>-488477983.55321652</v>
      </c>
      <c r="AE31" s="171">
        <v>-464140049.55676377</v>
      </c>
      <c r="AF31" s="171">
        <f t="shared" si="17"/>
        <v>24337933.996452749</v>
      </c>
      <c r="AG31" s="48"/>
      <c r="AH31" s="98">
        <f t="shared" si="13"/>
        <v>15</v>
      </c>
      <c r="AI31" s="46" t="s">
        <v>203</v>
      </c>
      <c r="AJ31" s="125"/>
      <c r="AK31" s="125"/>
      <c r="AL31" s="172">
        <f>SUM(AL29:AL30)</f>
        <v>340.55977921319663</v>
      </c>
      <c r="AM31" s="128"/>
      <c r="AN31" s="98"/>
      <c r="AO31" s="194"/>
      <c r="AP31" s="174"/>
      <c r="AQ31" s="174"/>
      <c r="AR31" s="160"/>
      <c r="AS31" s="48"/>
      <c r="AT31" s="48"/>
      <c r="AU31" s="48"/>
      <c r="AV31" s="48"/>
      <c r="AW31" s="48"/>
      <c r="AX31" s="48"/>
      <c r="AY31" s="174"/>
      <c r="BE31" s="48"/>
      <c r="BF31" s="98">
        <f t="shared" si="3"/>
        <v>15</v>
      </c>
      <c r="BG31" s="112" t="s">
        <v>208</v>
      </c>
      <c r="BH31" s="145">
        <v>2321315.9145833328</v>
      </c>
      <c r="BI31" s="145">
        <v>3.6183103919029236E-2</v>
      </c>
      <c r="BJ31" s="47">
        <f t="shared" si="4"/>
        <v>-2321315.8784002289</v>
      </c>
      <c r="BN31" s="48"/>
      <c r="BO31" s="48"/>
      <c r="BP31" s="48"/>
      <c r="BQ31" s="48"/>
      <c r="BR31" s="98"/>
      <c r="BS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98"/>
      <c r="CG31" s="48"/>
      <c r="CH31"/>
      <c r="CI31"/>
      <c r="CJ31"/>
      <c r="CK31" s="48"/>
      <c r="CL31" s="98">
        <f t="shared" si="7"/>
        <v>15</v>
      </c>
      <c r="CM31" s="167"/>
      <c r="CN31" s="172">
        <f>SUM(CN26:CN30)</f>
        <v>0</v>
      </c>
      <c r="CO31" s="172">
        <f>SUM(CO26:CO30)</f>
        <v>0</v>
      </c>
      <c r="CP31" s="172">
        <f>SUM(CP26:CP30)</f>
        <v>0</v>
      </c>
      <c r="CQ31" s="48"/>
      <c r="CR31" s="98"/>
      <c r="CS31"/>
      <c r="CT31"/>
      <c r="CU31"/>
      <c r="CV31"/>
      <c r="CW31" s="48"/>
      <c r="CX31" s="48"/>
      <c r="CY31" s="48"/>
      <c r="CZ31" s="48"/>
      <c r="DA31" s="48"/>
      <c r="DB31" s="48"/>
      <c r="DC31" s="150"/>
      <c r="DD31" s="48"/>
      <c r="DE31" s="48"/>
      <c r="DF31" s="48"/>
      <c r="DG31" s="48"/>
      <c r="DH31" s="48"/>
      <c r="DI31" s="150"/>
      <c r="DJ31" s="48"/>
      <c r="DK31" s="48"/>
      <c r="DL31" s="48"/>
      <c r="DM31" s="48"/>
      <c r="DN31" s="48"/>
      <c r="DO31" s="48"/>
    </row>
    <row r="32" spans="1:119" ht="13.5" thickTop="1" x14ac:dyDescent="0.3">
      <c r="A32" s="98">
        <f t="shared" si="15"/>
        <v>14</v>
      </c>
      <c r="B32" s="112" t="s">
        <v>209</v>
      </c>
      <c r="C32" s="139">
        <f>+'SEF-15 Adjustments'!K32</f>
        <v>0</v>
      </c>
      <c r="D32" s="139">
        <f>+'SEF-15 Adjustments'!S32</f>
        <v>4163374.1001599999</v>
      </c>
      <c r="E32" s="139">
        <f t="shared" si="27"/>
        <v>4163374.1001599999</v>
      </c>
      <c r="G32" s="98">
        <f t="shared" si="25"/>
        <v>13</v>
      </c>
      <c r="H32" s="112" t="s">
        <v>209</v>
      </c>
      <c r="I32" s="139">
        <v>0</v>
      </c>
      <c r="J32" s="139">
        <v>0</v>
      </c>
      <c r="K32" s="153">
        <f>SUM(I32:J32)</f>
        <v>0</v>
      </c>
      <c r="L32" s="153"/>
      <c r="M32" s="98">
        <f t="shared" si="26"/>
        <v>13</v>
      </c>
      <c r="N32" s="112" t="s">
        <v>209</v>
      </c>
      <c r="O32" s="139">
        <v>4094424</v>
      </c>
      <c r="P32" s="139">
        <v>0</v>
      </c>
      <c r="Q32" s="139">
        <f t="shared" si="28"/>
        <v>4094424</v>
      </c>
      <c r="R32" s="139"/>
      <c r="S32" s="153">
        <f>Q32*$S$17</f>
        <v>4163374.1001599999</v>
      </c>
      <c r="T32" s="153"/>
      <c r="X32"/>
      <c r="Y32"/>
      <c r="Z32"/>
      <c r="AA32" s="48"/>
      <c r="AB32" s="98">
        <f t="shared" si="12"/>
        <v>16</v>
      </c>
      <c r="AC32" s="158" t="s">
        <v>210</v>
      </c>
      <c r="AD32" s="171">
        <v>-85376773.737916663</v>
      </c>
      <c r="AE32" s="171">
        <v>-77559257.430000007</v>
      </c>
      <c r="AF32" s="171">
        <f t="shared" si="17"/>
        <v>7817516.3079166561</v>
      </c>
      <c r="AG32" s="48"/>
      <c r="AH32" s="98">
        <f t="shared" si="13"/>
        <v>16</v>
      </c>
      <c r="AI32" s="182"/>
      <c r="AJ32" s="125"/>
      <c r="AK32" s="125"/>
      <c r="AL32" s="48"/>
      <c r="AM32" s="167"/>
      <c r="AN32" s="195"/>
      <c r="AO32" s="194"/>
      <c r="AP32" s="194"/>
      <c r="AQ32" s="194"/>
      <c r="AR32" s="194"/>
      <c r="AS32" s="48"/>
      <c r="AT32" s="98"/>
      <c r="AU32" s="192"/>
      <c r="AV32" s="48"/>
      <c r="AW32" s="48"/>
      <c r="AX32" s="48"/>
      <c r="AY32" s="160"/>
      <c r="BE32" s="48"/>
      <c r="BF32" s="98">
        <f t="shared" si="3"/>
        <v>16</v>
      </c>
      <c r="BG32" s="112" t="s">
        <v>211</v>
      </c>
      <c r="BH32" s="145">
        <v>0</v>
      </c>
      <c r="BI32" s="145">
        <v>-8650215.1470986065</v>
      </c>
      <c r="BJ32" s="47">
        <f t="shared" si="4"/>
        <v>-8650215.1470986065</v>
      </c>
      <c r="BL32" s="98"/>
      <c r="BM32" s="146"/>
      <c r="BN32" s="48"/>
      <c r="BO32" s="48"/>
      <c r="BP32" s="48"/>
      <c r="BQ32" s="48"/>
      <c r="BR32" s="98"/>
      <c r="BS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98"/>
      <c r="CG32" s="48"/>
      <c r="CH32"/>
      <c r="CI32"/>
      <c r="CJ32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150"/>
      <c r="DD32" s="48"/>
      <c r="DE32" s="48"/>
      <c r="DF32" s="48"/>
      <c r="DG32" s="48"/>
      <c r="DH32" s="48"/>
      <c r="DI32" s="150"/>
      <c r="DJ32" s="48"/>
      <c r="DK32" s="48"/>
      <c r="DL32" s="48"/>
      <c r="DM32" s="48"/>
      <c r="DN32" s="48"/>
      <c r="DO32" s="48"/>
    </row>
    <row r="33" spans="1:119" ht="14" thickBot="1" x14ac:dyDescent="0.4">
      <c r="A33" s="98">
        <f t="shared" si="15"/>
        <v>15</v>
      </c>
      <c r="B33" s="104" t="s">
        <v>134</v>
      </c>
      <c r="C33" s="196">
        <f>SUM(C27,C29:C32)</f>
        <v>816186143.01999986</v>
      </c>
      <c r="D33" s="197">
        <f>SUM(D27,D29:D32)</f>
        <v>883490455.43487024</v>
      </c>
      <c r="E33" s="197">
        <f>SUM(E27,E29:E32)</f>
        <v>67304312.414870322</v>
      </c>
      <c r="H33" s="104" t="s">
        <v>134</v>
      </c>
      <c r="I33" s="172">
        <f>SUM(I27,I29:I32)</f>
        <v>826086705.82999992</v>
      </c>
      <c r="J33" s="172">
        <f>SUM(J27,J29:J32)</f>
        <v>-9900562.8100000005</v>
      </c>
      <c r="K33" s="172">
        <f>SUM(K27,K29:K32)</f>
        <v>816186143.01999986</v>
      </c>
      <c r="M33" s="48"/>
      <c r="N33" s="104" t="s">
        <v>134</v>
      </c>
      <c r="O33" s="197">
        <f>SUM(O27,O29:O32)</f>
        <v>880544045.45923841</v>
      </c>
      <c r="P33" s="196">
        <f>SUM(P27,P29:P32)</f>
        <v>-9900562.8100000005</v>
      </c>
      <c r="Q33" s="197">
        <f>SUM(Q27,Q29:Q32)</f>
        <v>870643482.64923835</v>
      </c>
      <c r="R33" s="198"/>
      <c r="S33" s="197">
        <f>SUM(S27,S29:S32)</f>
        <v>883490455.43487024</v>
      </c>
      <c r="T33" s="129"/>
      <c r="X33"/>
      <c r="Y33"/>
      <c r="Z33"/>
      <c r="AA33" s="48"/>
      <c r="AB33" s="98">
        <f t="shared" si="12"/>
        <v>17</v>
      </c>
      <c r="AC33" s="158" t="s">
        <v>138</v>
      </c>
      <c r="AD33" s="199"/>
      <c r="AE33" s="199"/>
      <c r="AF33" s="199"/>
      <c r="AG33" s="48"/>
      <c r="AH33" s="98">
        <f t="shared" si="13"/>
        <v>17</v>
      </c>
      <c r="AI33" s="200" t="s">
        <v>212</v>
      </c>
      <c r="AJ33" s="125"/>
      <c r="AK33" s="125"/>
      <c r="AL33" s="48"/>
      <c r="AM33" s="167"/>
      <c r="AN33" s="195"/>
      <c r="AO33" s="194"/>
      <c r="AP33" s="48"/>
      <c r="AQ33" s="48"/>
      <c r="AR33" s="201"/>
      <c r="AS33" s="48"/>
      <c r="AT33" s="98"/>
      <c r="AU33" s="146"/>
      <c r="AV33" s="174"/>
      <c r="AW33" s="174"/>
      <c r="AX33" s="160"/>
      <c r="AY33" s="160"/>
      <c r="BE33" s="48"/>
      <c r="BF33" s="98">
        <f t="shared" si="3"/>
        <v>17</v>
      </c>
      <c r="BG33" s="202" t="s">
        <v>213</v>
      </c>
      <c r="BH33" s="172">
        <f>SUM(BH17:BH32)</f>
        <v>163785795.29336357</v>
      </c>
      <c r="BI33" s="172">
        <f>SUM(BI17:BI32)</f>
        <v>138307633.43474102</v>
      </c>
      <c r="BJ33" s="172">
        <f>SUM(BJ17:BJ32)</f>
        <v>-25478161.858622536</v>
      </c>
      <c r="BL33" s="98"/>
      <c r="BM33" s="146"/>
      <c r="BN33" s="48"/>
      <c r="BO33" s="48"/>
      <c r="BP33" s="48"/>
      <c r="BQ33" s="48"/>
      <c r="BR33" s="98"/>
      <c r="BS33" s="48"/>
      <c r="BU33" s="48"/>
      <c r="BV33" s="48"/>
      <c r="BW33" s="48"/>
      <c r="BX33" s="48"/>
      <c r="BY33" s="48"/>
      <c r="BZ33" s="98"/>
      <c r="CA33" s="48"/>
      <c r="CB33" s="128"/>
      <c r="CC33" s="128"/>
      <c r="CD33" s="128"/>
      <c r="CE33" s="48"/>
      <c r="CF33" s="48"/>
      <c r="CG33" s="48"/>
      <c r="CH33"/>
      <c r="CI33"/>
      <c r="CJ33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150"/>
      <c r="DD33" s="48"/>
      <c r="DE33" s="48"/>
      <c r="DF33" s="48"/>
      <c r="DG33" s="48"/>
      <c r="DH33" s="48"/>
      <c r="DI33" s="150"/>
      <c r="DJ33" s="48"/>
      <c r="DK33" s="48"/>
      <c r="DL33" s="48"/>
      <c r="DM33" s="48"/>
      <c r="DN33" s="48"/>
      <c r="DO33" s="48"/>
    </row>
    <row r="34" spans="1:119" ht="14" thickTop="1" thickBot="1" x14ac:dyDescent="0.35">
      <c r="A34" s="98"/>
      <c r="B34" s="203"/>
      <c r="C34" s="256"/>
      <c r="D34" s="256"/>
      <c r="E34" s="256"/>
      <c r="F34" s="48"/>
      <c r="H34" s="203"/>
      <c r="I34" s="256"/>
      <c r="J34" s="256"/>
      <c r="K34" s="256"/>
      <c r="N34" s="203"/>
      <c r="O34" s="256"/>
      <c r="P34" s="256"/>
      <c r="Q34" s="256"/>
      <c r="R34" s="48"/>
      <c r="S34" s="256"/>
      <c r="X34"/>
      <c r="Y34"/>
      <c r="Z34"/>
      <c r="AA34" s="48"/>
      <c r="AB34" s="98">
        <f t="shared" si="12"/>
        <v>18</v>
      </c>
      <c r="AC34" s="158" t="s">
        <v>214</v>
      </c>
      <c r="AD34" s="204">
        <f>SUM(AD19:AD33)</f>
        <v>1527004038.7677004</v>
      </c>
      <c r="AE34" s="204">
        <f>SUM(AE19:AE33)</f>
        <v>1441448467.4883196</v>
      </c>
      <c r="AF34" s="204">
        <f>SUM(AF19:AF33)</f>
        <v>-85555571.279380888</v>
      </c>
      <c r="AG34" s="48"/>
      <c r="AH34" s="98">
        <f t="shared" si="13"/>
        <v>18</v>
      </c>
      <c r="AJ34" s="125"/>
      <c r="AK34" s="125"/>
      <c r="AL34" s="125"/>
      <c r="AM34" s="48"/>
      <c r="AN34" s="195"/>
      <c r="AO34" s="205"/>
      <c r="AP34" s="206"/>
      <c r="AQ34" s="160"/>
      <c r="AR34" s="206"/>
      <c r="AS34" s="48"/>
      <c r="AT34" s="48"/>
      <c r="AU34" s="48"/>
      <c r="AV34" s="48"/>
      <c r="AW34" s="48"/>
      <c r="AX34" s="48"/>
      <c r="AY34" s="160"/>
      <c r="BE34" s="48"/>
      <c r="BF34" s="98">
        <f t="shared" si="3"/>
        <v>18</v>
      </c>
      <c r="BG34" s="112"/>
      <c r="BH34" s="112"/>
      <c r="BI34" s="112"/>
      <c r="BJ34" s="112"/>
      <c r="BL34" s="207"/>
      <c r="BM34" s="48"/>
      <c r="BN34" s="48"/>
      <c r="BO34" s="48"/>
      <c r="BP34" s="48"/>
      <c r="BQ34" s="48"/>
      <c r="BR34" s="98"/>
      <c r="BS34" s="48"/>
      <c r="BU34" s="48"/>
      <c r="BV34" s="48"/>
      <c r="BW34" s="48"/>
      <c r="BX34" s="48"/>
      <c r="BY34" s="48"/>
      <c r="BZ34" s="98"/>
      <c r="CA34" s="48"/>
      <c r="CB34" s="128"/>
      <c r="CC34" s="128"/>
      <c r="CD34" s="128"/>
      <c r="CE34" s="48"/>
      <c r="CF34" s="48"/>
      <c r="CG34" s="48"/>
      <c r="CH34"/>
      <c r="CI34"/>
      <c r="CJ34"/>
      <c r="CK34" s="48"/>
      <c r="CL34" s="104"/>
      <c r="CM34" s="104"/>
      <c r="CN34" s="208"/>
      <c r="CO34" s="208"/>
      <c r="CP34" s="208"/>
      <c r="CQ34" s="48"/>
      <c r="CR34" s="98"/>
      <c r="CS34" s="209"/>
      <c r="CT34" s="48"/>
      <c r="CU34" s="48"/>
      <c r="CV34" s="48"/>
      <c r="CW34" s="48"/>
      <c r="CX34" s="48"/>
      <c r="CY34" s="48"/>
      <c r="CZ34" s="48"/>
      <c r="DA34" s="48"/>
      <c r="DB34" s="48"/>
      <c r="DC34" s="150"/>
      <c r="DD34" s="48"/>
      <c r="DE34" s="48"/>
      <c r="DF34" s="48"/>
      <c r="DG34" s="48"/>
      <c r="DH34" s="48"/>
      <c r="DI34" s="150"/>
      <c r="DJ34" s="48"/>
      <c r="DK34" s="48"/>
      <c r="DL34" s="48"/>
      <c r="DM34" s="48"/>
      <c r="DN34" s="48"/>
      <c r="DO34" s="48"/>
    </row>
    <row r="35" spans="1:119" ht="13.5" thickTop="1" x14ac:dyDescent="0.3">
      <c r="Q35" s="210"/>
      <c r="S35" s="210"/>
      <c r="X35"/>
      <c r="Y35"/>
      <c r="Z35"/>
      <c r="AA35" s="48"/>
      <c r="AB35" s="98">
        <f t="shared" si="12"/>
        <v>19</v>
      </c>
      <c r="AC35" s="158"/>
      <c r="AD35" s="191"/>
      <c r="AE35" s="191"/>
      <c r="AF35" s="191"/>
      <c r="AG35" s="48"/>
      <c r="AH35" s="98">
        <f t="shared" si="13"/>
        <v>19</v>
      </c>
      <c r="AI35" s="46" t="s">
        <v>215</v>
      </c>
      <c r="AJ35" s="125">
        <v>3510506.9600000023</v>
      </c>
      <c r="AK35" s="125">
        <v>3433556.0410089949</v>
      </c>
      <c r="AL35" s="121">
        <f t="shared" ref="AL35:AL36" si="30">AK35-AJ35</f>
        <v>-76950.918991007376</v>
      </c>
      <c r="AM35" s="48"/>
      <c r="AN35" s="195"/>
      <c r="AO35" s="205"/>
      <c r="AP35" s="206"/>
      <c r="AQ35" s="160"/>
      <c r="AR35" s="206"/>
      <c r="AS35" s="48"/>
      <c r="AT35" s="48"/>
      <c r="AU35" s="48"/>
      <c r="AY35" s="160"/>
      <c r="BE35" s="48"/>
      <c r="BF35" s="98">
        <f t="shared" si="3"/>
        <v>19</v>
      </c>
      <c r="BG35" s="112"/>
      <c r="BH35" s="112"/>
      <c r="BI35" s="112"/>
      <c r="BJ35" s="112"/>
      <c r="BL35" s="207"/>
      <c r="BM35" s="48"/>
      <c r="BN35" s="48"/>
      <c r="BO35" s="48"/>
      <c r="BP35" s="48"/>
      <c r="BQ35" s="48"/>
      <c r="BR35" s="98"/>
      <c r="BS35" s="48"/>
      <c r="BT35" s="160"/>
      <c r="BU35" s="160"/>
      <c r="BV35" s="160"/>
      <c r="BW35" s="160"/>
      <c r="BX35" s="160"/>
      <c r="BY35" s="48"/>
      <c r="BZ35" s="98"/>
      <c r="CA35" s="48"/>
      <c r="CB35" s="128"/>
      <c r="CC35" s="128"/>
      <c r="CD35" s="128"/>
      <c r="CE35" s="48"/>
      <c r="CF35" s="48"/>
      <c r="CG35" s="48"/>
      <c r="CH35"/>
      <c r="CI35"/>
      <c r="CJ35"/>
      <c r="CK35" s="48"/>
      <c r="CL35" s="211"/>
      <c r="CM35" s="48"/>
      <c r="CN35" s="48"/>
      <c r="CO35" s="48"/>
      <c r="CP35" s="48"/>
      <c r="CQ35" s="48"/>
      <c r="CR35" s="98"/>
      <c r="CS35" s="212"/>
      <c r="CT35" s="212"/>
      <c r="CU35" s="212"/>
      <c r="CV35" s="48"/>
      <c r="CW35" s="48"/>
      <c r="CX35" s="48"/>
      <c r="CY35" s="48"/>
      <c r="CZ35" s="48"/>
      <c r="DA35" s="48"/>
      <c r="DB35" s="48"/>
      <c r="DC35" s="150"/>
      <c r="DD35" s="48"/>
      <c r="DE35" s="48"/>
      <c r="DF35" s="48"/>
      <c r="DG35" s="48"/>
      <c r="DH35" s="48"/>
      <c r="DI35" s="150"/>
      <c r="DJ35" s="48"/>
      <c r="DK35" s="48"/>
      <c r="DL35" s="48"/>
      <c r="DM35" s="48"/>
      <c r="DN35" s="48"/>
      <c r="DO35" s="48"/>
    </row>
    <row r="36" spans="1:119" ht="13.5" x14ac:dyDescent="0.35">
      <c r="A36"/>
      <c r="B36" s="43" t="s">
        <v>43</v>
      </c>
      <c r="C36"/>
      <c r="D36"/>
      <c r="E36"/>
      <c r="F36"/>
      <c r="G36"/>
      <c r="H36" s="43"/>
      <c r="I36"/>
      <c r="J36"/>
      <c r="K36"/>
      <c r="L36"/>
      <c r="M36"/>
      <c r="N36" s="43" t="s">
        <v>43</v>
      </c>
      <c r="O36"/>
      <c r="P36"/>
      <c r="Q36"/>
      <c r="R36"/>
      <c r="S36"/>
      <c r="X36"/>
      <c r="Y36"/>
      <c r="Z36"/>
      <c r="AA36" s="48"/>
      <c r="AB36" s="98">
        <f t="shared" si="12"/>
        <v>20</v>
      </c>
      <c r="AC36" s="57" t="s">
        <v>216</v>
      </c>
      <c r="AD36" s="213"/>
      <c r="AE36" s="213"/>
      <c r="AF36" s="213"/>
      <c r="AG36" s="48"/>
      <c r="AH36" s="98">
        <f t="shared" si="13"/>
        <v>20</v>
      </c>
      <c r="AI36" s="46" t="s">
        <v>177</v>
      </c>
      <c r="AJ36" s="164">
        <v>248122.91400000011</v>
      </c>
      <c r="AK36" s="164">
        <v>248122.91400000011</v>
      </c>
      <c r="AL36" s="164">
        <f t="shared" si="30"/>
        <v>0</v>
      </c>
      <c r="AM36" s="48"/>
      <c r="AN36" s="195"/>
      <c r="AO36" s="214"/>
      <c r="AP36" s="206"/>
      <c r="AQ36" s="160"/>
      <c r="AR36" s="206"/>
      <c r="AS36" s="48"/>
      <c r="AT36" s="48"/>
      <c r="AU36" s="48"/>
      <c r="AY36" s="160"/>
      <c r="BE36" s="48"/>
      <c r="BF36" s="98">
        <f t="shared" si="3"/>
        <v>20</v>
      </c>
      <c r="BG36" s="112"/>
      <c r="BH36" s="121"/>
      <c r="BI36" s="121"/>
      <c r="BJ36" s="121"/>
      <c r="BL36" s="128"/>
      <c r="BM36" s="48"/>
      <c r="BP36" s="48"/>
      <c r="BQ36" s="48"/>
      <c r="BR36" s="98"/>
      <c r="BS36" s="48"/>
      <c r="BT36" s="48"/>
      <c r="BU36" s="48"/>
      <c r="BV36" s="48"/>
      <c r="BW36" s="48"/>
      <c r="BX36" s="48"/>
      <c r="BY36" s="48"/>
      <c r="BZ36" s="98"/>
      <c r="CA36" s="48"/>
      <c r="CB36" s="128"/>
      <c r="CC36" s="128"/>
      <c r="CD36" s="128"/>
      <c r="CE36" s="48"/>
      <c r="CF36" s="48"/>
      <c r="CG36" s="48"/>
      <c r="CH36"/>
      <c r="CI36"/>
      <c r="CJ36"/>
      <c r="CK36" s="48"/>
      <c r="CL36" s="195"/>
      <c r="CM36" s="48"/>
      <c r="CN36" s="48"/>
      <c r="CO36" s="48"/>
      <c r="CP36" s="48"/>
      <c r="CQ36" s="48"/>
      <c r="CR36" s="98"/>
      <c r="CS36" s="48"/>
      <c r="CT36" s="145"/>
      <c r="CU36" s="145"/>
      <c r="CV36" s="48"/>
      <c r="CW36" s="48"/>
      <c r="CX36" s="48"/>
      <c r="CY36" s="48"/>
      <c r="CZ36" s="48"/>
      <c r="DA36" s="48"/>
      <c r="DB36" s="48"/>
      <c r="DC36" s="150"/>
      <c r="DD36" s="48"/>
      <c r="DE36" s="48"/>
      <c r="DF36" s="48"/>
      <c r="DG36" s="48"/>
      <c r="DH36" s="48"/>
      <c r="DI36" s="150"/>
      <c r="DJ36" s="48"/>
      <c r="DK36" s="48"/>
      <c r="DL36" s="48"/>
      <c r="DM36" s="48"/>
      <c r="DN36" s="48"/>
      <c r="DO36" s="48"/>
    </row>
    <row r="37" spans="1:119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X37" s="48"/>
      <c r="Y37" s="48"/>
      <c r="Z37" s="48"/>
      <c r="AA37" s="48"/>
      <c r="AB37" s="98">
        <f t="shared" si="12"/>
        <v>21</v>
      </c>
      <c r="AC37" s="53"/>
      <c r="AD37" s="213"/>
      <c r="AE37" s="215"/>
      <c r="AF37" s="213"/>
      <c r="AG37" s="48"/>
      <c r="AH37" s="98">
        <f t="shared" si="13"/>
        <v>21</v>
      </c>
      <c r="AI37" s="46" t="s">
        <v>217</v>
      </c>
      <c r="AJ37" s="125">
        <v>3510506.9600000023</v>
      </c>
      <c r="AK37" s="125">
        <v>3433556.0410089949</v>
      </c>
      <c r="AL37" s="125">
        <f>SUM(AL35:AL36)</f>
        <v>-76950.918991007376</v>
      </c>
      <c r="AM37" s="48"/>
      <c r="AN37" s="195"/>
      <c r="AO37" s="214"/>
      <c r="AP37" s="216"/>
      <c r="AQ37" s="174"/>
      <c r="AR37" s="206"/>
      <c r="AS37" s="48"/>
      <c r="AT37" s="48"/>
      <c r="AU37" s="48"/>
      <c r="AY37" s="160"/>
      <c r="BE37" s="48"/>
      <c r="BF37" s="98">
        <f t="shared" si="3"/>
        <v>21</v>
      </c>
      <c r="BG37" s="217"/>
      <c r="BH37" s="48"/>
      <c r="BI37" s="48"/>
      <c r="BL37" s="218"/>
      <c r="BM37" s="128"/>
      <c r="BN37" s="195"/>
      <c r="BO37" s="195"/>
      <c r="BP37" s="195"/>
      <c r="BQ37" s="48"/>
      <c r="BR37" s="98"/>
      <c r="BS37" s="48"/>
      <c r="BT37" s="48"/>
      <c r="BU37" s="48"/>
      <c r="BV37" s="48"/>
      <c r="BW37" s="48"/>
      <c r="BX37" s="48"/>
      <c r="BY37" s="48"/>
      <c r="BZ37" s="98" t="s">
        <v>0</v>
      </c>
      <c r="CA37" s="48"/>
      <c r="CB37" s="139"/>
      <c r="CC37" s="139"/>
      <c r="CD37" s="139"/>
      <c r="CE37" s="48"/>
      <c r="CF37" s="48"/>
      <c r="CG37" s="48"/>
      <c r="CH37"/>
      <c r="CI37"/>
      <c r="CJ37"/>
      <c r="CK37" s="48"/>
      <c r="CL37" s="207"/>
      <c r="CM37" s="48"/>
      <c r="CN37" s="48"/>
      <c r="CO37" s="48"/>
      <c r="CP37" s="48"/>
      <c r="CQ37" s="48"/>
      <c r="CR37" s="98"/>
      <c r="CS37" s="48"/>
      <c r="CT37" s="48"/>
      <c r="CU37" s="145"/>
      <c r="CV37" s="48"/>
      <c r="CW37" s="48"/>
      <c r="CX37" s="48"/>
      <c r="CY37" s="48"/>
      <c r="CZ37" s="48"/>
      <c r="DA37" s="48"/>
      <c r="DB37" s="48"/>
      <c r="DC37" s="150"/>
      <c r="DD37" s="48"/>
      <c r="DE37" s="48"/>
      <c r="DF37" s="48"/>
      <c r="DG37" s="48"/>
      <c r="DH37" s="48"/>
      <c r="DI37" s="150"/>
      <c r="DJ37" s="48"/>
      <c r="DK37" s="48"/>
      <c r="DL37" s="48"/>
      <c r="DM37" s="48"/>
      <c r="DN37" s="48"/>
      <c r="DO37" s="48"/>
    </row>
    <row r="38" spans="1:119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X38" s="48"/>
      <c r="Y38" s="48"/>
      <c r="Z38" s="48"/>
      <c r="AA38" s="48"/>
      <c r="AB38" s="98">
        <f>AB37+1</f>
        <v>22</v>
      </c>
      <c r="AC38" s="158" t="s">
        <v>218</v>
      </c>
      <c r="AD38" s="159">
        <v>24694365.932500001</v>
      </c>
      <c r="AE38" s="159">
        <v>110897621.825</v>
      </c>
      <c r="AF38" s="159">
        <f t="shared" ref="AF38:AF39" si="31">AE38-AD38</f>
        <v>86203255.892499998</v>
      </c>
      <c r="AG38" s="48"/>
      <c r="AH38" s="98">
        <f t="shared" si="13"/>
        <v>22</v>
      </c>
      <c r="AJ38" s="125"/>
      <c r="AK38" s="125"/>
      <c r="AL38" s="125"/>
      <c r="AM38" s="48"/>
      <c r="AN38" s="195"/>
      <c r="AO38" s="214"/>
      <c r="AP38" s="219"/>
      <c r="AQ38" s="174"/>
      <c r="AR38" s="206"/>
      <c r="AS38" s="48"/>
      <c r="AT38" s="48"/>
      <c r="AU38" s="48"/>
      <c r="AY38" s="160"/>
      <c r="BE38" s="48"/>
      <c r="BF38" s="98">
        <f t="shared" si="3"/>
        <v>22</v>
      </c>
      <c r="BG38" s="176" t="s">
        <v>161</v>
      </c>
      <c r="BH38" s="48"/>
      <c r="BI38" s="48"/>
      <c r="BL38" s="195"/>
      <c r="BM38" s="128"/>
      <c r="BN38" s="195"/>
      <c r="BO38" s="195"/>
      <c r="BP38" s="195"/>
      <c r="BQ38" s="48"/>
      <c r="BR38" s="98"/>
      <c r="BS38" s="48"/>
      <c r="BT38" s="48"/>
      <c r="BU38" s="48"/>
      <c r="BV38" s="48"/>
      <c r="BW38" s="48"/>
      <c r="BX38" s="48"/>
      <c r="BY38" s="48"/>
      <c r="BZ38" s="98" t="s">
        <v>219</v>
      </c>
      <c r="CA38" s="48"/>
      <c r="CB38" s="128"/>
      <c r="CC38" s="128"/>
      <c r="CD38" s="195"/>
      <c r="CE38" s="48"/>
      <c r="CF38" s="98"/>
      <c r="CG38" s="192"/>
      <c r="CH38"/>
      <c r="CI38"/>
      <c r="CJ38"/>
      <c r="CK38" s="48"/>
      <c r="CL38" s="220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150"/>
      <c r="DD38" s="48"/>
      <c r="DE38" s="48"/>
      <c r="DF38" s="48"/>
      <c r="DG38" s="48"/>
      <c r="DH38" s="48"/>
      <c r="DI38" s="150"/>
      <c r="DJ38" s="48"/>
      <c r="DK38" s="48"/>
      <c r="DL38" s="48"/>
      <c r="DM38" s="48"/>
      <c r="DN38" s="48"/>
      <c r="DO38" s="48"/>
    </row>
    <row r="39" spans="1:119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X39" s="48"/>
      <c r="Y39" s="48"/>
      <c r="Z39" s="48"/>
      <c r="AA39" s="48"/>
      <c r="AB39" s="98">
        <f>AB38+1</f>
        <v>23</v>
      </c>
      <c r="AC39" s="158" t="s">
        <v>220</v>
      </c>
      <c r="AD39" s="221">
        <v>-5185816.8458333332</v>
      </c>
      <c r="AE39" s="221">
        <v>-23288500.583250001</v>
      </c>
      <c r="AF39" s="222">
        <f t="shared" si="31"/>
        <v>-18102683.73741667</v>
      </c>
      <c r="AG39" s="48"/>
      <c r="AH39" s="98">
        <f t="shared" si="13"/>
        <v>23</v>
      </c>
      <c r="AI39" s="46" t="s">
        <v>134</v>
      </c>
      <c r="AJ39" s="125"/>
      <c r="AK39" s="125"/>
      <c r="AL39" s="125">
        <f>AL37</f>
        <v>-76950.918991007376</v>
      </c>
      <c r="AM39" s="48"/>
      <c r="AN39" s="195"/>
      <c r="AO39" s="214"/>
      <c r="AP39" s="206"/>
      <c r="AQ39" s="174"/>
      <c r="AR39" s="206"/>
      <c r="AS39" s="48"/>
      <c r="AT39" s="48"/>
      <c r="AU39" s="48"/>
      <c r="AY39" s="223"/>
      <c r="BE39" s="48"/>
      <c r="BF39" s="98">
        <f t="shared" si="3"/>
        <v>23</v>
      </c>
      <c r="BG39" s="112" t="str">
        <f>BG20</f>
        <v>MINT FARM DEFERRED - 15 YEARS - MARCH 2025</v>
      </c>
      <c r="BH39" s="125">
        <v>2885052</v>
      </c>
      <c r="BI39" s="125">
        <v>2885052</v>
      </c>
      <c r="BJ39" s="126">
        <f>+BI39-BH39</f>
        <v>0</v>
      </c>
      <c r="BL39" s="128"/>
      <c r="BM39" s="128"/>
      <c r="BN39" s="128"/>
      <c r="BO39" s="128"/>
      <c r="BP39" s="128"/>
      <c r="BQ39" s="48"/>
      <c r="BR39" s="98"/>
      <c r="BS39" s="128"/>
      <c r="BT39" s="224"/>
      <c r="BU39" s="160"/>
      <c r="BV39" s="160"/>
      <c r="BW39" s="160"/>
      <c r="BX39" s="160"/>
      <c r="BY39" s="48"/>
      <c r="BZ39" s="98" t="s">
        <v>0</v>
      </c>
      <c r="CA39" s="48"/>
      <c r="CB39" s="207"/>
      <c r="CC39" s="207"/>
      <c r="CD39" s="207"/>
      <c r="CE39" s="48"/>
      <c r="CF39" s="98"/>
      <c r="CG39" s="192"/>
      <c r="CH39"/>
      <c r="CI39"/>
      <c r="CJ39"/>
      <c r="CK39" s="48"/>
      <c r="CL39" s="225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150"/>
      <c r="DD39" s="48"/>
      <c r="DE39" s="48"/>
      <c r="DF39" s="48"/>
      <c r="DG39" s="48"/>
      <c r="DH39" s="48"/>
      <c r="DI39" s="150"/>
      <c r="DJ39" s="48"/>
      <c r="DK39" s="48"/>
      <c r="DL39" s="48"/>
      <c r="DM39" s="48"/>
      <c r="DN39" s="48"/>
      <c r="DO39" s="48"/>
    </row>
    <row r="40" spans="1:119" x14ac:dyDescent="0.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V40" s="48"/>
      <c r="W40" s="48"/>
      <c r="X40" s="48"/>
      <c r="Y40" s="48"/>
      <c r="Z40" s="48"/>
      <c r="AA40" s="48"/>
      <c r="AB40" s="98">
        <f>AB39+1</f>
        <v>24</v>
      </c>
      <c r="AC40" s="48"/>
      <c r="AD40" s="199"/>
      <c r="AE40" s="199"/>
      <c r="AF40" s="199"/>
      <c r="AG40" s="48"/>
      <c r="AH40" s="98">
        <f t="shared" si="13"/>
        <v>24</v>
      </c>
      <c r="AJ40" s="48"/>
      <c r="AK40" s="48"/>
      <c r="AL40" s="48"/>
      <c r="AM40" s="48"/>
      <c r="AN40" s="195"/>
      <c r="AO40" s="214"/>
      <c r="AP40" s="216"/>
      <c r="AQ40" s="174"/>
      <c r="AR40" s="206"/>
      <c r="AS40" s="48"/>
      <c r="AT40" s="48"/>
      <c r="AU40" s="48"/>
      <c r="AY40" s="223"/>
      <c r="BE40" s="48"/>
      <c r="BF40" s="98">
        <f t="shared" si="3"/>
        <v>24</v>
      </c>
      <c r="BG40" s="226" t="s">
        <v>221</v>
      </c>
      <c r="BH40" s="227" t="s">
        <v>222</v>
      </c>
      <c r="BI40" s="228"/>
      <c r="BJ40" s="76"/>
      <c r="BL40" s="195"/>
      <c r="BM40" s="104"/>
      <c r="BN40" s="129"/>
      <c r="BO40" s="129"/>
      <c r="BP40" s="129"/>
      <c r="BQ40" s="48"/>
      <c r="BR40" s="98"/>
      <c r="BS40" s="229"/>
      <c r="BT40" s="224"/>
      <c r="BU40" s="160"/>
      <c r="BV40" s="160"/>
      <c r="BW40" s="160"/>
      <c r="BX40" s="160"/>
      <c r="BY40" s="48"/>
      <c r="BZ40" s="98" t="s">
        <v>0</v>
      </c>
      <c r="CA40" s="48"/>
      <c r="CB40" s="129"/>
      <c r="CC40" s="129"/>
      <c r="CD40" s="129"/>
      <c r="CE40" s="48"/>
      <c r="CF40" s="98"/>
      <c r="CG40" s="48"/>
      <c r="CH40"/>
      <c r="CI40"/>
      <c r="CJ40"/>
      <c r="CK40" s="48"/>
      <c r="CL40" s="225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150"/>
      <c r="DD40" s="48"/>
      <c r="DE40" s="48"/>
      <c r="DF40" s="48"/>
      <c r="DG40" s="48"/>
      <c r="DH40" s="48"/>
      <c r="DI40" s="150"/>
      <c r="DJ40" s="48"/>
      <c r="DK40" s="48"/>
      <c r="DL40" s="48"/>
      <c r="DM40" s="48"/>
      <c r="DN40" s="48"/>
      <c r="DO40" s="48"/>
    </row>
    <row r="41" spans="1:119" ht="13.5" thickBo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V41" s="48"/>
      <c r="W41" s="48"/>
      <c r="X41" s="48"/>
      <c r="Y41" s="48"/>
      <c r="Z41" s="48"/>
      <c r="AA41" s="48"/>
      <c r="AB41" s="98">
        <f>AB40+1</f>
        <v>25</v>
      </c>
      <c r="AC41" s="158" t="s">
        <v>223</v>
      </c>
      <c r="AD41" s="204">
        <f>SUM(AD38:AD40)</f>
        <v>19508549.086666666</v>
      </c>
      <c r="AE41" s="204">
        <f>SUM(AE38:AE40)</f>
        <v>87609121.241750002</v>
      </c>
      <c r="AF41" s="204">
        <f>SUM(AF38:AF40)</f>
        <v>68100572.155083328</v>
      </c>
      <c r="AG41" s="48"/>
      <c r="AH41" s="98">
        <f t="shared" si="13"/>
        <v>25</v>
      </c>
      <c r="AI41" s="46" t="s">
        <v>192</v>
      </c>
      <c r="AJ41" s="125"/>
      <c r="AK41" s="125"/>
      <c r="AL41" s="125"/>
      <c r="AM41" s="48"/>
      <c r="AN41" s="128"/>
      <c r="AO41" s="230"/>
      <c r="AP41" s="216"/>
      <c r="AQ41" s="174"/>
      <c r="AR41" s="206"/>
      <c r="AS41" s="48"/>
      <c r="AT41" s="48"/>
      <c r="AU41" s="48"/>
      <c r="AY41" s="231"/>
      <c r="BE41" s="48"/>
      <c r="BF41" s="98">
        <f t="shared" si="3"/>
        <v>25</v>
      </c>
      <c r="BG41" s="226" t="s">
        <v>224</v>
      </c>
      <c r="BH41" s="227" t="s">
        <v>222</v>
      </c>
      <c r="BI41" s="228"/>
      <c r="BJ41" s="76"/>
      <c r="BL41" s="195"/>
      <c r="BM41" s="112"/>
      <c r="BN41" s="129"/>
      <c r="BO41" s="129"/>
      <c r="BP41" s="129"/>
      <c r="BQ41" s="48"/>
      <c r="BR41" s="98"/>
      <c r="BS41" s="232"/>
      <c r="BT41" s="224"/>
      <c r="BU41" s="160"/>
      <c r="BV41" s="160"/>
      <c r="BW41" s="160"/>
      <c r="BX41" s="160"/>
      <c r="BY41" s="48"/>
      <c r="BZ41" s="98" t="s">
        <v>0</v>
      </c>
      <c r="CA41" s="104"/>
      <c r="CB41" s="139"/>
      <c r="CC41" s="139"/>
      <c r="CD41" s="139"/>
      <c r="CE41" s="48"/>
      <c r="CF41" s="98"/>
      <c r="CG41" s="128"/>
      <c r="CH41"/>
      <c r="CI41"/>
      <c r="CJ41"/>
      <c r="CK41" s="48"/>
      <c r="CL41" s="12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150"/>
      <c r="DD41" s="48"/>
      <c r="DE41" s="48"/>
      <c r="DF41" s="48"/>
      <c r="DG41" s="48"/>
      <c r="DH41" s="48"/>
      <c r="DI41" s="150"/>
      <c r="DJ41" s="48"/>
      <c r="DK41" s="48"/>
      <c r="DL41" s="48"/>
      <c r="DM41" s="48"/>
      <c r="DN41" s="48"/>
      <c r="DO41" s="48"/>
    </row>
    <row r="42" spans="1:119" ht="13.5" thickTop="1" x14ac:dyDescent="0.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V42" s="48"/>
      <c r="W42" s="48"/>
      <c r="X42" s="48"/>
      <c r="Y42" s="48"/>
      <c r="Z42" s="48"/>
      <c r="AA42" s="48"/>
      <c r="AB42" s="98">
        <f>AB41+1</f>
        <v>26</v>
      </c>
      <c r="AC42" s="53"/>
      <c r="AD42" s="53"/>
      <c r="AE42" s="53"/>
      <c r="AF42" s="53"/>
      <c r="AG42" s="48"/>
      <c r="AH42" s="98">
        <f t="shared" si="13"/>
        <v>26</v>
      </c>
      <c r="AI42" s="46" t="s">
        <v>200</v>
      </c>
      <c r="AJ42" s="125"/>
      <c r="AK42" s="125"/>
      <c r="AL42" s="125">
        <f>-AL39</f>
        <v>76950.918991007376</v>
      </c>
      <c r="AM42" s="48"/>
      <c r="AN42" s="128"/>
      <c r="AO42" s="214"/>
      <c r="AP42" s="216"/>
      <c r="AQ42" s="174"/>
      <c r="AR42" s="206"/>
      <c r="AS42" s="128"/>
      <c r="AT42" s="48"/>
      <c r="AU42" s="48"/>
      <c r="AY42" s="167"/>
      <c r="BE42" s="167"/>
      <c r="BF42" s="98">
        <f t="shared" si="3"/>
        <v>26</v>
      </c>
      <c r="BG42" s="112" t="str">
        <f t="shared" ref="BG42" si="32">BG21</f>
        <v>CHELAN PUD INITIATION PAYMENT - 20 YEARS - OCT 2031</v>
      </c>
      <c r="BH42" s="227" t="s">
        <v>222</v>
      </c>
      <c r="BI42" s="228"/>
      <c r="BJ42" s="76"/>
      <c r="BL42" s="98"/>
      <c r="BM42" s="112"/>
      <c r="BN42" s="167"/>
      <c r="BO42" s="167"/>
      <c r="BP42" s="167"/>
      <c r="BQ42" s="167"/>
      <c r="BR42" s="98"/>
      <c r="BS42" s="128"/>
      <c r="BT42" s="233"/>
      <c r="BU42" s="129"/>
      <c r="BV42" s="129"/>
      <c r="BW42" s="129"/>
      <c r="BX42" s="129"/>
      <c r="BY42" s="48"/>
      <c r="BZ42" s="195"/>
      <c r="CA42" s="104"/>
      <c r="CB42" s="139"/>
      <c r="CC42" s="139"/>
      <c r="CD42" s="139"/>
      <c r="CE42" s="48"/>
      <c r="CF42" s="98"/>
      <c r="CG42" s="229"/>
      <c r="CH42"/>
      <c r="CI42"/>
      <c r="CJ42"/>
      <c r="CK42" s="48"/>
      <c r="CL42" s="195"/>
      <c r="CM42" s="48"/>
      <c r="CN42" s="48"/>
      <c r="CO42" s="48"/>
      <c r="CP42" s="48"/>
      <c r="CQ42" s="48"/>
      <c r="CR42" s="48"/>
      <c r="CS42" s="48"/>
      <c r="CT42" s="195"/>
      <c r="CU42" s="195"/>
      <c r="CV42" s="195"/>
      <c r="CW42" s="128"/>
      <c r="CX42" s="128"/>
      <c r="CY42" s="128"/>
      <c r="CZ42" s="128"/>
      <c r="DA42" s="128"/>
      <c r="DB42" s="128"/>
      <c r="DC42" s="150"/>
      <c r="DD42" s="48"/>
      <c r="DE42" s="48"/>
      <c r="DF42" s="48"/>
      <c r="DG42" s="48"/>
      <c r="DH42" s="48"/>
      <c r="DI42" s="150"/>
      <c r="DJ42" s="48"/>
      <c r="DK42" s="48"/>
      <c r="DL42" s="48"/>
      <c r="DM42" s="48"/>
      <c r="DN42" s="48"/>
      <c r="DO42" s="48"/>
    </row>
    <row r="43" spans="1:119" x14ac:dyDescent="0.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V43" s="48"/>
      <c r="W43" s="48"/>
      <c r="X43" s="48"/>
      <c r="Y43" s="48"/>
      <c r="Z43" s="48"/>
      <c r="AA43" s="48"/>
      <c r="AB43" s="98">
        <f t="shared" ref="AB43:AB60" si="33">AB42+1</f>
        <v>27</v>
      </c>
      <c r="AC43" s="234" t="s">
        <v>225</v>
      </c>
      <c r="AD43" s="48"/>
      <c r="AE43" s="48"/>
      <c r="AF43" s="48"/>
      <c r="AG43" s="48"/>
      <c r="AH43" s="98">
        <f t="shared" si="13"/>
        <v>27</v>
      </c>
      <c r="AI43" s="46" t="s">
        <v>137</v>
      </c>
      <c r="AJ43" s="125"/>
      <c r="AK43" s="125"/>
      <c r="AL43" s="164">
        <f>-AL42*0.21</f>
        <v>-16159.692988111548</v>
      </c>
      <c r="AM43" s="48"/>
      <c r="AN43" s="128"/>
      <c r="AO43" s="214"/>
      <c r="AP43" s="216"/>
      <c r="AQ43" s="174"/>
      <c r="AR43" s="206"/>
      <c r="AS43" s="128"/>
      <c r="AT43" s="48"/>
      <c r="AU43" s="48"/>
      <c r="AY43" s="167"/>
      <c r="BE43" s="167"/>
      <c r="BF43" s="98">
        <f t="shared" si="3"/>
        <v>27</v>
      </c>
      <c r="BG43" s="147" t="s">
        <v>226</v>
      </c>
      <c r="BH43" s="153">
        <v>687420</v>
      </c>
      <c r="BI43" s="153">
        <v>687420</v>
      </c>
      <c r="BJ43" s="210">
        <f>+BI43-BH43</f>
        <v>0</v>
      </c>
      <c r="BK43" s="128"/>
      <c r="BL43" s="48"/>
      <c r="BM43" s="112"/>
      <c r="BN43" s="48"/>
      <c r="BO43" s="48"/>
      <c r="BP43" s="48"/>
      <c r="BQ43" s="167"/>
      <c r="BR43" s="98"/>
      <c r="BS43" s="128"/>
      <c r="BT43" s="128"/>
      <c r="BU43" s="128"/>
      <c r="BV43" s="128"/>
      <c r="BW43" s="128"/>
      <c r="BX43" s="128"/>
      <c r="BY43" s="48"/>
      <c r="BZ43" s="195"/>
      <c r="CA43" s="104"/>
      <c r="CB43" s="139"/>
      <c r="CC43" s="139"/>
      <c r="CD43" s="139"/>
      <c r="CE43" s="48"/>
      <c r="CF43" s="98"/>
      <c r="CG43" s="232"/>
      <c r="CH43"/>
      <c r="CI43"/>
      <c r="CJ43"/>
      <c r="CK43" s="48"/>
      <c r="CL43" s="195"/>
      <c r="CM43" s="48"/>
      <c r="CN43" s="48"/>
      <c r="CO43" s="48"/>
      <c r="CP43" s="48"/>
      <c r="CQ43" s="48"/>
      <c r="CR43" s="48"/>
      <c r="CS43" s="48"/>
      <c r="CT43" s="195"/>
      <c r="CU43" s="195"/>
      <c r="CV43" s="195"/>
      <c r="CW43" s="129"/>
      <c r="CX43" s="129"/>
      <c r="CY43" s="129"/>
      <c r="CZ43" s="129"/>
      <c r="DA43" s="129"/>
      <c r="DB43" s="129"/>
      <c r="DC43" s="136"/>
      <c r="DD43" s="48"/>
      <c r="DE43" s="48"/>
      <c r="DF43" s="48"/>
      <c r="DG43" s="48"/>
      <c r="DH43" s="48"/>
      <c r="DI43" s="136"/>
      <c r="DJ43" s="48"/>
      <c r="DK43" s="48"/>
      <c r="DL43" s="48"/>
      <c r="DM43" s="48"/>
      <c r="DN43" s="48"/>
      <c r="DO43" s="48"/>
    </row>
    <row r="44" spans="1:119" ht="13.5" thickBo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V44" s="48"/>
      <c r="W44" s="48"/>
      <c r="X44" s="48"/>
      <c r="Y44" s="48"/>
      <c r="Z44" s="48"/>
      <c r="AA44" s="48"/>
      <c r="AB44" s="98">
        <f t="shared" si="33"/>
        <v>28</v>
      </c>
      <c r="AC44" s="235" t="s">
        <v>227</v>
      </c>
      <c r="AD44" s="48"/>
      <c r="AE44" s="48"/>
      <c r="AF44" s="48"/>
      <c r="AG44" s="48"/>
      <c r="AH44" s="98">
        <f t="shared" si="13"/>
        <v>28</v>
      </c>
      <c r="AI44" s="46" t="s">
        <v>203</v>
      </c>
      <c r="AJ44" s="125"/>
      <c r="AK44" s="125"/>
      <c r="AL44" s="172">
        <f>SUM(AL42:AL43)</f>
        <v>60791.226002895826</v>
      </c>
      <c r="AM44" s="48"/>
      <c r="AN44" s="128"/>
      <c r="AO44" s="214"/>
      <c r="AP44" s="216"/>
      <c r="AQ44" s="174"/>
      <c r="AR44" s="206"/>
      <c r="AS44" s="167"/>
      <c r="AT44" s="48"/>
      <c r="AU44" s="48"/>
      <c r="AY44" s="167"/>
      <c r="BE44" s="167"/>
      <c r="BF44" s="98">
        <f t="shared" si="3"/>
        <v>28</v>
      </c>
      <c r="BG44" s="147" t="s">
        <v>178</v>
      </c>
      <c r="BH44" s="153">
        <v>0</v>
      </c>
      <c r="BI44" s="153">
        <v>0</v>
      </c>
      <c r="BJ44" s="210">
        <f>+BI44-BH44</f>
        <v>0</v>
      </c>
      <c r="BK44" s="167"/>
      <c r="BL44" s="48"/>
      <c r="BM44" s="112"/>
      <c r="BN44" s="48"/>
      <c r="BO44" s="48"/>
      <c r="BP44" s="48"/>
      <c r="BQ44" s="236"/>
      <c r="BR44" s="98"/>
      <c r="BS44" s="48"/>
      <c r="BT44" s="48"/>
      <c r="BU44" s="48"/>
      <c r="BV44" s="48"/>
      <c r="BW44" s="48"/>
      <c r="BX44" s="48"/>
      <c r="BY44" s="48"/>
      <c r="BZ44" s="195"/>
      <c r="CA44" s="104"/>
      <c r="CB44" s="139"/>
      <c r="CC44" s="139"/>
      <c r="CD44" s="139"/>
      <c r="CE44" s="48"/>
      <c r="CF44" s="98"/>
      <c r="CG44" s="128"/>
      <c r="CH44"/>
      <c r="CI44"/>
      <c r="CJ44"/>
      <c r="CK44" s="48"/>
      <c r="CL44" s="128"/>
      <c r="CM44" s="48"/>
      <c r="CN44" s="48"/>
      <c r="CO44" s="48"/>
      <c r="CP44" s="48"/>
      <c r="CQ44" s="128"/>
      <c r="CR44" s="48"/>
      <c r="CS44" s="48"/>
      <c r="CT44" s="128"/>
      <c r="CU44" s="128"/>
      <c r="CV44" s="128"/>
      <c r="CW44" s="129"/>
      <c r="CX44" s="129"/>
      <c r="CY44" s="263"/>
      <c r="CZ44" s="263"/>
      <c r="DA44" s="263"/>
      <c r="DB44" s="263"/>
      <c r="DC44" s="237"/>
      <c r="DD44" s="48"/>
      <c r="DE44" s="48"/>
      <c r="DF44" s="48"/>
      <c r="DG44" s="48"/>
      <c r="DH44" s="48"/>
      <c r="DI44" s="237"/>
      <c r="DJ44" s="48"/>
      <c r="DK44" s="48"/>
      <c r="DL44" s="48"/>
      <c r="DM44" s="48"/>
      <c r="DN44" s="48"/>
      <c r="DO44" s="48"/>
    </row>
    <row r="45" spans="1:119" ht="13.5" thickTop="1" x14ac:dyDescent="0.3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V45" s="48"/>
      <c r="W45" s="48"/>
      <c r="X45" s="48"/>
      <c r="Y45" s="48"/>
      <c r="Z45" s="48"/>
      <c r="AA45" s="48"/>
      <c r="AB45" s="98">
        <f t="shared" si="33"/>
        <v>29</v>
      </c>
      <c r="AC45" s="48"/>
      <c r="AD45" s="48"/>
      <c r="AE45" s="48"/>
      <c r="AF45" s="48"/>
      <c r="AG45" s="48"/>
      <c r="AH45" s="98"/>
      <c r="AJ45" s="125"/>
      <c r="AK45" s="125"/>
      <c r="AL45" s="125"/>
      <c r="AM45" s="48"/>
      <c r="AN45" s="128"/>
      <c r="AO45" s="238"/>
      <c r="AP45" s="216"/>
      <c r="AQ45" s="174"/>
      <c r="AR45" s="216"/>
      <c r="AS45" s="167"/>
      <c r="AT45" s="48"/>
      <c r="AU45" s="48"/>
      <c r="AY45" s="167"/>
      <c r="BE45" s="167"/>
      <c r="BF45" s="98">
        <f t="shared" si="3"/>
        <v>29</v>
      </c>
      <c r="BG45" s="147" t="s">
        <v>183</v>
      </c>
      <c r="BH45" s="153">
        <v>0</v>
      </c>
      <c r="BI45" s="153">
        <v>0</v>
      </c>
      <c r="BJ45" s="210">
        <f t="shared" ref="BJ45:BJ49" si="34">+BI45-BH45</f>
        <v>0</v>
      </c>
      <c r="BK45" s="167"/>
      <c r="BL45" s="48"/>
      <c r="BM45" s="112"/>
      <c r="BN45" s="48"/>
      <c r="BO45" s="48"/>
      <c r="BP45" s="48"/>
      <c r="BQ45" s="167"/>
      <c r="BR45" s="98"/>
      <c r="BS45" s="48"/>
      <c r="BT45" s="48"/>
      <c r="BU45" s="48"/>
      <c r="BV45" s="48"/>
      <c r="BW45" s="48"/>
      <c r="BX45" s="48"/>
      <c r="BY45" s="48"/>
      <c r="BZ45" s="195"/>
      <c r="CA45" s="128"/>
      <c r="CB45" s="139"/>
      <c r="CC45" s="139"/>
      <c r="CD45" s="139"/>
      <c r="CE45" s="48"/>
      <c r="CF45" s="48"/>
      <c r="CG45" s="128"/>
      <c r="CH45"/>
      <c r="CI45"/>
      <c r="CJ45"/>
      <c r="CK45" s="48"/>
      <c r="CL45" s="195"/>
      <c r="CM45" s="48"/>
      <c r="CN45" s="48"/>
      <c r="CO45" s="48"/>
      <c r="CP45" s="48"/>
      <c r="CQ45" s="129"/>
      <c r="CR45" s="129"/>
      <c r="CS45" s="129"/>
      <c r="CT45" s="129"/>
      <c r="CU45" s="129"/>
      <c r="CV45" s="129"/>
      <c r="CW45" s="167"/>
      <c r="CX45" s="167"/>
      <c r="CY45" s="239"/>
      <c r="CZ45" s="239"/>
      <c r="DA45" s="239"/>
      <c r="DB45" s="239"/>
      <c r="DC45" s="115"/>
      <c r="DD45" s="48"/>
      <c r="DE45" s="48"/>
      <c r="DF45" s="48"/>
      <c r="DG45" s="48"/>
      <c r="DH45" s="48"/>
      <c r="DI45" s="115"/>
      <c r="DJ45" s="48"/>
      <c r="DK45" s="48"/>
      <c r="DL45" s="48"/>
      <c r="DM45" s="48"/>
      <c r="DN45" s="48"/>
      <c r="DO45" s="48"/>
    </row>
    <row r="46" spans="1:119" ht="14.5" x14ac:dyDescent="0.4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V46" s="48"/>
      <c r="W46" s="48"/>
      <c r="X46" s="48"/>
      <c r="Y46" s="48"/>
      <c r="Z46" s="48"/>
      <c r="AA46" s="48"/>
      <c r="AB46" s="98">
        <f t="shared" si="33"/>
        <v>30</v>
      </c>
      <c r="AC46" s="57" t="s">
        <v>212</v>
      </c>
      <c r="AD46" s="53"/>
      <c r="AE46" s="53"/>
      <c r="AF46" s="53"/>
      <c r="AG46" s="48"/>
      <c r="AH46" s="98"/>
      <c r="AJ46" s="125"/>
      <c r="AK46" s="125"/>
      <c r="AL46" s="48"/>
      <c r="AM46" s="48"/>
      <c r="AN46" s="128"/>
      <c r="AO46" s="128"/>
      <c r="AP46" s="104"/>
      <c r="AQ46" s="195"/>
      <c r="AR46" s="167"/>
      <c r="AS46" s="167"/>
      <c r="AT46" s="48"/>
      <c r="AU46" s="48"/>
      <c r="AY46" s="167"/>
      <c r="BE46" s="167"/>
      <c r="BF46" s="98">
        <f t="shared" si="3"/>
        <v>30</v>
      </c>
      <c r="BG46" s="147" t="s">
        <v>189</v>
      </c>
      <c r="BH46" s="153">
        <v>1506807.5028576592</v>
      </c>
      <c r="BI46" s="153">
        <v>0</v>
      </c>
      <c r="BJ46" s="210">
        <f t="shared" si="34"/>
        <v>-1506807.5028576592</v>
      </c>
      <c r="BK46" s="167"/>
      <c r="BL46" s="48"/>
      <c r="BM46" s="112"/>
      <c r="BN46" s="48"/>
      <c r="BO46" s="48"/>
      <c r="BP46" s="48"/>
      <c r="BQ46" s="167"/>
      <c r="BR46" s="98"/>
      <c r="BS46" s="48"/>
      <c r="BT46" s="48"/>
      <c r="BU46" s="48"/>
      <c r="BV46" s="48"/>
      <c r="BW46" s="48"/>
      <c r="BX46" s="48"/>
      <c r="BY46" s="48"/>
      <c r="BZ46" s="195"/>
      <c r="CA46" s="128"/>
      <c r="CB46" s="129"/>
      <c r="CC46" s="129"/>
      <c r="CD46" s="129"/>
      <c r="CE46" s="48"/>
      <c r="CF46" s="48"/>
      <c r="CG46" s="48"/>
      <c r="CH46"/>
      <c r="CI46"/>
      <c r="CJ46"/>
      <c r="CK46" s="48"/>
      <c r="CL46" s="195"/>
      <c r="CM46" s="48"/>
      <c r="CN46" s="48"/>
      <c r="CO46" s="48"/>
      <c r="CP46" s="48"/>
      <c r="CQ46" s="129"/>
      <c r="CR46" s="129"/>
      <c r="CS46" s="129"/>
      <c r="CT46" s="129"/>
      <c r="CU46" s="129"/>
      <c r="CV46" s="129"/>
      <c r="CW46" s="48"/>
      <c r="CX46" s="48"/>
      <c r="CY46" s="240"/>
      <c r="CZ46" s="241"/>
      <c r="DA46" s="241"/>
      <c r="DB46" s="241"/>
      <c r="DC46" s="150"/>
      <c r="DD46" s="48"/>
      <c r="DE46" s="48"/>
      <c r="DF46" s="48"/>
      <c r="DG46" s="48"/>
      <c r="DH46" s="48"/>
      <c r="DI46" s="150"/>
      <c r="DJ46" s="48"/>
      <c r="DK46" s="48"/>
      <c r="DL46" s="48"/>
      <c r="DM46" s="48"/>
      <c r="DN46" s="48"/>
      <c r="DO46" s="48"/>
    </row>
    <row r="47" spans="1:119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V47" s="48"/>
      <c r="W47" s="48"/>
      <c r="X47" s="48"/>
      <c r="Y47" s="48"/>
      <c r="Z47" s="48"/>
      <c r="AA47" s="48"/>
      <c r="AB47" s="98">
        <f t="shared" si="33"/>
        <v>31</v>
      </c>
      <c r="AC47" s="158"/>
      <c r="AD47" s="53"/>
      <c r="AE47" s="53"/>
      <c r="AF47" s="53"/>
      <c r="AG47" s="48"/>
      <c r="AH47" s="98"/>
      <c r="AJ47" s="125"/>
      <c r="AK47" s="125"/>
      <c r="AL47" s="48"/>
      <c r="AM47" s="48"/>
      <c r="AN47" s="128"/>
      <c r="AO47" s="128"/>
      <c r="AP47" s="104"/>
      <c r="AQ47" s="121"/>
      <c r="AR47" s="167"/>
      <c r="AS47" s="167"/>
      <c r="AT47" s="48"/>
      <c r="AU47" s="48"/>
      <c r="AY47" s="167"/>
      <c r="BE47" s="167"/>
      <c r="BF47" s="98">
        <f t="shared" si="3"/>
        <v>31</v>
      </c>
      <c r="BG47" s="147" t="s">
        <v>195</v>
      </c>
      <c r="BH47" s="153">
        <v>0</v>
      </c>
      <c r="BI47" s="153">
        <v>0</v>
      </c>
      <c r="BJ47" s="210">
        <f t="shared" si="34"/>
        <v>0</v>
      </c>
      <c r="BK47" s="167"/>
      <c r="BL47" s="48"/>
      <c r="BM47" s="112"/>
      <c r="BN47" s="48"/>
      <c r="BO47" s="48"/>
      <c r="BP47" s="48"/>
      <c r="BQ47" s="167"/>
      <c r="BR47" s="48"/>
      <c r="BS47" s="48"/>
      <c r="BT47" s="48"/>
      <c r="BU47" s="48"/>
      <c r="BV47" s="48"/>
      <c r="BW47" s="48"/>
      <c r="BX47" s="48"/>
      <c r="BY47" s="48"/>
      <c r="BZ47" s="195"/>
      <c r="CA47" s="128"/>
      <c r="CB47" s="139"/>
      <c r="CC47" s="139"/>
      <c r="CD47" s="139"/>
      <c r="CE47" s="48"/>
      <c r="CF47" s="48"/>
      <c r="CG47" s="48"/>
      <c r="CH47"/>
      <c r="CI47"/>
      <c r="CJ47"/>
      <c r="CK47" s="48"/>
      <c r="CL47" s="98"/>
      <c r="CQ47" s="167"/>
      <c r="CR47" s="167"/>
      <c r="CS47" s="167"/>
      <c r="CT47" s="167"/>
      <c r="CU47" s="242"/>
      <c r="CV47" s="167"/>
      <c r="CW47" s="48"/>
      <c r="CX47" s="48"/>
      <c r="CY47" s="243"/>
      <c r="CZ47" s="244"/>
      <c r="DA47" s="241"/>
      <c r="DB47" s="245"/>
      <c r="DC47" s="150"/>
      <c r="DI47" s="150"/>
    </row>
    <row r="48" spans="1:119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V48" s="48"/>
      <c r="W48" s="48"/>
      <c r="X48" s="48"/>
      <c r="Y48" s="48"/>
      <c r="Z48" s="48"/>
      <c r="AA48" s="48"/>
      <c r="AB48" s="98">
        <f t="shared" si="33"/>
        <v>32</v>
      </c>
      <c r="AC48" s="158" t="s">
        <v>228</v>
      </c>
      <c r="AD48" s="159">
        <v>5279586.5900000036</v>
      </c>
      <c r="AE48" s="159">
        <v>5065600.7699999996</v>
      </c>
      <c r="AF48" s="159">
        <f t="shared" ref="AF48:AF51" si="35">AE48-AD48</f>
        <v>-213985.82000000402</v>
      </c>
      <c r="AG48" s="48"/>
      <c r="AJ48" s="48"/>
      <c r="AK48" s="48"/>
      <c r="AL48" s="48"/>
      <c r="AM48" s="48"/>
      <c r="AN48" s="128"/>
      <c r="AO48" s="128"/>
      <c r="AP48" s="246"/>
      <c r="AQ48" s="160"/>
      <c r="AR48" s="236"/>
      <c r="AS48" s="167"/>
      <c r="AT48" s="48"/>
      <c r="AU48" s="48"/>
      <c r="AY48" s="167"/>
      <c r="BE48" s="167"/>
      <c r="BF48" s="98">
        <f t="shared" si="3"/>
        <v>32</v>
      </c>
      <c r="BG48" s="147" t="s">
        <v>202</v>
      </c>
      <c r="BH48" s="153">
        <v>0</v>
      </c>
      <c r="BI48" s="153">
        <v>0</v>
      </c>
      <c r="BJ48" s="210">
        <f t="shared" si="34"/>
        <v>0</v>
      </c>
      <c r="BK48" s="167"/>
      <c r="BL48" s="48"/>
      <c r="BM48" s="112"/>
      <c r="BN48" s="48"/>
      <c r="BO48" s="48"/>
      <c r="BP48" s="48"/>
      <c r="BQ48" s="167"/>
      <c r="BR48" s="48"/>
      <c r="BS48" s="48"/>
      <c r="BT48" s="48"/>
      <c r="BU48" s="48"/>
      <c r="BV48" s="48"/>
      <c r="BW48" s="48"/>
      <c r="BX48" s="48"/>
      <c r="BY48" s="48"/>
      <c r="BZ48" s="195"/>
      <c r="CA48" s="104"/>
      <c r="CB48" s="139"/>
      <c r="CC48" s="139"/>
      <c r="CD48" s="139"/>
      <c r="CE48" s="48"/>
      <c r="CF48" s="48"/>
      <c r="CG48" s="48"/>
      <c r="CH48"/>
      <c r="CI48"/>
      <c r="CJ48"/>
      <c r="CK48" s="48"/>
      <c r="CL48" s="48"/>
      <c r="CQ48" s="48"/>
      <c r="CR48" s="48"/>
      <c r="CS48" s="48"/>
      <c r="CT48" s="48"/>
      <c r="CU48" s="48"/>
      <c r="CV48" s="48"/>
      <c r="CW48" s="48"/>
      <c r="CX48" s="48"/>
      <c r="CY48" s="243"/>
      <c r="CZ48" s="244"/>
      <c r="DA48" s="241"/>
      <c r="DB48" s="245"/>
      <c r="DC48" s="150"/>
      <c r="DI48" s="150"/>
    </row>
    <row r="49" spans="1:113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V49" s="48"/>
      <c r="W49" s="48"/>
      <c r="X49" s="48"/>
      <c r="Y49" s="48"/>
      <c r="Z49" s="48"/>
      <c r="AA49" s="48"/>
      <c r="AB49" s="98">
        <f t="shared" si="33"/>
        <v>33</v>
      </c>
      <c r="AC49" s="158" t="s">
        <v>229</v>
      </c>
      <c r="AD49" s="171">
        <v>19415724.881249972</v>
      </c>
      <c r="AE49" s="171">
        <v>19182493.089999981</v>
      </c>
      <c r="AF49" s="171">
        <f t="shared" si="35"/>
        <v>-233231.79124999046</v>
      </c>
      <c r="AG49" s="48"/>
      <c r="AJ49" s="48"/>
      <c r="AK49" s="48"/>
      <c r="AL49" s="48"/>
      <c r="AM49" s="48"/>
      <c r="AN49" s="128"/>
      <c r="AO49" s="128"/>
      <c r="AP49" s="104"/>
      <c r="AQ49" s="160"/>
      <c r="AR49" s="167"/>
      <c r="AS49" s="236"/>
      <c r="AT49" s="48"/>
      <c r="AU49" s="48"/>
      <c r="AY49" s="236"/>
      <c r="BE49" s="236"/>
      <c r="BF49" s="98">
        <f t="shared" si="3"/>
        <v>33</v>
      </c>
      <c r="BG49" s="147" t="s">
        <v>230</v>
      </c>
      <c r="BH49" s="153">
        <v>6553640.5199999996</v>
      </c>
      <c r="BI49" s="153">
        <v>0</v>
      </c>
      <c r="BJ49" s="210">
        <f t="shared" si="34"/>
        <v>-6553640.5199999996</v>
      </c>
      <c r="BK49" s="236"/>
      <c r="BL49" s="48"/>
      <c r="BM49" s="112"/>
      <c r="BN49" s="48"/>
      <c r="BO49" s="48"/>
      <c r="BP49" s="48"/>
      <c r="BQ49" s="167"/>
      <c r="BR49" s="48"/>
      <c r="BS49" s="48"/>
      <c r="BT49" s="48"/>
      <c r="BU49" s="48"/>
      <c r="BV49" s="48"/>
      <c r="BW49" s="48"/>
      <c r="BX49" s="48"/>
      <c r="BY49" s="48"/>
      <c r="BZ49" s="98"/>
      <c r="CA49" s="104"/>
      <c r="CB49" s="139"/>
      <c r="CC49" s="139"/>
      <c r="CD49" s="139"/>
      <c r="CE49" s="48"/>
      <c r="CF49" s="48"/>
      <c r="CG49" s="48"/>
      <c r="CH49"/>
      <c r="CI49"/>
      <c r="CJ49"/>
      <c r="CK49" s="48"/>
      <c r="CL49" s="48"/>
      <c r="CQ49" s="48"/>
      <c r="CR49" s="48"/>
      <c r="CS49" s="48"/>
      <c r="CT49" s="48"/>
      <c r="CU49" s="48"/>
      <c r="CV49" s="48"/>
      <c r="CW49" s="48"/>
      <c r="CX49" s="48"/>
      <c r="CY49" s="243"/>
      <c r="CZ49" s="239"/>
      <c r="DA49" s="239"/>
      <c r="DB49" s="239"/>
      <c r="DC49" s="150"/>
      <c r="DI49" s="150"/>
    </row>
    <row r="50" spans="1:113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V50" s="48"/>
      <c r="W50" s="48"/>
      <c r="X50" s="48"/>
      <c r="Y50" s="48"/>
      <c r="Z50" s="48"/>
      <c r="AA50" s="48"/>
      <c r="AB50" s="98">
        <f t="shared" si="33"/>
        <v>34</v>
      </c>
      <c r="AC50" s="158" t="s">
        <v>231</v>
      </c>
      <c r="AD50" s="171">
        <v>46917070.179166645</v>
      </c>
      <c r="AE50" s="171">
        <v>46135121.500000015</v>
      </c>
      <c r="AF50" s="171">
        <f t="shared" si="35"/>
        <v>-781948.67916662991</v>
      </c>
      <c r="AG50" s="48"/>
      <c r="AJ50" s="48"/>
      <c r="AK50" s="48"/>
      <c r="AL50" s="48"/>
      <c r="AM50" s="48"/>
      <c r="AN50" s="128"/>
      <c r="AO50" s="128"/>
      <c r="AP50" s="104"/>
      <c r="AQ50" s="160"/>
      <c r="AR50" s="167"/>
      <c r="AS50" s="167"/>
      <c r="AT50" s="48"/>
      <c r="AU50" s="48"/>
      <c r="AY50" s="167"/>
      <c r="BE50" s="167"/>
      <c r="BF50" s="98">
        <f t="shared" si="3"/>
        <v>34</v>
      </c>
      <c r="BG50" s="147" t="s">
        <v>206</v>
      </c>
      <c r="BH50" s="153">
        <v>0</v>
      </c>
      <c r="BI50" s="153">
        <v>0</v>
      </c>
      <c r="BK50" s="167"/>
      <c r="BM50" s="112"/>
      <c r="BQ50" s="236"/>
      <c r="BR50" s="48"/>
      <c r="BS50" s="48"/>
      <c r="BT50" s="48"/>
      <c r="BU50" s="48"/>
      <c r="BV50" s="48"/>
      <c r="BW50" s="48"/>
      <c r="BX50" s="48"/>
      <c r="BY50" s="48"/>
      <c r="BZ50" s="98"/>
      <c r="CA50" s="128"/>
      <c r="CB50" s="128"/>
      <c r="CC50" s="128"/>
      <c r="CD50" s="128"/>
      <c r="CE50" s="48"/>
      <c r="CF50" s="48"/>
      <c r="CG50" s="48"/>
      <c r="CH50"/>
      <c r="CI50"/>
      <c r="CJ50"/>
      <c r="CK50" s="48"/>
      <c r="CL50" s="48"/>
      <c r="CQ50" s="48"/>
      <c r="CR50" s="48"/>
      <c r="CS50" s="48"/>
      <c r="CT50" s="48"/>
      <c r="CU50" s="48"/>
      <c r="CV50" s="48"/>
      <c r="CW50" s="48"/>
      <c r="CX50" s="48"/>
      <c r="CY50" s="239"/>
      <c r="CZ50" s="239"/>
      <c r="DA50" s="239"/>
      <c r="DB50" s="239"/>
      <c r="DC50" s="150"/>
      <c r="DI50" s="150"/>
    </row>
    <row r="51" spans="1:113" ht="13.5" thickBot="1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V51" s="48"/>
      <c r="W51" s="48"/>
      <c r="X51" s="48"/>
      <c r="Y51" s="48"/>
      <c r="Z51" s="48"/>
      <c r="AA51" s="48"/>
      <c r="AB51" s="98">
        <f t="shared" si="33"/>
        <v>35</v>
      </c>
      <c r="AC51" s="158" t="s">
        <v>232</v>
      </c>
      <c r="AD51" s="247">
        <v>10904834</v>
      </c>
      <c r="AE51" s="247">
        <v>10733560.999999996</v>
      </c>
      <c r="AF51" s="247">
        <f t="shared" si="35"/>
        <v>-171273.00000000373</v>
      </c>
      <c r="AG51" s="48"/>
      <c r="AJ51" s="48"/>
      <c r="AK51" s="48"/>
      <c r="AL51" s="48"/>
      <c r="AM51" s="48"/>
      <c r="AN51" s="48"/>
      <c r="AO51" s="128"/>
      <c r="AP51" s="128"/>
      <c r="AQ51" s="174"/>
      <c r="AR51" s="128"/>
      <c r="AS51" s="167"/>
      <c r="AT51" s="48"/>
      <c r="AU51" s="48"/>
      <c r="AY51" s="167"/>
      <c r="BE51" s="167"/>
      <c r="BF51" s="98">
        <f t="shared" si="3"/>
        <v>35</v>
      </c>
      <c r="BG51" s="53" t="s">
        <v>167</v>
      </c>
      <c r="BH51" s="172">
        <f>SUM(BH39:BH50)</f>
        <v>11632920.022857659</v>
      </c>
      <c r="BI51" s="172">
        <f t="shared" ref="BI51:BJ51" si="36">SUM(BI39:BI50)</f>
        <v>3572472</v>
      </c>
      <c r="BJ51" s="196">
        <f t="shared" si="36"/>
        <v>-8060448.0228576586</v>
      </c>
      <c r="BK51" s="167"/>
      <c r="BM51" s="112"/>
      <c r="BQ51" s="128"/>
      <c r="BR51" s="48"/>
      <c r="BS51" s="48"/>
      <c r="BT51" s="48"/>
      <c r="BU51" s="48"/>
      <c r="BV51" s="48"/>
      <c r="BW51" s="48"/>
      <c r="BX51" s="48"/>
      <c r="BY51" s="48"/>
      <c r="BZ51" s="195"/>
      <c r="CA51" s="132"/>
      <c r="CB51" s="128"/>
      <c r="CC51" s="128"/>
      <c r="CD51" s="128"/>
      <c r="CE51" s="48"/>
      <c r="CF51" s="48"/>
      <c r="CG51" s="48"/>
      <c r="CH51"/>
      <c r="CI51"/>
      <c r="CJ51"/>
      <c r="CK51" s="48"/>
      <c r="CL51" s="48"/>
      <c r="CQ51" s="48"/>
      <c r="CR51" s="48"/>
      <c r="CS51" s="48"/>
      <c r="CT51" s="48"/>
      <c r="CU51" s="48"/>
      <c r="CV51" s="48"/>
      <c r="CW51" s="48"/>
      <c r="CX51" s="48"/>
      <c r="CY51" s="248"/>
      <c r="CZ51" s="241"/>
      <c r="DA51" s="241"/>
      <c r="DB51" s="241"/>
      <c r="DC51" s="150"/>
      <c r="DI51" s="150"/>
    </row>
    <row r="52" spans="1:113" ht="13.5" thickTop="1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V52" s="48"/>
      <c r="W52" s="48"/>
      <c r="X52" s="48"/>
      <c r="Y52" s="48"/>
      <c r="Z52" s="48"/>
      <c r="AA52" s="48"/>
      <c r="AB52" s="98">
        <f t="shared" si="33"/>
        <v>36</v>
      </c>
      <c r="AC52" s="158" t="s">
        <v>233</v>
      </c>
      <c r="AD52" s="171">
        <f>SUM(AD48:AD51)</f>
        <v>82517215.650416613</v>
      </c>
      <c r="AE52" s="171">
        <f t="shared" ref="AE52:AF52" si="37">SUM(AE48:AE51)</f>
        <v>81116776.359999999</v>
      </c>
      <c r="AF52" s="171">
        <f t="shared" si="37"/>
        <v>-1400439.2904166281</v>
      </c>
      <c r="AG52" s="48"/>
      <c r="AJ52" s="48"/>
      <c r="AK52" s="48"/>
      <c r="AL52" s="48"/>
      <c r="AM52" s="48"/>
      <c r="AN52" s="48"/>
      <c r="AO52" s="128"/>
      <c r="AP52" s="128"/>
      <c r="AQ52" s="174"/>
      <c r="AR52" s="128"/>
      <c r="AS52" s="48"/>
      <c r="AT52" s="48"/>
      <c r="AU52" s="48"/>
      <c r="AY52" s="48"/>
      <c r="BE52" s="48"/>
      <c r="BF52" s="98">
        <f t="shared" si="3"/>
        <v>36</v>
      </c>
      <c r="BG52" s="162"/>
      <c r="BH52" s="48"/>
      <c r="BI52" s="48"/>
      <c r="BJ52" s="48"/>
      <c r="BK52" s="48"/>
      <c r="BM52" s="112"/>
      <c r="BQ52" s="48"/>
      <c r="BR52" s="48"/>
      <c r="BS52" s="48"/>
      <c r="BT52" s="48"/>
      <c r="BU52" s="48"/>
      <c r="BV52" s="48"/>
      <c r="BW52" s="48"/>
      <c r="BX52" s="48"/>
      <c r="BY52" s="48"/>
      <c r="BZ52" s="195"/>
      <c r="CE52" s="48"/>
      <c r="CF52" s="48"/>
      <c r="CG52" s="48"/>
      <c r="CH52"/>
      <c r="CI52"/>
      <c r="CJ52"/>
      <c r="CK52" s="48"/>
      <c r="CL52" s="48"/>
      <c r="CQ52" s="48"/>
      <c r="CR52" s="48"/>
      <c r="CS52" s="48"/>
      <c r="CT52" s="48"/>
      <c r="CU52" s="48"/>
      <c r="CV52" s="48"/>
      <c r="CW52" s="48"/>
      <c r="CX52" s="48"/>
      <c r="CY52" s="243"/>
      <c r="CZ52" s="244"/>
      <c r="DA52" s="241"/>
      <c r="DB52" s="245"/>
      <c r="DC52" s="150"/>
      <c r="DI52" s="150"/>
    </row>
    <row r="53" spans="1:113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V53" s="48"/>
      <c r="W53" s="48"/>
      <c r="X53" s="48"/>
      <c r="Y53" s="48"/>
      <c r="Z53" s="48"/>
      <c r="AA53" s="48"/>
      <c r="AB53" s="98">
        <f t="shared" si="33"/>
        <v>37</v>
      </c>
      <c r="AC53" s="158"/>
      <c r="AD53" s="171"/>
      <c r="AE53" s="171"/>
      <c r="AF53" s="171"/>
      <c r="AJ53" s="48"/>
      <c r="AK53" s="48"/>
      <c r="AL53" s="48"/>
      <c r="AM53" s="48"/>
      <c r="AN53" s="48"/>
      <c r="AO53" s="128"/>
      <c r="AP53" s="128"/>
      <c r="AQ53" s="174"/>
      <c r="AR53" s="128"/>
      <c r="AS53" s="48"/>
      <c r="AT53" s="48"/>
      <c r="AU53" s="48"/>
      <c r="AY53" s="48"/>
      <c r="BE53" s="48"/>
      <c r="BF53" s="98">
        <f t="shared" si="3"/>
        <v>37</v>
      </c>
      <c r="BG53" s="249" t="s">
        <v>234</v>
      </c>
      <c r="BH53" s="48"/>
      <c r="BI53" s="48"/>
      <c r="BJ53" s="48"/>
      <c r="BK53" s="48"/>
      <c r="BM53" s="112"/>
      <c r="BQ53" s="48"/>
      <c r="BR53" s="48"/>
      <c r="BY53" s="48"/>
      <c r="BZ53" s="195"/>
      <c r="CE53" s="48"/>
      <c r="CF53" s="48"/>
      <c r="CG53" s="48"/>
      <c r="CH53"/>
      <c r="CI53"/>
      <c r="CJ53"/>
      <c r="CK53" s="48"/>
      <c r="CL53" s="48"/>
      <c r="CQ53" s="48"/>
      <c r="CR53" s="48"/>
      <c r="CS53" s="48"/>
      <c r="CT53" s="48"/>
      <c r="CU53" s="48"/>
      <c r="CV53" s="48"/>
      <c r="CY53" s="243"/>
      <c r="CZ53" s="244"/>
      <c r="DA53" s="241"/>
      <c r="DB53" s="245"/>
      <c r="DC53" s="150"/>
      <c r="DI53" s="150"/>
    </row>
    <row r="54" spans="1:113" x14ac:dyDescent="0.3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V54" s="48"/>
      <c r="W54" s="48"/>
      <c r="X54" s="48"/>
      <c r="Y54" s="48"/>
      <c r="Z54" s="48"/>
      <c r="AA54" s="48"/>
      <c r="AB54" s="98">
        <f t="shared" si="33"/>
        <v>38</v>
      </c>
      <c r="AC54" s="158" t="s">
        <v>235</v>
      </c>
      <c r="AD54" s="171">
        <v>-3691890.6687500007</v>
      </c>
      <c r="AE54" s="171">
        <v>-2650429.8050000002</v>
      </c>
      <c r="AF54" s="171">
        <f t="shared" ref="AF54" si="38">AE54-AD54</f>
        <v>1041460.8637500005</v>
      </c>
      <c r="AJ54" s="48"/>
      <c r="AK54" s="48"/>
      <c r="AL54" s="48"/>
      <c r="AM54" s="48"/>
      <c r="AN54" s="48"/>
      <c r="AO54" s="128"/>
      <c r="AP54" s="128"/>
      <c r="AQ54" s="174"/>
      <c r="AR54" s="128"/>
      <c r="AS54" s="48"/>
      <c r="AT54" s="48"/>
      <c r="AU54" s="48"/>
      <c r="AY54" s="48"/>
      <c r="BE54" s="48"/>
      <c r="BF54" s="98">
        <f t="shared" si="3"/>
        <v>38</v>
      </c>
      <c r="BG54" s="250" t="s">
        <v>236</v>
      </c>
      <c r="BH54" s="125"/>
      <c r="BI54" s="48"/>
      <c r="BJ54" s="48"/>
      <c r="BK54" s="48"/>
      <c r="BM54" s="112"/>
      <c r="BQ54" s="48"/>
      <c r="BR54" s="48"/>
      <c r="BY54" s="48"/>
      <c r="BZ54" s="195"/>
      <c r="CE54" s="48"/>
      <c r="CF54" s="48"/>
      <c r="CG54" s="48"/>
      <c r="CH54" s="48"/>
      <c r="CI54" s="48"/>
      <c r="CJ54" s="48"/>
      <c r="CK54" s="48"/>
      <c r="CL54" s="48"/>
      <c r="CQ54" s="48"/>
      <c r="CR54" s="48"/>
      <c r="CS54" s="48"/>
      <c r="CT54" s="48"/>
      <c r="CU54" s="48"/>
      <c r="CV54" s="48"/>
      <c r="CY54" s="239"/>
      <c r="CZ54" s="239"/>
      <c r="DA54" s="239"/>
      <c r="DB54" s="239"/>
      <c r="DC54" s="150"/>
      <c r="DI54" s="150"/>
    </row>
    <row r="55" spans="1:113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X55" s="48"/>
      <c r="Y55" s="48"/>
      <c r="Z55" s="48"/>
      <c r="AA55" s="48"/>
      <c r="AB55" s="98">
        <f t="shared" si="33"/>
        <v>39</v>
      </c>
      <c r="AC55" s="53"/>
      <c r="AD55" s="171"/>
      <c r="AE55" s="171"/>
      <c r="AF55" s="171"/>
      <c r="AO55" s="128"/>
      <c r="AP55" s="128"/>
      <c r="AQ55" s="174"/>
      <c r="AR55" s="128"/>
      <c r="BF55" s="98">
        <f t="shared" si="3"/>
        <v>39</v>
      </c>
      <c r="BG55" s="250" t="s">
        <v>237</v>
      </c>
      <c r="BH55" s="125"/>
      <c r="BI55" s="48"/>
      <c r="BJ55" s="48"/>
      <c r="BR55" s="48"/>
      <c r="BZ55" s="195"/>
      <c r="CY55" s="251"/>
      <c r="CZ55" s="251"/>
      <c r="DA55" s="251"/>
      <c r="DB55" s="251"/>
      <c r="DC55" s="150"/>
      <c r="DI55" s="150"/>
    </row>
    <row r="56" spans="1:113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X56" s="48"/>
      <c r="Y56" s="48"/>
      <c r="Z56" s="48"/>
      <c r="AA56" s="48"/>
      <c r="AB56" s="98">
        <f t="shared" si="33"/>
        <v>40</v>
      </c>
      <c r="AC56" s="158" t="s">
        <v>238</v>
      </c>
      <c r="AD56" s="171"/>
      <c r="AE56" s="171"/>
      <c r="AF56" s="171"/>
      <c r="AO56" s="128"/>
      <c r="AP56" s="128"/>
      <c r="AQ56" s="174"/>
      <c r="AR56" s="128"/>
      <c r="BF56" s="98">
        <f t="shared" si="3"/>
        <v>40</v>
      </c>
      <c r="BG56" s="250" t="s">
        <v>239</v>
      </c>
      <c r="BH56" s="125"/>
      <c r="BI56" s="48"/>
      <c r="BJ56" s="48"/>
      <c r="BR56" s="48"/>
      <c r="CY56" s="128"/>
      <c r="CZ56" s="128"/>
      <c r="DA56" s="128"/>
      <c r="DB56" s="128"/>
      <c r="DC56" s="150"/>
      <c r="DI56" s="150"/>
    </row>
    <row r="57" spans="1:113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X57" s="48"/>
      <c r="Y57" s="48"/>
      <c r="Z57" s="48"/>
      <c r="AA57" s="48"/>
      <c r="AB57" s="98">
        <f t="shared" si="33"/>
        <v>41</v>
      </c>
      <c r="AC57" s="158" t="s">
        <v>240</v>
      </c>
      <c r="AD57" s="171">
        <v>950655.03000004741</v>
      </c>
      <c r="AE57" s="171">
        <v>843839.97000004747</v>
      </c>
      <c r="AF57" s="171">
        <f t="shared" ref="AF57:AF58" si="39">AE57-AD57</f>
        <v>-106815.05999999994</v>
      </c>
      <c r="AO57" s="128"/>
      <c r="AP57" s="128"/>
      <c r="AQ57" s="174"/>
      <c r="AR57" s="128"/>
      <c r="BF57" s="98"/>
      <c r="BH57" s="48"/>
      <c r="BI57" s="48"/>
      <c r="BJ57" s="48"/>
      <c r="CY57" s="252"/>
      <c r="CZ57" s="252"/>
      <c r="DA57" s="252"/>
      <c r="DB57" s="252"/>
      <c r="DC57" s="150"/>
      <c r="DI57" s="150"/>
    </row>
    <row r="58" spans="1:113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X58" s="48"/>
      <c r="Y58" s="48"/>
      <c r="Z58" s="48"/>
      <c r="AA58" s="48"/>
      <c r="AB58" s="98">
        <f t="shared" si="33"/>
        <v>42</v>
      </c>
      <c r="AC58" s="158" t="s">
        <v>241</v>
      </c>
      <c r="AD58" s="247">
        <v>154673.60649999997</v>
      </c>
      <c r="AE58" s="247">
        <v>137427.20949999997</v>
      </c>
      <c r="AF58" s="247">
        <f t="shared" si="39"/>
        <v>-17246.396999999997</v>
      </c>
      <c r="AO58" s="128"/>
      <c r="AP58" s="128"/>
      <c r="AQ58" s="174"/>
      <c r="AR58" s="128"/>
      <c r="BF58" s="98"/>
      <c r="BG58" s="249"/>
      <c r="DC58" s="150"/>
      <c r="DI58" s="150"/>
    </row>
    <row r="59" spans="1:113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X59" s="48"/>
      <c r="Y59" s="48"/>
      <c r="Z59" s="48"/>
      <c r="AA59" s="48"/>
      <c r="AB59" s="98">
        <f t="shared" si="33"/>
        <v>43</v>
      </c>
      <c r="AC59" s="158"/>
      <c r="AD59" s="199"/>
      <c r="AE59" s="199"/>
      <c r="AF59" s="199"/>
      <c r="AO59" s="128"/>
      <c r="AP59" s="128"/>
      <c r="AQ59" s="174"/>
      <c r="AR59" s="128"/>
      <c r="BG59" s="250"/>
      <c r="DC59" s="150"/>
      <c r="DI59" s="150"/>
    </row>
    <row r="60" spans="1:113" ht="13.5" thickBot="1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X60" s="48"/>
      <c r="Y60" s="48"/>
      <c r="Z60" s="48"/>
      <c r="AA60" s="48"/>
      <c r="AB60" s="98">
        <f t="shared" si="33"/>
        <v>44</v>
      </c>
      <c r="AC60" s="158" t="s">
        <v>242</v>
      </c>
      <c r="AD60" s="204">
        <f>SUM(AD52:AD59)</f>
        <v>79930653.618166655</v>
      </c>
      <c r="AE60" s="204">
        <f>SUM(AE52:AE59)</f>
        <v>79447613.734500036</v>
      </c>
      <c r="AF60" s="204">
        <f>SUM(AF52:AF59)</f>
        <v>-483039.88366662757</v>
      </c>
      <c r="AO60" s="128"/>
      <c r="AP60" s="128"/>
      <c r="AQ60" s="128"/>
      <c r="AR60" s="128"/>
      <c r="BG60" s="250"/>
      <c r="DC60" s="150"/>
      <c r="DI60" s="150"/>
    </row>
    <row r="61" spans="1:113" ht="13.5" thickTop="1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X61" s="48"/>
      <c r="Y61" s="48"/>
      <c r="Z61" s="48"/>
      <c r="AA61" s="48"/>
      <c r="AB61" s="53"/>
      <c r="AC61" s="53"/>
      <c r="AD61" s="53"/>
      <c r="AE61" s="53"/>
      <c r="AF61" s="53"/>
      <c r="AO61" s="128"/>
      <c r="AP61" s="128"/>
      <c r="AQ61" s="128"/>
      <c r="AR61" s="128"/>
      <c r="BG61" s="250"/>
      <c r="DC61" s="150"/>
      <c r="DI61" s="150"/>
    </row>
    <row r="62" spans="1:113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X62" s="48"/>
      <c r="Y62" s="48"/>
      <c r="Z62" s="48"/>
      <c r="AA62" s="48"/>
      <c r="AB62" s="53"/>
      <c r="AC62" s="53"/>
      <c r="AD62" s="53"/>
      <c r="AE62" s="53"/>
      <c r="AF62" s="53"/>
      <c r="AO62" s="128"/>
      <c r="AP62" s="128"/>
      <c r="AQ62" s="128"/>
      <c r="AR62" s="128"/>
      <c r="DC62" s="150"/>
      <c r="DI62" s="150"/>
    </row>
    <row r="63" spans="1:113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X63" s="48"/>
      <c r="Y63" s="48"/>
      <c r="Z63" s="48"/>
      <c r="AA63" s="48"/>
      <c r="AB63" s="53"/>
      <c r="AC63" s="53"/>
      <c r="AD63" s="53"/>
      <c r="AE63" s="53"/>
      <c r="AF63" s="53"/>
      <c r="AO63" s="128"/>
      <c r="AP63" s="128"/>
      <c r="AQ63" s="128"/>
      <c r="AR63" s="128"/>
      <c r="DC63" s="150"/>
      <c r="DI63" s="150"/>
    </row>
    <row r="64" spans="1:113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X64" s="48"/>
      <c r="Y64" s="48"/>
      <c r="Z64" s="48"/>
      <c r="AA64" s="48"/>
      <c r="AB64" s="53"/>
      <c r="AC64" s="53"/>
      <c r="AD64" s="53"/>
      <c r="AE64" s="53"/>
      <c r="AF64" s="53"/>
      <c r="AO64" s="128"/>
      <c r="AP64" s="128"/>
      <c r="AQ64" s="128"/>
      <c r="AR64" s="128"/>
      <c r="DC64" s="150"/>
      <c r="DI64" s="150"/>
    </row>
    <row r="65" spans="1:113" x14ac:dyDescent="0.3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X65" s="48"/>
      <c r="Y65" s="48"/>
      <c r="Z65" s="48"/>
      <c r="AA65" s="48"/>
      <c r="AB65" s="53"/>
      <c r="AC65" s="53"/>
      <c r="AD65" s="53"/>
      <c r="AE65" s="53"/>
      <c r="AF65" s="53"/>
      <c r="AO65" s="128"/>
      <c r="AP65" s="128"/>
      <c r="AQ65" s="128"/>
      <c r="AR65" s="128"/>
      <c r="DC65" s="150"/>
      <c r="DI65" s="150"/>
    </row>
    <row r="66" spans="1:113" x14ac:dyDescent="0.3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X66" s="48"/>
      <c r="Y66" s="48"/>
      <c r="Z66" s="48"/>
      <c r="AA66" s="48"/>
      <c r="AB66" s="53"/>
      <c r="AC66" s="53"/>
      <c r="AD66" s="53"/>
      <c r="AE66" s="53"/>
      <c r="AF66" s="53"/>
      <c r="AO66" s="128"/>
      <c r="AP66" s="128"/>
      <c r="AQ66" s="128"/>
      <c r="AR66" s="128"/>
      <c r="DC66" s="150"/>
      <c r="DI66" s="150"/>
    </row>
    <row r="67" spans="1:113" x14ac:dyDescent="0.3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X67" s="48"/>
      <c r="Y67" s="48"/>
      <c r="Z67" s="48"/>
      <c r="AA67" s="48"/>
      <c r="AB67" s="53"/>
      <c r="AC67" s="53"/>
      <c r="AD67" s="53"/>
      <c r="AE67" s="53"/>
      <c r="AF67" s="53"/>
      <c r="AO67" s="128"/>
      <c r="AP67" s="128"/>
      <c r="AQ67" s="128"/>
      <c r="AR67" s="128"/>
      <c r="DC67" s="150"/>
      <c r="DI67" s="150"/>
    </row>
    <row r="68" spans="1:113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X68" s="48"/>
      <c r="Y68" s="48"/>
      <c r="Z68" s="48"/>
      <c r="AA68" s="48"/>
      <c r="AB68" s="53"/>
      <c r="AC68" s="53"/>
      <c r="AD68" s="53"/>
      <c r="AE68" s="53"/>
      <c r="AF68" s="53"/>
      <c r="AO68" s="128"/>
      <c r="AP68" s="128"/>
      <c r="AQ68" s="128"/>
      <c r="AR68" s="128"/>
      <c r="DC68" s="237"/>
      <c r="DI68" s="237"/>
    </row>
    <row r="69" spans="1:113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X69" s="48"/>
      <c r="Y69" s="48"/>
      <c r="Z69" s="48"/>
      <c r="AA69" s="48"/>
      <c r="AB69" s="53"/>
      <c r="AC69" s="53"/>
      <c r="AD69" s="53"/>
      <c r="AE69" s="53"/>
      <c r="AF69" s="53"/>
      <c r="DC69" s="186"/>
      <c r="DI69" s="186"/>
    </row>
    <row r="70" spans="1:113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X70" s="48"/>
      <c r="Y70" s="48"/>
      <c r="Z70" s="48"/>
      <c r="AA70" s="48"/>
      <c r="AB70" s="53"/>
      <c r="AC70" s="53"/>
      <c r="AD70" s="53"/>
      <c r="AE70" s="53"/>
      <c r="AF70" s="53"/>
      <c r="DC70" s="191"/>
      <c r="DI70" s="191"/>
    </row>
    <row r="71" spans="1:113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X71" s="48"/>
      <c r="Y71" s="48"/>
      <c r="Z71" s="48"/>
      <c r="AA71" s="48"/>
      <c r="AB71" s="53"/>
      <c r="AC71" s="53"/>
      <c r="AD71" s="53"/>
      <c r="AE71" s="53"/>
      <c r="AF71" s="53"/>
      <c r="DC71" s="253"/>
      <c r="DI71" s="253"/>
    </row>
    <row r="72" spans="1:113" x14ac:dyDescent="0.3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X72" s="48"/>
      <c r="Y72" s="48"/>
      <c r="Z72" s="48"/>
      <c r="AA72" s="48"/>
      <c r="AB72" s="53"/>
      <c r="AC72" s="53"/>
      <c r="AD72" s="53"/>
      <c r="AE72" s="53"/>
      <c r="AF72" s="53"/>
      <c r="DC72" s="254"/>
      <c r="DI72" s="254"/>
    </row>
    <row r="73" spans="1:113" x14ac:dyDescent="0.3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X73" s="48"/>
      <c r="Y73" s="48"/>
      <c r="Z73" s="48"/>
      <c r="AA73" s="48"/>
      <c r="AB73" s="53"/>
      <c r="AC73" s="53"/>
      <c r="AD73" s="53"/>
      <c r="AE73" s="53"/>
      <c r="AF73" s="53"/>
      <c r="DC73" s="186"/>
      <c r="DI73" s="186"/>
    </row>
    <row r="74" spans="1:113" x14ac:dyDescent="0.3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X74" s="48"/>
      <c r="Y74" s="48"/>
      <c r="Z74" s="48"/>
      <c r="AA74" s="48"/>
      <c r="AB74" s="53"/>
      <c r="AC74" s="53"/>
      <c r="AD74" s="53"/>
      <c r="AE74" s="53"/>
      <c r="AF74" s="53"/>
      <c r="DC74" s="136"/>
      <c r="DI74" s="136"/>
    </row>
    <row r="75" spans="1:113" x14ac:dyDescent="0.3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X75" s="48"/>
      <c r="Y75" s="48"/>
      <c r="Z75" s="48"/>
      <c r="AA75" s="48"/>
      <c r="AB75" s="53"/>
      <c r="AC75" s="53"/>
      <c r="AD75" s="53"/>
      <c r="AE75" s="53"/>
      <c r="AF75" s="53"/>
      <c r="DC75" s="136"/>
      <c r="DI75" s="136"/>
    </row>
    <row r="76" spans="1:113" x14ac:dyDescent="0.3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X76" s="48"/>
      <c r="Y76" s="48"/>
      <c r="Z76" s="48"/>
      <c r="AA76" s="48"/>
      <c r="AB76" s="53"/>
      <c r="AC76" s="53"/>
      <c r="AD76" s="53"/>
      <c r="AE76" s="53"/>
      <c r="AF76" s="53"/>
      <c r="DC76" s="254"/>
      <c r="DI76" s="254"/>
    </row>
    <row r="77" spans="1:113" x14ac:dyDescent="0.3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X77" s="48"/>
      <c r="Y77" s="48"/>
      <c r="Z77" s="48"/>
      <c r="AA77" s="48"/>
      <c r="AB77" s="53"/>
      <c r="AC77" s="53"/>
      <c r="AD77" s="53"/>
      <c r="AE77" s="53"/>
      <c r="AF77" s="53"/>
      <c r="DC77" s="254"/>
      <c r="DI77" s="254"/>
    </row>
    <row r="78" spans="1:113" x14ac:dyDescent="0.3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X78" s="48"/>
      <c r="Y78" s="48"/>
      <c r="Z78" s="48"/>
      <c r="AA78" s="48"/>
      <c r="AB78" s="53"/>
      <c r="AC78" s="53"/>
      <c r="AD78" s="53"/>
      <c r="AE78" s="53"/>
      <c r="AF78" s="53"/>
      <c r="DC78" s="254"/>
      <c r="DI78" s="254"/>
    </row>
    <row r="79" spans="1:113" x14ac:dyDescent="0.3">
      <c r="T79"/>
      <c r="U79"/>
      <c r="X79" s="48"/>
      <c r="Y79" s="48"/>
      <c r="Z79" s="48"/>
      <c r="AA79" s="48"/>
      <c r="AB79" s="53"/>
      <c r="AC79" s="53"/>
      <c r="AD79" s="53"/>
      <c r="AE79" s="53"/>
      <c r="AF79" s="53"/>
      <c r="DC79" s="254"/>
      <c r="DI79" s="254"/>
    </row>
    <row r="80" spans="1:113" x14ac:dyDescent="0.3">
      <c r="T80"/>
      <c r="U80"/>
      <c r="X80" s="48"/>
      <c r="Y80" s="48"/>
      <c r="Z80" s="48"/>
      <c r="AA80" s="48"/>
      <c r="AB80" s="53"/>
      <c r="AC80" s="53"/>
      <c r="AD80" s="53"/>
      <c r="AE80" s="53"/>
      <c r="AF80" s="53"/>
      <c r="DC80" s="254"/>
      <c r="DI80" s="254"/>
    </row>
    <row r="81" spans="24:113" x14ac:dyDescent="0.3">
      <c r="X81" s="48"/>
      <c r="Y81" s="48"/>
      <c r="Z81" s="48"/>
      <c r="AA81" s="48"/>
      <c r="AB81" s="53"/>
      <c r="AC81" s="53"/>
      <c r="AD81" s="53"/>
      <c r="AE81" s="53"/>
      <c r="AF81" s="53"/>
      <c r="DC81" s="254"/>
      <c r="DI81" s="254"/>
    </row>
    <row r="82" spans="24:113" x14ac:dyDescent="0.3">
      <c r="X82" s="48"/>
      <c r="Y82" s="48"/>
      <c r="Z82" s="48"/>
      <c r="AA82" s="48"/>
      <c r="AB82" s="53"/>
      <c r="AC82" s="53"/>
      <c r="AD82" s="53"/>
      <c r="AE82" s="53"/>
      <c r="AF82" s="53"/>
      <c r="DC82" s="254"/>
      <c r="DI82" s="254"/>
    </row>
    <row r="83" spans="24:113" x14ac:dyDescent="0.3">
      <c r="X83" s="48"/>
      <c r="Y83" s="48"/>
      <c r="Z83" s="48"/>
      <c r="AA83" s="48"/>
      <c r="AB83" s="53"/>
      <c r="AC83" s="53"/>
      <c r="AD83" s="53"/>
      <c r="AE83" s="53"/>
      <c r="AF83" s="53"/>
      <c r="DC83" s="254"/>
      <c r="DI83" s="254"/>
    </row>
    <row r="84" spans="24:113" x14ac:dyDescent="0.3">
      <c r="X84" s="48"/>
      <c r="Y84" s="48"/>
      <c r="Z84" s="48"/>
      <c r="AA84" s="48"/>
      <c r="AB84" s="53"/>
      <c r="AC84" s="53"/>
      <c r="AD84" s="53"/>
      <c r="AE84" s="53"/>
      <c r="AF84" s="53"/>
      <c r="DC84" s="254"/>
      <c r="DI84" s="254"/>
    </row>
    <row r="85" spans="24:113" x14ac:dyDescent="0.3">
      <c r="X85" s="48"/>
      <c r="Y85" s="48"/>
      <c r="Z85" s="48"/>
      <c r="AA85" s="48"/>
      <c r="AB85" s="53"/>
      <c r="AC85" s="53"/>
      <c r="AD85" s="53"/>
      <c r="AE85" s="53"/>
      <c r="AF85" s="53"/>
      <c r="DC85" s="186"/>
      <c r="DI85" s="186"/>
    </row>
    <row r="86" spans="24:113" x14ac:dyDescent="0.3">
      <c r="X86" s="48"/>
      <c r="Y86" s="48"/>
      <c r="Z86" s="48"/>
      <c r="AA86" s="48"/>
      <c r="AB86" s="53"/>
      <c r="AC86" s="53"/>
      <c r="AD86" s="53"/>
      <c r="AE86" s="53"/>
      <c r="AF86" s="53"/>
      <c r="DC86" s="254"/>
      <c r="DI86" s="254"/>
    </row>
    <row r="87" spans="24:113" x14ac:dyDescent="0.3">
      <c r="X87" s="48"/>
      <c r="Y87" s="48"/>
      <c r="Z87" s="48"/>
      <c r="AA87" s="48"/>
      <c r="AB87" s="53"/>
      <c r="AC87" s="53"/>
      <c r="AD87" s="53"/>
      <c r="AE87" s="53"/>
      <c r="AF87" s="53"/>
      <c r="DC87" s="186"/>
      <c r="DI87" s="186"/>
    </row>
    <row r="88" spans="24:113" x14ac:dyDescent="0.3">
      <c r="X88" s="48"/>
      <c r="Y88" s="48"/>
      <c r="Z88" s="48"/>
      <c r="AA88" s="48"/>
      <c r="AB88" s="53"/>
      <c r="AC88" s="53"/>
      <c r="AD88" s="53"/>
      <c r="AE88" s="53"/>
      <c r="AF88" s="53"/>
      <c r="DC88" s="254"/>
      <c r="DI88" s="254"/>
    </row>
    <row r="89" spans="24:113" x14ac:dyDescent="0.3">
      <c r="X89" s="48"/>
      <c r="Y89" s="48"/>
      <c r="Z89" s="48"/>
      <c r="AA89" s="48"/>
      <c r="AB89" s="53"/>
      <c r="AC89" s="53"/>
      <c r="AD89" s="53"/>
      <c r="AE89" s="53"/>
      <c r="AF89" s="53"/>
      <c r="DC89" s="186"/>
      <c r="DI89" s="186"/>
    </row>
    <row r="90" spans="24:113" x14ac:dyDescent="0.3">
      <c r="X90" s="48"/>
      <c r="Y90" s="48"/>
      <c r="Z90" s="48"/>
      <c r="AA90" s="48"/>
      <c r="AB90" s="53"/>
      <c r="AC90" s="53"/>
      <c r="AD90" s="53"/>
      <c r="AE90" s="53"/>
      <c r="AF90" s="53"/>
      <c r="DC90" s="186"/>
      <c r="DI90" s="186"/>
    </row>
    <row r="91" spans="24:113" x14ac:dyDescent="0.3">
      <c r="X91" s="48"/>
      <c r="Y91" s="48"/>
      <c r="Z91" s="48"/>
      <c r="AA91" s="48"/>
      <c r="AB91" s="53"/>
      <c r="AC91" s="53"/>
      <c r="AD91" s="53"/>
      <c r="AE91" s="53"/>
      <c r="AF91" s="53"/>
      <c r="DC91" s="186"/>
      <c r="DI91" s="186"/>
    </row>
    <row r="92" spans="24:113" x14ac:dyDescent="0.3">
      <c r="X92" s="48"/>
      <c r="Y92" s="48"/>
      <c r="Z92" s="48"/>
      <c r="AA92" s="48"/>
      <c r="AB92" s="53"/>
      <c r="AC92" s="53"/>
      <c r="AD92" s="53"/>
      <c r="AE92" s="53"/>
      <c r="AF92" s="53"/>
      <c r="DC92" s="186"/>
      <c r="DI92" s="186"/>
    </row>
    <row r="93" spans="24:113" x14ac:dyDescent="0.3">
      <c r="X93" s="48"/>
      <c r="Y93" s="48"/>
      <c r="Z93" s="48"/>
      <c r="AA93" s="48"/>
      <c r="AB93" s="53"/>
      <c r="AC93" s="53"/>
      <c r="AD93" s="53"/>
      <c r="AE93" s="53"/>
      <c r="AF93" s="53"/>
      <c r="DC93" s="186"/>
      <c r="DI93" s="186"/>
    </row>
    <row r="94" spans="24:113" x14ac:dyDescent="0.3">
      <c r="X94" s="48"/>
      <c r="Y94" s="48"/>
      <c r="Z94" s="48"/>
      <c r="AA94" s="48"/>
      <c r="AB94" s="53"/>
      <c r="AC94" s="53"/>
      <c r="AD94" s="53"/>
      <c r="AE94" s="53"/>
      <c r="AF94" s="53"/>
      <c r="CM94" s="147"/>
      <c r="DC94" s="186"/>
      <c r="DI94" s="186"/>
    </row>
    <row r="95" spans="24:113" x14ac:dyDescent="0.3">
      <c r="X95" s="48"/>
      <c r="Y95" s="48"/>
      <c r="Z95" s="48"/>
      <c r="AA95" s="48"/>
      <c r="AB95" s="53"/>
      <c r="AC95" s="53"/>
      <c r="AD95" s="53"/>
      <c r="AE95" s="53"/>
      <c r="AF95" s="53"/>
      <c r="DC95" s="186"/>
      <c r="DI95" s="186"/>
    </row>
    <row r="96" spans="24:113" x14ac:dyDescent="0.3">
      <c r="X96" s="48"/>
      <c r="Y96" s="48"/>
      <c r="Z96" s="48"/>
      <c r="AA96" s="48"/>
      <c r="AB96" s="53"/>
      <c r="AC96" s="53"/>
      <c r="AD96" s="53"/>
      <c r="AE96" s="53"/>
      <c r="AF96" s="53"/>
      <c r="DC96" s="186"/>
      <c r="DI96" s="186"/>
    </row>
    <row r="97" spans="24:113" x14ac:dyDescent="0.3">
      <c r="X97" s="48"/>
      <c r="Y97" s="48"/>
      <c r="Z97" s="48"/>
      <c r="AA97" s="48"/>
      <c r="AB97" s="53"/>
      <c r="AC97" s="53"/>
      <c r="AD97" s="53"/>
      <c r="AE97" s="53"/>
      <c r="AF97" s="53"/>
      <c r="DC97" s="186"/>
      <c r="DI97" s="186"/>
    </row>
    <row r="98" spans="24:113" x14ac:dyDescent="0.3">
      <c r="X98" s="48"/>
      <c r="Y98" s="48"/>
      <c r="Z98" s="48"/>
      <c r="AA98" s="48"/>
      <c r="AB98" s="53"/>
      <c r="AC98" s="53"/>
      <c r="AD98" s="53"/>
      <c r="AE98" s="53"/>
      <c r="AF98" s="53"/>
      <c r="DC98" s="186"/>
      <c r="DI98" s="186"/>
    </row>
    <row r="99" spans="24:113" x14ac:dyDescent="0.3">
      <c r="X99" s="48"/>
      <c r="Y99" s="48"/>
      <c r="Z99" s="48"/>
      <c r="AA99" s="48"/>
      <c r="AB99" s="53"/>
      <c r="AC99" s="53"/>
      <c r="AD99" s="53"/>
      <c r="AE99" s="53"/>
      <c r="AF99" s="53"/>
      <c r="DC99" s="186"/>
      <c r="DI99" s="186"/>
    </row>
    <row r="100" spans="24:113" x14ac:dyDescent="0.3">
      <c r="X100" s="48"/>
      <c r="Y100" s="48"/>
      <c r="Z100" s="48"/>
      <c r="AA100" s="48"/>
      <c r="AB100" s="53"/>
      <c r="AC100" s="53"/>
      <c r="AD100" s="53"/>
      <c r="AE100" s="53"/>
      <c r="AF100" s="53"/>
      <c r="DC100" s="186"/>
      <c r="DI100" s="186"/>
    </row>
    <row r="101" spans="24:113" x14ac:dyDescent="0.3">
      <c r="X101" s="48"/>
      <c r="Y101" s="48"/>
      <c r="Z101" s="48"/>
      <c r="AA101" s="48"/>
      <c r="AB101" s="53"/>
      <c r="AC101" s="53"/>
      <c r="AD101" s="53"/>
      <c r="AE101" s="53"/>
      <c r="AF101" s="53"/>
      <c r="AH101" s="128"/>
      <c r="AI101" s="158"/>
      <c r="AJ101" s="47"/>
      <c r="AK101" s="47"/>
      <c r="AL101" s="47"/>
      <c r="DC101" s="254"/>
      <c r="DI101" s="254"/>
    </row>
    <row r="102" spans="24:113" x14ac:dyDescent="0.3">
      <c r="X102" s="48"/>
      <c r="Y102" s="48"/>
      <c r="Z102" s="48"/>
      <c r="AA102" s="48"/>
      <c r="AB102" s="53"/>
      <c r="AC102" s="53"/>
      <c r="AD102" s="53"/>
      <c r="AE102" s="53"/>
      <c r="AF102" s="53"/>
      <c r="AH102" s="128"/>
      <c r="AI102" s="158"/>
      <c r="AJ102" s="255"/>
      <c r="AK102" s="174"/>
      <c r="AL102" s="255"/>
      <c r="DC102" s="254"/>
      <c r="DI102" s="254"/>
    </row>
    <row r="103" spans="24:113" x14ac:dyDescent="0.3">
      <c r="X103" s="48"/>
      <c r="Y103" s="48"/>
      <c r="Z103" s="48"/>
      <c r="AA103" s="48"/>
      <c r="AB103" s="53"/>
      <c r="AC103" s="53"/>
      <c r="AD103" s="53"/>
      <c r="AE103" s="53"/>
      <c r="AF103" s="53"/>
      <c r="AH103" s="128"/>
      <c r="AI103" s="158"/>
      <c r="AJ103" s="255"/>
      <c r="AK103" s="121"/>
      <c r="AL103" s="255"/>
      <c r="DC103" s="186"/>
      <c r="DI103" s="186"/>
    </row>
    <row r="104" spans="24:113" x14ac:dyDescent="0.3">
      <c r="X104" s="48"/>
      <c r="Y104" s="48"/>
      <c r="Z104" s="48"/>
      <c r="AA104" s="48"/>
      <c r="AB104" s="53"/>
      <c r="AC104" s="53"/>
      <c r="AD104" s="53"/>
      <c r="AE104" s="53"/>
      <c r="AF104" s="53"/>
      <c r="AH104" s="128"/>
      <c r="AI104" s="158"/>
      <c r="AJ104" s="255"/>
      <c r="AK104" s="121"/>
      <c r="AL104" s="255"/>
      <c r="DC104" s="254"/>
      <c r="DI104" s="254"/>
    </row>
    <row r="105" spans="24:113" x14ac:dyDescent="0.3">
      <c r="X105" s="48"/>
      <c r="Y105" s="48"/>
      <c r="Z105" s="48"/>
      <c r="AA105" s="48"/>
      <c r="AB105" s="53"/>
      <c r="AC105" s="53"/>
      <c r="AD105" s="53"/>
      <c r="AE105" s="53"/>
      <c r="AF105" s="53"/>
      <c r="AH105" s="128"/>
      <c r="AI105" s="158"/>
      <c r="AJ105" s="255"/>
      <c r="AK105" s="121"/>
      <c r="AL105" s="255"/>
      <c r="DC105" s="254"/>
      <c r="DI105" s="254"/>
    </row>
    <row r="106" spans="24:113" x14ac:dyDescent="0.3">
      <c r="X106" s="48"/>
      <c r="Y106" s="48"/>
      <c r="Z106" s="48"/>
      <c r="AA106" s="48"/>
      <c r="AB106" s="53"/>
      <c r="AC106" s="53"/>
      <c r="AD106" s="53"/>
      <c r="AE106" s="53"/>
      <c r="AF106" s="53"/>
      <c r="AH106" s="128"/>
      <c r="AI106" s="158"/>
      <c r="AJ106" s="255"/>
      <c r="AK106" s="121"/>
      <c r="AL106" s="255"/>
      <c r="DC106" s="254"/>
      <c r="DI106" s="254"/>
    </row>
    <row r="107" spans="24:113" x14ac:dyDescent="0.3">
      <c r="X107" s="48"/>
      <c r="Y107" s="48"/>
      <c r="Z107" s="48"/>
      <c r="AA107" s="48"/>
      <c r="AB107" s="53"/>
      <c r="AC107" s="53"/>
      <c r="AD107" s="53"/>
      <c r="AE107" s="53"/>
      <c r="AF107" s="53"/>
      <c r="AH107" s="128"/>
      <c r="AI107" s="158"/>
      <c r="AJ107" s="255"/>
      <c r="AK107" s="167"/>
      <c r="AL107" s="255"/>
      <c r="DC107" s="254"/>
      <c r="DI107" s="254"/>
    </row>
    <row r="108" spans="24:113" x14ac:dyDescent="0.3">
      <c r="X108" s="48"/>
      <c r="Y108" s="48"/>
      <c r="Z108" s="48"/>
      <c r="AA108" s="48"/>
      <c r="AB108" s="53"/>
      <c r="AC108" s="53"/>
      <c r="AD108" s="53"/>
      <c r="AE108" s="53"/>
      <c r="AF108" s="53"/>
      <c r="AH108" s="128"/>
      <c r="AI108" s="158"/>
      <c r="AJ108" s="255"/>
      <c r="AK108" s="255"/>
      <c r="AL108" s="255"/>
      <c r="DC108" s="186"/>
      <c r="DI108" s="186"/>
    </row>
    <row r="109" spans="24:113" x14ac:dyDescent="0.3">
      <c r="X109" s="48"/>
      <c r="Y109" s="48"/>
      <c r="Z109" s="48"/>
      <c r="AA109" s="48"/>
      <c r="AB109" s="53"/>
      <c r="AC109" s="53"/>
      <c r="AD109" s="53"/>
      <c r="AE109" s="53"/>
      <c r="AF109" s="53"/>
      <c r="AH109" s="128"/>
      <c r="AI109" s="255"/>
      <c r="AJ109" s="255"/>
      <c r="AK109" s="255"/>
      <c r="AL109" s="255"/>
      <c r="DC109" s="186"/>
      <c r="DI109" s="186"/>
    </row>
    <row r="110" spans="24:113" x14ac:dyDescent="0.3">
      <c r="X110" s="48"/>
      <c r="Y110" s="48"/>
      <c r="Z110" s="48"/>
      <c r="AA110" s="48"/>
      <c r="AB110" s="53"/>
      <c r="AC110" s="53"/>
      <c r="AD110" s="53"/>
      <c r="AE110" s="53"/>
      <c r="AF110" s="53"/>
      <c r="AH110" s="128"/>
      <c r="AI110" s="255"/>
      <c r="AJ110" s="255"/>
      <c r="AK110" s="255"/>
      <c r="AL110" s="255"/>
      <c r="DC110" s="186"/>
      <c r="DI110" s="186"/>
    </row>
    <row r="111" spans="24:113" x14ac:dyDescent="0.3">
      <c r="X111" s="48"/>
      <c r="Y111" s="48"/>
      <c r="Z111" s="48"/>
      <c r="AA111" s="48"/>
      <c r="AB111" s="53"/>
      <c r="AC111" s="53"/>
      <c r="AD111" s="53"/>
      <c r="AE111" s="53"/>
      <c r="AF111" s="53"/>
      <c r="AH111" s="128"/>
      <c r="AI111" s="128"/>
      <c r="AJ111" s="128"/>
      <c r="AK111" s="128"/>
      <c r="AL111" s="128"/>
      <c r="DC111" s="186"/>
      <c r="DI111" s="186"/>
    </row>
    <row r="112" spans="24:113" x14ac:dyDescent="0.3">
      <c r="X112" s="48"/>
      <c r="Y112" s="48"/>
      <c r="Z112" s="48"/>
      <c r="AA112" s="48"/>
      <c r="AB112" s="53"/>
      <c r="AC112" s="53"/>
      <c r="AD112" s="53"/>
      <c r="AE112" s="53"/>
      <c r="AF112" s="53"/>
      <c r="AH112" s="128"/>
      <c r="AI112" s="128"/>
      <c r="AJ112" s="128"/>
      <c r="AK112" s="128"/>
      <c r="AL112" s="128"/>
      <c r="DC112" s="186"/>
      <c r="DI112" s="186"/>
    </row>
    <row r="113" spans="24:113" x14ac:dyDescent="0.3">
      <c r="X113" s="48"/>
      <c r="Y113" s="48"/>
      <c r="Z113" s="48"/>
      <c r="AA113" s="48"/>
      <c r="AB113" s="53"/>
      <c r="AC113" s="53"/>
      <c r="AD113" s="53"/>
      <c r="AE113" s="53"/>
      <c r="AF113" s="53"/>
      <c r="AH113" s="128"/>
      <c r="AI113" s="128"/>
      <c r="AJ113" s="128"/>
      <c r="AK113" s="128"/>
      <c r="AL113" s="128"/>
      <c r="DC113" s="186"/>
      <c r="DI113" s="186"/>
    </row>
    <row r="114" spans="24:113" x14ac:dyDescent="0.3">
      <c r="X114" s="48"/>
      <c r="Y114" s="48"/>
      <c r="Z114" s="48"/>
      <c r="AA114" s="48"/>
      <c r="AB114" s="53"/>
      <c r="AC114" s="53"/>
      <c r="AD114" s="53"/>
      <c r="AE114" s="53"/>
      <c r="AF114" s="53"/>
      <c r="AH114" s="128"/>
      <c r="AI114" s="128"/>
      <c r="AJ114" s="128"/>
      <c r="AK114" s="128"/>
      <c r="AL114" s="128"/>
      <c r="DC114" s="186"/>
      <c r="DI114" s="186"/>
    </row>
    <row r="115" spans="24:113" x14ac:dyDescent="0.3">
      <c r="X115" s="48"/>
      <c r="Y115" s="48"/>
      <c r="Z115" s="48"/>
      <c r="AA115" s="48"/>
      <c r="AB115" s="53"/>
      <c r="AC115" s="53"/>
      <c r="AD115" s="53"/>
      <c r="AE115" s="53"/>
      <c r="AF115" s="53"/>
      <c r="AH115" s="128"/>
      <c r="AI115" s="128"/>
      <c r="AJ115" s="128"/>
      <c r="AK115" s="128"/>
      <c r="AL115" s="128"/>
      <c r="DC115" s="186"/>
      <c r="DI115" s="186"/>
    </row>
    <row r="116" spans="24:113" x14ac:dyDescent="0.3">
      <c r="X116" s="48"/>
      <c r="Y116" s="48"/>
      <c r="Z116" s="48"/>
      <c r="AA116" s="48"/>
      <c r="AB116" s="53"/>
      <c r="AC116" s="53"/>
      <c r="AD116" s="53"/>
      <c r="AE116" s="53"/>
      <c r="AF116" s="53"/>
      <c r="AH116" s="128"/>
      <c r="AI116" s="128"/>
      <c r="AJ116" s="128"/>
      <c r="AK116" s="128"/>
      <c r="AL116" s="128"/>
      <c r="DC116" s="186"/>
      <c r="DI116" s="186"/>
    </row>
    <row r="117" spans="24:113" x14ac:dyDescent="0.3">
      <c r="X117" s="48"/>
      <c r="Y117" s="48"/>
      <c r="Z117" s="48"/>
      <c r="AA117" s="48"/>
      <c r="AB117" s="53"/>
      <c r="AC117" s="53"/>
      <c r="AD117" s="53"/>
      <c r="AE117" s="53"/>
      <c r="AF117" s="53"/>
      <c r="AH117" s="128"/>
      <c r="AI117" s="128"/>
      <c r="AJ117" s="128"/>
      <c r="AK117" s="128"/>
      <c r="AL117" s="128"/>
      <c r="DC117" s="186"/>
      <c r="DI117" s="186"/>
    </row>
    <row r="118" spans="24:113" x14ac:dyDescent="0.3">
      <c r="X118" s="48"/>
      <c r="Y118" s="48"/>
      <c r="Z118" s="48"/>
      <c r="AA118" s="48"/>
      <c r="AB118" s="53"/>
      <c r="AC118" s="53"/>
      <c r="AD118" s="53"/>
      <c r="AE118" s="53"/>
      <c r="AF118" s="53"/>
      <c r="AH118" s="128"/>
      <c r="AI118" s="128"/>
      <c r="AJ118" s="128"/>
      <c r="AK118" s="128"/>
      <c r="AL118" s="128"/>
      <c r="DC118" s="186"/>
      <c r="DI118" s="186"/>
    </row>
    <row r="119" spans="24:113" x14ac:dyDescent="0.3">
      <c r="X119" s="48"/>
      <c r="Y119" s="48"/>
      <c r="Z119" s="48"/>
      <c r="AA119" s="48"/>
      <c r="AB119" s="53"/>
      <c r="AC119" s="53"/>
      <c r="AD119" s="53"/>
      <c r="AE119" s="53"/>
      <c r="AF119" s="53"/>
      <c r="AH119" s="128"/>
      <c r="AI119" s="128"/>
      <c r="AJ119" s="128"/>
      <c r="AK119" s="128"/>
      <c r="AL119" s="128"/>
      <c r="DC119" s="186"/>
      <c r="DI119" s="186"/>
    </row>
    <row r="120" spans="24:113" x14ac:dyDescent="0.3">
      <c r="X120" s="48"/>
      <c r="Y120" s="48"/>
      <c r="Z120" s="48"/>
      <c r="AA120" s="48"/>
      <c r="AB120" s="53"/>
      <c r="AC120" s="53"/>
      <c r="AD120" s="53"/>
      <c r="AE120" s="53"/>
      <c r="AF120" s="53"/>
      <c r="AH120" s="128"/>
      <c r="AI120" s="128"/>
      <c r="AJ120" s="128"/>
      <c r="AK120" s="128"/>
      <c r="AL120" s="128"/>
      <c r="DC120" s="186"/>
      <c r="DI120" s="186"/>
    </row>
    <row r="121" spans="24:113" x14ac:dyDescent="0.3">
      <c r="X121" s="48"/>
      <c r="Y121" s="48"/>
      <c r="Z121" s="48"/>
      <c r="AA121" s="48"/>
      <c r="AB121" s="53"/>
      <c r="AC121" s="53"/>
      <c r="AD121" s="53"/>
      <c r="AE121" s="53"/>
      <c r="AF121" s="53"/>
      <c r="AH121" s="128"/>
      <c r="AI121" s="128"/>
      <c r="AJ121" s="128"/>
      <c r="AK121" s="128"/>
      <c r="AL121" s="128"/>
      <c r="DC121" s="186"/>
      <c r="DI121" s="186"/>
    </row>
    <row r="122" spans="24:113" x14ac:dyDescent="0.3">
      <c r="X122" s="48"/>
      <c r="Y122" s="48"/>
      <c r="Z122" s="48"/>
      <c r="AA122" s="48"/>
      <c r="AB122" s="53"/>
      <c r="AC122" s="53"/>
      <c r="AD122" s="53"/>
      <c r="AE122" s="53"/>
      <c r="AF122" s="53"/>
      <c r="AH122" s="128"/>
      <c r="AI122" s="128"/>
      <c r="AJ122" s="128"/>
      <c r="AK122" s="128"/>
      <c r="AL122" s="128"/>
      <c r="DC122" s="186"/>
      <c r="DI122" s="186"/>
    </row>
    <row r="123" spans="24:113" x14ac:dyDescent="0.3">
      <c r="X123" s="48"/>
      <c r="Y123" s="48"/>
      <c r="Z123" s="48"/>
      <c r="AA123" s="48"/>
      <c r="AB123" s="53"/>
      <c r="AC123" s="53"/>
      <c r="AD123" s="53"/>
      <c r="AE123" s="53"/>
      <c r="AF123" s="53"/>
      <c r="AH123" s="128"/>
      <c r="AI123" s="128"/>
      <c r="AJ123" s="128"/>
      <c r="AK123" s="128"/>
      <c r="AL123" s="128"/>
      <c r="DC123" s="186"/>
      <c r="DI123" s="186"/>
    </row>
    <row r="124" spans="24:113" x14ac:dyDescent="0.3">
      <c r="X124" s="48"/>
      <c r="Y124" s="48"/>
      <c r="Z124" s="48"/>
      <c r="AA124" s="48"/>
      <c r="AB124" s="53"/>
      <c r="AC124" s="53"/>
      <c r="AD124" s="53"/>
      <c r="AE124" s="53"/>
      <c r="AF124" s="53"/>
      <c r="AH124" s="128"/>
      <c r="AI124" s="128"/>
      <c r="AJ124" s="128"/>
      <c r="AK124" s="128"/>
      <c r="AL124" s="128"/>
      <c r="DC124" s="186"/>
      <c r="DI124" s="186"/>
    </row>
    <row r="125" spans="24:113" x14ac:dyDescent="0.3">
      <c r="X125" s="48"/>
      <c r="Y125" s="48"/>
      <c r="Z125" s="48"/>
      <c r="AA125" s="48"/>
      <c r="AB125" s="53"/>
      <c r="AC125" s="53"/>
      <c r="AD125" s="53"/>
      <c r="AE125" s="53"/>
      <c r="AF125" s="53"/>
      <c r="AH125" s="128"/>
      <c r="AI125" s="128"/>
      <c r="AJ125" s="128"/>
      <c r="AK125" s="128"/>
      <c r="AL125" s="128"/>
      <c r="DC125" s="186"/>
      <c r="DI125" s="186"/>
    </row>
    <row r="126" spans="24:113" x14ac:dyDescent="0.3">
      <c r="X126" s="48"/>
      <c r="Y126" s="48"/>
      <c r="Z126" s="48"/>
      <c r="AA126" s="48"/>
      <c r="AB126" s="53"/>
      <c r="AC126" s="53"/>
      <c r="AD126" s="53"/>
      <c r="AE126" s="53"/>
      <c r="AF126" s="53"/>
      <c r="AH126" s="128"/>
      <c r="AI126" s="128"/>
      <c r="AJ126" s="128"/>
      <c r="AK126" s="128"/>
      <c r="AL126" s="128"/>
      <c r="DC126" s="186"/>
      <c r="DI126" s="186"/>
    </row>
    <row r="127" spans="24:113" x14ac:dyDescent="0.3">
      <c r="X127" s="48"/>
      <c r="Y127" s="48"/>
      <c r="Z127" s="48"/>
      <c r="AA127" s="48"/>
      <c r="AB127" s="53"/>
      <c r="AC127" s="53"/>
      <c r="AD127" s="53"/>
      <c r="AE127" s="53"/>
      <c r="AF127" s="53"/>
      <c r="AH127" s="128"/>
      <c r="AI127" s="128"/>
      <c r="AJ127" s="128"/>
      <c r="AK127" s="128"/>
      <c r="AL127" s="128"/>
      <c r="DC127" s="186"/>
      <c r="DI127" s="186"/>
    </row>
    <row r="128" spans="24:113" x14ac:dyDescent="0.3">
      <c r="X128" s="48"/>
      <c r="Y128" s="48"/>
      <c r="Z128" s="48"/>
      <c r="AA128" s="48"/>
      <c r="AB128" s="53"/>
      <c r="AC128" s="53"/>
      <c r="AD128" s="53"/>
      <c r="AE128" s="53"/>
      <c r="AF128" s="53"/>
      <c r="AH128" s="128"/>
      <c r="AI128" s="128"/>
      <c r="AJ128" s="128"/>
      <c r="AK128" s="128"/>
      <c r="AL128" s="128"/>
      <c r="DC128" s="186"/>
      <c r="DI128" s="186"/>
    </row>
    <row r="129" spans="24:113" x14ac:dyDescent="0.3">
      <c r="X129" s="48"/>
      <c r="Y129" s="48"/>
      <c r="Z129" s="48"/>
      <c r="AA129" s="48"/>
      <c r="AB129" s="53"/>
      <c r="AC129" s="53"/>
      <c r="AD129" s="53"/>
      <c r="AE129" s="53"/>
      <c r="AF129" s="53"/>
      <c r="AH129" s="128"/>
      <c r="AI129" s="128"/>
      <c r="AJ129" s="128"/>
      <c r="AK129" s="128"/>
      <c r="AL129" s="128"/>
      <c r="DC129" s="186"/>
      <c r="DI129" s="186"/>
    </row>
    <row r="130" spans="24:113" x14ac:dyDescent="0.3">
      <c r="X130" s="48"/>
      <c r="Y130" s="48"/>
      <c r="Z130" s="48"/>
      <c r="AA130" s="48"/>
      <c r="AB130" s="53"/>
      <c r="AC130" s="53"/>
      <c r="AD130" s="53"/>
      <c r="AE130" s="53"/>
      <c r="AF130" s="53"/>
      <c r="AH130" s="128"/>
      <c r="AI130" s="128"/>
      <c r="AJ130" s="128"/>
      <c r="AK130" s="128"/>
      <c r="AL130" s="128"/>
      <c r="DC130" s="186"/>
      <c r="DI130" s="186"/>
    </row>
    <row r="131" spans="24:113" x14ac:dyDescent="0.3">
      <c r="X131" s="48"/>
      <c r="Y131" s="48"/>
      <c r="Z131" s="48"/>
      <c r="AA131" s="48"/>
      <c r="AB131" s="53"/>
      <c r="AC131" s="53"/>
      <c r="AD131" s="53"/>
      <c r="AE131" s="53"/>
      <c r="AF131" s="53"/>
      <c r="AH131" s="128"/>
      <c r="AI131" s="128"/>
      <c r="AJ131" s="128"/>
      <c r="AK131" s="128"/>
      <c r="AL131" s="128"/>
      <c r="DC131" s="186"/>
      <c r="DI131" s="186"/>
    </row>
    <row r="132" spans="24:113" x14ac:dyDescent="0.3">
      <c r="X132" s="48"/>
      <c r="Y132" s="48"/>
      <c r="Z132" s="48"/>
      <c r="AA132" s="48"/>
      <c r="AB132" s="53"/>
      <c r="AC132" s="53"/>
      <c r="AD132" s="53"/>
      <c r="AE132" s="53"/>
      <c r="AF132" s="53"/>
      <c r="AH132" s="128"/>
      <c r="AI132" s="128"/>
      <c r="AJ132" s="128"/>
      <c r="AK132" s="128"/>
      <c r="AL132" s="128"/>
      <c r="DC132" s="186"/>
      <c r="DI132" s="186"/>
    </row>
    <row r="133" spans="24:113" x14ac:dyDescent="0.3">
      <c r="AH133" s="128"/>
      <c r="AI133" s="128"/>
      <c r="AJ133" s="128"/>
      <c r="AK133" s="128"/>
      <c r="AL133" s="128"/>
      <c r="DC133" s="186"/>
      <c r="DI133" s="186"/>
    </row>
    <row r="134" spans="24:113" x14ac:dyDescent="0.3">
      <c r="AH134" s="128"/>
      <c r="AI134" s="128"/>
      <c r="AJ134" s="128"/>
      <c r="AK134" s="128"/>
      <c r="AL134" s="128"/>
      <c r="DC134" s="186"/>
      <c r="DI134" s="186"/>
    </row>
    <row r="135" spans="24:113" x14ac:dyDescent="0.3">
      <c r="AH135" s="128"/>
      <c r="AI135" s="128"/>
      <c r="AJ135" s="128"/>
      <c r="AK135" s="128"/>
      <c r="AL135" s="128"/>
      <c r="DC135" s="186"/>
      <c r="DI135" s="186"/>
    </row>
    <row r="136" spans="24:113" x14ac:dyDescent="0.3">
      <c r="AH136" s="128"/>
      <c r="AI136" s="128"/>
      <c r="AJ136" s="128"/>
      <c r="AK136" s="128"/>
      <c r="AL136" s="128"/>
      <c r="DC136" s="186"/>
      <c r="DI136" s="186"/>
    </row>
    <row r="137" spans="24:113" x14ac:dyDescent="0.3">
      <c r="AH137" s="128"/>
      <c r="AI137" s="128"/>
      <c r="AJ137" s="128"/>
      <c r="AK137" s="128"/>
      <c r="AL137" s="128"/>
      <c r="DC137" s="186"/>
      <c r="DI137" s="186"/>
    </row>
    <row r="138" spans="24:113" x14ac:dyDescent="0.3">
      <c r="AH138" s="128"/>
      <c r="AI138" s="128"/>
      <c r="AJ138" s="128"/>
      <c r="AK138" s="128"/>
      <c r="AL138" s="128"/>
      <c r="DC138" s="186"/>
      <c r="DI138" s="186"/>
    </row>
    <row r="139" spans="24:113" x14ac:dyDescent="0.3">
      <c r="AH139" s="128"/>
      <c r="AI139" s="128"/>
      <c r="AJ139" s="128"/>
      <c r="AK139" s="128"/>
      <c r="AL139" s="128"/>
      <c r="DC139" s="186"/>
      <c r="DI139" s="186"/>
    </row>
    <row r="140" spans="24:113" x14ac:dyDescent="0.3">
      <c r="AH140" s="128"/>
      <c r="AI140" s="128"/>
      <c r="AJ140" s="128"/>
      <c r="AK140" s="128"/>
      <c r="AL140" s="128"/>
      <c r="DC140" s="186"/>
      <c r="DI140" s="186"/>
    </row>
    <row r="141" spans="24:113" x14ac:dyDescent="0.3">
      <c r="AH141" s="128"/>
      <c r="AI141" s="128"/>
      <c r="AJ141" s="128"/>
      <c r="AK141" s="128"/>
      <c r="AL141" s="128"/>
      <c r="DC141" s="186"/>
      <c r="DI141" s="186"/>
    </row>
    <row r="142" spans="24:113" x14ac:dyDescent="0.3">
      <c r="AH142" s="128"/>
      <c r="AI142" s="128"/>
      <c r="AJ142" s="128"/>
      <c r="AK142" s="128"/>
      <c r="AL142" s="128"/>
      <c r="DC142" s="186"/>
      <c r="DI142" s="186"/>
    </row>
    <row r="143" spans="24:113" x14ac:dyDescent="0.3">
      <c r="AH143" s="128"/>
      <c r="AI143" s="128"/>
      <c r="AJ143" s="128"/>
      <c r="AK143" s="128"/>
      <c r="AL143" s="128"/>
      <c r="DC143" s="186"/>
      <c r="DI143" s="186"/>
    </row>
    <row r="144" spans="24:113" x14ac:dyDescent="0.3">
      <c r="AH144" s="128"/>
      <c r="AI144" s="128"/>
      <c r="AJ144" s="128"/>
      <c r="AK144" s="128"/>
      <c r="AL144" s="128"/>
      <c r="DC144" s="186"/>
      <c r="DI144" s="186"/>
    </row>
    <row r="145" spans="34:113" x14ac:dyDescent="0.3">
      <c r="AH145" s="128"/>
      <c r="AI145" s="128"/>
      <c r="AJ145" s="128"/>
      <c r="AK145" s="128"/>
      <c r="AL145" s="128"/>
      <c r="DC145" s="186"/>
      <c r="DI145" s="186"/>
    </row>
    <row r="146" spans="34:113" x14ac:dyDescent="0.3">
      <c r="AH146" s="128"/>
      <c r="AI146" s="128"/>
      <c r="AJ146" s="128"/>
      <c r="AK146" s="128"/>
      <c r="AL146" s="128"/>
      <c r="DC146" s="186"/>
      <c r="DI146" s="186"/>
    </row>
    <row r="147" spans="34:113" x14ac:dyDescent="0.3">
      <c r="AH147" s="128"/>
      <c r="AI147" s="128"/>
      <c r="AJ147" s="128"/>
      <c r="AK147" s="128"/>
      <c r="AL147" s="128"/>
      <c r="DC147" s="186"/>
      <c r="DI147" s="186"/>
    </row>
    <row r="148" spans="34:113" x14ac:dyDescent="0.3">
      <c r="AH148" s="128"/>
      <c r="AI148" s="128"/>
      <c r="AJ148" s="128"/>
      <c r="AK148" s="128"/>
      <c r="AL148" s="128"/>
      <c r="DC148" s="186"/>
      <c r="DI148" s="186"/>
    </row>
    <row r="149" spans="34:113" x14ac:dyDescent="0.3">
      <c r="AH149" s="128"/>
      <c r="AI149" s="128"/>
      <c r="AJ149" s="128"/>
      <c r="AK149" s="128"/>
      <c r="AL149" s="128"/>
      <c r="DC149" s="186"/>
      <c r="DI149" s="186"/>
    </row>
    <row r="150" spans="34:113" x14ac:dyDescent="0.3">
      <c r="AH150" s="128"/>
      <c r="AI150" s="128"/>
      <c r="AJ150" s="128"/>
      <c r="AK150" s="128"/>
      <c r="AL150" s="128"/>
      <c r="DC150" s="186"/>
      <c r="DI150" s="186"/>
    </row>
    <row r="151" spans="34:113" x14ac:dyDescent="0.3">
      <c r="AH151" s="128"/>
      <c r="AI151" s="128"/>
      <c r="AJ151" s="128"/>
      <c r="AK151" s="128"/>
      <c r="AL151" s="128"/>
      <c r="DC151" s="186"/>
      <c r="DI151" s="186"/>
    </row>
    <row r="152" spans="34:113" x14ac:dyDescent="0.3">
      <c r="AH152" s="128"/>
      <c r="AI152" s="128"/>
      <c r="AJ152" s="128"/>
      <c r="AK152" s="128"/>
      <c r="AL152" s="128"/>
      <c r="DC152" s="186"/>
      <c r="DI152" s="186"/>
    </row>
    <row r="153" spans="34:113" x14ac:dyDescent="0.3">
      <c r="AH153" s="128"/>
      <c r="AI153" s="128"/>
      <c r="AJ153" s="128"/>
      <c r="AK153" s="128"/>
      <c r="AL153" s="128"/>
      <c r="DC153" s="186"/>
      <c r="DI153" s="186"/>
    </row>
    <row r="154" spans="34:113" x14ac:dyDescent="0.3">
      <c r="AH154" s="128"/>
      <c r="AI154" s="128"/>
      <c r="AJ154" s="128"/>
      <c r="AK154" s="128"/>
      <c r="AL154" s="128"/>
      <c r="DC154" s="186"/>
      <c r="DI154" s="186"/>
    </row>
    <row r="155" spans="34:113" x14ac:dyDescent="0.3">
      <c r="AH155" s="128"/>
      <c r="AI155" s="128"/>
      <c r="AJ155" s="128"/>
      <c r="AK155" s="128"/>
      <c r="AL155" s="128"/>
      <c r="DC155" s="186"/>
      <c r="DI155" s="186"/>
    </row>
    <row r="156" spans="34:113" x14ac:dyDescent="0.3">
      <c r="AH156" s="128"/>
      <c r="AI156" s="128"/>
      <c r="AJ156" s="128"/>
      <c r="AK156" s="128"/>
      <c r="AL156" s="128"/>
      <c r="DC156" s="186"/>
      <c r="DI156" s="186"/>
    </row>
    <row r="157" spans="34:113" x14ac:dyDescent="0.3">
      <c r="AH157" s="128"/>
      <c r="AI157" s="128"/>
      <c r="AJ157" s="128"/>
      <c r="AK157" s="128"/>
      <c r="AL157" s="128"/>
      <c r="DC157" s="186"/>
      <c r="DI157" s="186"/>
    </row>
    <row r="158" spans="34:113" x14ac:dyDescent="0.3">
      <c r="AH158" s="128"/>
      <c r="AI158" s="128"/>
      <c r="AJ158" s="128"/>
      <c r="AK158" s="128"/>
      <c r="AL158" s="128"/>
      <c r="DC158" s="186"/>
      <c r="DI158" s="186"/>
    </row>
    <row r="159" spans="34:113" x14ac:dyDescent="0.3">
      <c r="AH159" s="128"/>
      <c r="AI159" s="128"/>
      <c r="AJ159" s="128"/>
      <c r="AK159" s="128"/>
      <c r="AL159" s="128"/>
      <c r="DC159" s="186"/>
      <c r="DI159" s="186"/>
    </row>
    <row r="160" spans="34:113" x14ac:dyDescent="0.3">
      <c r="AH160" s="128"/>
      <c r="AI160" s="128"/>
      <c r="AJ160" s="128"/>
      <c r="AK160" s="128"/>
      <c r="AL160" s="128"/>
    </row>
    <row r="161" spans="34:38" x14ac:dyDescent="0.3">
      <c r="AH161" s="128"/>
      <c r="AI161" s="128"/>
      <c r="AJ161" s="128"/>
      <c r="AK161" s="128"/>
      <c r="AL161" s="128"/>
    </row>
    <row r="162" spans="34:38" x14ac:dyDescent="0.3">
      <c r="AH162" s="128"/>
      <c r="AI162" s="128"/>
      <c r="AJ162" s="128"/>
      <c r="AK162" s="128"/>
      <c r="AL162" s="128"/>
    </row>
    <row r="163" spans="34:38" x14ac:dyDescent="0.3">
      <c r="AH163" s="128"/>
      <c r="AI163" s="128"/>
      <c r="AJ163" s="128"/>
      <c r="AK163" s="128"/>
      <c r="AL163" s="128"/>
    </row>
    <row r="164" spans="34:38" x14ac:dyDescent="0.3">
      <c r="AH164" s="128"/>
      <c r="AI164" s="128"/>
      <c r="AJ164" s="128"/>
      <c r="AK164" s="128"/>
      <c r="AL164" s="128"/>
    </row>
    <row r="165" spans="34:38" x14ac:dyDescent="0.3">
      <c r="AH165" s="128"/>
      <c r="AI165" s="128"/>
      <c r="AJ165" s="128"/>
      <c r="AK165" s="128"/>
      <c r="AL165" s="128"/>
    </row>
    <row r="166" spans="34:38" x14ac:dyDescent="0.3">
      <c r="AH166" s="128"/>
      <c r="AI166" s="128"/>
      <c r="AJ166" s="128"/>
      <c r="AK166" s="128"/>
      <c r="AL166" s="128"/>
    </row>
    <row r="167" spans="34:38" x14ac:dyDescent="0.3">
      <c r="AH167" s="128"/>
      <c r="AI167" s="128"/>
      <c r="AJ167" s="128"/>
      <c r="AK167" s="128"/>
      <c r="AL167" s="128"/>
    </row>
    <row r="168" spans="34:38" x14ac:dyDescent="0.3">
      <c r="AH168" s="128"/>
      <c r="AI168" s="128"/>
      <c r="AJ168" s="128"/>
      <c r="AK168" s="128"/>
      <c r="AL168" s="128"/>
    </row>
    <row r="169" spans="34:38" x14ac:dyDescent="0.3">
      <c r="AH169" s="128"/>
      <c r="AI169" s="128"/>
      <c r="AJ169" s="128"/>
      <c r="AK169" s="128"/>
      <c r="AL169" s="128"/>
    </row>
    <row r="170" spans="34:38" x14ac:dyDescent="0.3">
      <c r="AH170" s="128"/>
      <c r="AI170" s="128"/>
      <c r="AJ170" s="128"/>
      <c r="AK170" s="128"/>
      <c r="AL170" s="128"/>
    </row>
    <row r="171" spans="34:38" x14ac:dyDescent="0.3">
      <c r="AH171" s="128"/>
      <c r="AI171" s="128"/>
      <c r="AJ171" s="128"/>
      <c r="AK171" s="128"/>
      <c r="AL171" s="128"/>
    </row>
    <row r="172" spans="34:38" x14ac:dyDescent="0.3">
      <c r="AH172" s="128"/>
      <c r="AI172" s="128"/>
      <c r="AJ172" s="128"/>
      <c r="AK172" s="128"/>
      <c r="AL172" s="128"/>
    </row>
    <row r="173" spans="34:38" x14ac:dyDescent="0.3">
      <c r="AH173" s="128"/>
      <c r="AI173" s="128"/>
      <c r="AJ173" s="128"/>
      <c r="AK173" s="128"/>
      <c r="AL173" s="128"/>
    </row>
    <row r="174" spans="34:38" x14ac:dyDescent="0.3">
      <c r="AH174" s="128"/>
      <c r="AI174" s="128"/>
      <c r="AJ174" s="128"/>
      <c r="AK174" s="128"/>
      <c r="AL174" s="128"/>
    </row>
    <row r="175" spans="34:38" x14ac:dyDescent="0.3">
      <c r="AH175" s="128"/>
      <c r="AI175" s="128"/>
      <c r="AJ175" s="128"/>
      <c r="AK175" s="128"/>
      <c r="AL175" s="128"/>
    </row>
    <row r="176" spans="34:38" x14ac:dyDescent="0.3">
      <c r="AH176" s="128"/>
      <c r="AI176" s="128"/>
      <c r="AJ176" s="128"/>
      <c r="AK176" s="128"/>
      <c r="AL176" s="128"/>
    </row>
    <row r="177" spans="34:38" x14ac:dyDescent="0.3">
      <c r="AH177" s="128"/>
      <c r="AI177" s="128"/>
      <c r="AJ177" s="128"/>
      <c r="AK177" s="128"/>
      <c r="AL177" s="128"/>
    </row>
    <row r="178" spans="34:38" x14ac:dyDescent="0.3">
      <c r="AH178" s="128"/>
      <c r="AI178" s="128"/>
      <c r="AJ178" s="128"/>
      <c r="AK178" s="128"/>
      <c r="AL178" s="128"/>
    </row>
    <row r="179" spans="34:38" x14ac:dyDescent="0.3">
      <c r="AH179" s="128"/>
      <c r="AI179" s="128"/>
      <c r="AJ179" s="128"/>
      <c r="AK179" s="128"/>
      <c r="AL179" s="128"/>
    </row>
    <row r="180" spans="34:38" x14ac:dyDescent="0.3">
      <c r="AH180" s="128"/>
      <c r="AI180" s="128"/>
      <c r="AJ180" s="128"/>
      <c r="AK180" s="128"/>
      <c r="AL180" s="128"/>
    </row>
    <row r="181" spans="34:38" x14ac:dyDescent="0.3">
      <c r="AH181" s="128"/>
      <c r="AI181" s="128"/>
      <c r="AJ181" s="128"/>
      <c r="AK181" s="128"/>
      <c r="AL181" s="128"/>
    </row>
    <row r="182" spans="34:38" x14ac:dyDescent="0.3">
      <c r="AH182" s="128"/>
      <c r="AI182" s="128"/>
      <c r="AJ182" s="128"/>
      <c r="AK182" s="128"/>
      <c r="AL182" s="128"/>
    </row>
    <row r="183" spans="34:38" x14ac:dyDescent="0.3">
      <c r="AH183" s="128"/>
      <c r="AI183" s="128"/>
      <c r="AJ183" s="128"/>
      <c r="AK183" s="128"/>
      <c r="AL183" s="128"/>
    </row>
    <row r="184" spans="34:38" x14ac:dyDescent="0.3">
      <c r="AH184" s="128"/>
      <c r="AI184" s="128"/>
      <c r="AJ184" s="128"/>
      <c r="AK184" s="128"/>
      <c r="AL184" s="128"/>
    </row>
    <row r="185" spans="34:38" x14ac:dyDescent="0.3">
      <c r="AH185" s="128"/>
      <c r="AI185" s="128"/>
      <c r="AJ185" s="128"/>
      <c r="AK185" s="128"/>
      <c r="AL185" s="128"/>
    </row>
    <row r="186" spans="34:38" x14ac:dyDescent="0.3">
      <c r="AH186" s="128"/>
      <c r="AI186" s="128"/>
      <c r="AJ186" s="128"/>
      <c r="AK186" s="128"/>
      <c r="AL186" s="128"/>
    </row>
  </sheetData>
  <mergeCells count="3">
    <mergeCell ref="CS12:CV12"/>
    <mergeCell ref="CX13:DB13"/>
    <mergeCell ref="CY44:DB44"/>
  </mergeCells>
  <conditionalFormatting sqref="A1">
    <cfRule type="notContainsBlanks" dxfId="16" priority="17">
      <formula>LEN(TRIM(A1))&gt;0</formula>
    </cfRule>
  </conditionalFormatting>
  <conditionalFormatting sqref="E1">
    <cfRule type="cellIs" dxfId="15" priority="16" operator="notEqual">
      <formula>0</formula>
    </cfRule>
  </conditionalFormatting>
  <conditionalFormatting sqref="Z1">
    <cfRule type="cellIs" dxfId="14" priority="15" operator="notEqual">
      <formula>0</formula>
    </cfRule>
  </conditionalFormatting>
  <conditionalFormatting sqref="AR1">
    <cfRule type="cellIs" dxfId="13" priority="14" operator="notEqual">
      <formula>0</formula>
    </cfRule>
  </conditionalFormatting>
  <conditionalFormatting sqref="AQ1">
    <cfRule type="cellIs" dxfId="12" priority="13" operator="notEqual">
      <formula>0</formula>
    </cfRule>
  </conditionalFormatting>
  <conditionalFormatting sqref="AL1">
    <cfRule type="cellIs" dxfId="11" priority="12" operator="notEqual">
      <formula>0</formula>
    </cfRule>
  </conditionalFormatting>
  <conditionalFormatting sqref="AK1">
    <cfRule type="cellIs" dxfId="10" priority="11" operator="notEqual">
      <formula>0</formula>
    </cfRule>
  </conditionalFormatting>
  <conditionalFormatting sqref="AJ1">
    <cfRule type="cellIs" dxfId="9" priority="10" operator="notEqual">
      <formula>0</formula>
    </cfRule>
  </conditionalFormatting>
  <conditionalFormatting sqref="AX1">
    <cfRule type="cellIs" dxfId="8" priority="9" operator="notEqual">
      <formula>0</formula>
    </cfRule>
  </conditionalFormatting>
  <conditionalFormatting sqref="AW1">
    <cfRule type="cellIs" dxfId="7" priority="8" operator="notEqual">
      <formula>0</formula>
    </cfRule>
  </conditionalFormatting>
  <conditionalFormatting sqref="BD1">
    <cfRule type="cellIs" dxfId="6" priority="7" operator="notEqual">
      <formula>0</formula>
    </cfRule>
  </conditionalFormatting>
  <conditionalFormatting sqref="BJ1">
    <cfRule type="cellIs" dxfId="5" priority="6" operator="notEqual">
      <formula>0</formula>
    </cfRule>
  </conditionalFormatting>
  <conditionalFormatting sqref="BI1">
    <cfRule type="cellIs" dxfId="4" priority="5" operator="notEqual">
      <formula>0</formula>
    </cfRule>
  </conditionalFormatting>
  <conditionalFormatting sqref="BO1:BP1">
    <cfRule type="cellIs" dxfId="3" priority="4" operator="notEqual">
      <formula>0</formula>
    </cfRule>
  </conditionalFormatting>
  <conditionalFormatting sqref="BW1:BX1">
    <cfRule type="cellIs" dxfId="2" priority="3" operator="notEqual">
      <formula>0</formula>
    </cfRule>
  </conditionalFormatting>
  <conditionalFormatting sqref="CI1:CJ1">
    <cfRule type="cellIs" dxfId="1" priority="1" operator="notEqual">
      <formula>0</formula>
    </cfRule>
  </conditionalFormatting>
  <conditionalFormatting sqref="CC1:CD1">
    <cfRule type="cellIs" dxfId="0" priority="2" operator="notEqual">
      <formula>0</formula>
    </cfRule>
  </conditionalFormatting>
  <printOptions horizontalCentered="1"/>
  <pageMargins left="0.5" right="0.5" top="0.75" bottom="0.5" header="0.25" footer="0.25"/>
  <pageSetup scale="10" firstPageNumber="3" fitToHeight="2" orientation="portrait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2021-02-02T08:00:00+00:00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019A2E2-93C5-442D-8F8D-7B9AF47B877E}"/>
</file>

<file path=customXml/itemProps2.xml><?xml version="1.0" encoding="utf-8"?>
<ds:datastoreItem xmlns:ds="http://schemas.openxmlformats.org/officeDocument/2006/customXml" ds:itemID="{02E6E8ED-2537-4C23-A4ED-3EACADA5B101}"/>
</file>

<file path=customXml/itemProps3.xml><?xml version="1.0" encoding="utf-8"?>
<ds:datastoreItem xmlns:ds="http://schemas.openxmlformats.org/officeDocument/2006/customXml" ds:itemID="{E5F0116D-60DA-4A3B-A9C8-658A7ECC47E0}"/>
</file>

<file path=customXml/itemProps4.xml><?xml version="1.0" encoding="utf-8"?>
<ds:datastoreItem xmlns:ds="http://schemas.openxmlformats.org/officeDocument/2006/customXml" ds:itemID="{C2909870-48C9-419F-A578-CCEEB45CE9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SEF-15 Summary</vt:lpstr>
      <vt:lpstr>SEF-15 Adjustments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Marvelous Marina</dc:creator>
  <cp:lastModifiedBy>Steele, David S. (BEL)</cp:lastModifiedBy>
  <cp:lastPrinted>2021-01-29T04:17:21Z</cp:lastPrinted>
  <dcterms:created xsi:type="dcterms:W3CDTF">2021-01-28T22:16:11Z</dcterms:created>
  <dcterms:modified xsi:type="dcterms:W3CDTF">2021-02-01T05:03:16Z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