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workbookPassword="E6B6" lockStructure="1"/>
  <bookViews>
    <workbookView xWindow="240" yWindow="375" windowWidth="14865" windowHeight="7515"/>
  </bookViews>
  <sheets>
    <sheet name="Page 1, 3.8 - Schedule 300" sheetId="1" r:id="rId1"/>
    <sheet name="Page 2, 3.8.1 - Schedule 300" sheetId="2" r:id="rId2"/>
    <sheet name="Page 3, 3.8.2 - Schedule 300" sheetId="9" r:id="rId3"/>
    <sheet name="Page 3, 3.8.2 - 3-Yr. Average" sheetId="3" state="hidden" r:id="rId4"/>
    <sheet name="WUTC 20.2" sheetId="7" state="hidden" r:id="rId5"/>
    <sheet name="Reconnection Charge" sheetId="5" state="hidden" r:id="rId6"/>
    <sheet name="Tampering" sheetId="6" state="hidden" r:id="rId7"/>
    <sheet name="WUTC 21" sheetId="8" state="hidden" r:id="rId8"/>
  </sheets>
  <definedNames>
    <definedName name="_Order1" hidden="1">255</definedName>
    <definedName name="_xlnm.Print_Area" localSheetId="5">'Reconnection Charge'!$A$1:$G$39</definedName>
    <definedName name="_xlnm.Print_Titles" localSheetId="4">'WUTC 20.2'!$3:$4</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"44KU92Q9LH2VK4DK86GZ93AXN"</definedName>
    <definedName name="wrn.All._.Pages." hidden="1">{#N/A,#N/A,FALSE,"cover";#N/A,#N/A,FALSE,"lead sheet";#N/A,#N/A,FALSE,"Adj backup";#N/A,#N/A,FALSE,"t Accounts"}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s>
  <calcPr calcId="145621" iterate="1"/>
</workbook>
</file>

<file path=xl/calcChain.xml><?xml version="1.0" encoding="utf-8"?>
<calcChain xmlns="http://schemas.openxmlformats.org/spreadsheetml/2006/main">
  <c r="I9" i="2" l="1"/>
  <c r="I10" i="2"/>
  <c r="I11" i="2"/>
  <c r="I12" i="2"/>
  <c r="I13" i="2"/>
  <c r="I14" i="2"/>
  <c r="I15" i="2"/>
  <c r="I16" i="2"/>
  <c r="I17" i="2"/>
  <c r="I18" i="2"/>
  <c r="I19" i="2"/>
  <c r="I20" i="2"/>
  <c r="I8" i="2"/>
  <c r="D16" i="9"/>
  <c r="F13" i="9"/>
  <c r="G13" i="9" s="1"/>
  <c r="F18" i="9"/>
  <c r="F19" i="9"/>
  <c r="F9" i="9"/>
  <c r="G9" i="9" s="1"/>
  <c r="F10" i="9"/>
  <c r="F8" i="9"/>
  <c r="C21" i="9"/>
  <c r="C20" i="9"/>
  <c r="E20" i="9" s="1"/>
  <c r="F20" i="9" s="1"/>
  <c r="C19" i="9"/>
  <c r="E19" i="9" s="1"/>
  <c r="E18" i="9"/>
  <c r="C17" i="9"/>
  <c r="C16" i="9"/>
  <c r="F16" i="9" s="1"/>
  <c r="D15" i="9"/>
  <c r="C15" i="9"/>
  <c r="F15" i="9" s="1"/>
  <c r="D14" i="9"/>
  <c r="C14" i="9"/>
  <c r="F14" i="9" s="1"/>
  <c r="D13" i="9"/>
  <c r="C13" i="9"/>
  <c r="D12" i="9"/>
  <c r="C12" i="9"/>
  <c r="F12" i="9" s="1"/>
  <c r="C11" i="9"/>
  <c r="E11" i="9" s="1"/>
  <c r="F11" i="9" s="1"/>
  <c r="C10" i="9"/>
  <c r="E10" i="9" s="1"/>
  <c r="A9" i="9"/>
  <c r="A10" i="9" s="1"/>
  <c r="A11" i="9" s="1"/>
  <c r="A12" i="9" s="1"/>
  <c r="A13" i="9" s="1"/>
  <c r="A14" i="9" s="1"/>
  <c r="A15" i="9" s="1"/>
  <c r="A16" i="9" s="1"/>
  <c r="A17" i="9" s="1"/>
  <c r="A18" i="9" s="1"/>
  <c r="A19" i="9" s="1"/>
  <c r="A20" i="9" s="1"/>
  <c r="A21" i="9" s="1"/>
  <c r="A22" i="9" s="1"/>
  <c r="A23" i="9" s="1"/>
  <c r="A24" i="9" s="1"/>
  <c r="D9" i="9"/>
  <c r="C9" i="9"/>
  <c r="G12" i="9" l="1"/>
  <c r="G11" i="9"/>
  <c r="G10" i="9"/>
  <c r="E17" i="9"/>
  <c r="F17" i="9" s="1"/>
  <c r="E21" i="9"/>
  <c r="F21" i="9" s="1"/>
  <c r="L8" i="2"/>
  <c r="L10" i="2"/>
  <c r="L11" i="2"/>
  <c r="L13" i="2"/>
  <c r="L14" i="2"/>
  <c r="L12" i="2"/>
  <c r="L15" i="2"/>
  <c r="L16" i="2"/>
  <c r="L17" i="2"/>
  <c r="L18" i="2"/>
  <c r="L19" i="2"/>
  <c r="L20" i="2"/>
  <c r="L9" i="2"/>
  <c r="M9" i="2" s="1"/>
  <c r="I30" i="2"/>
  <c r="K11" i="2"/>
  <c r="A25" i="2" l="1"/>
  <c r="E12" i="2"/>
  <c r="G14" i="9" l="1"/>
  <c r="I9" i="3"/>
  <c r="K12" i="2"/>
  <c r="A11" i="3"/>
  <c r="A12" i="3"/>
  <c r="A13" i="3" s="1"/>
  <c r="A14" i="3" s="1"/>
  <c r="A15" i="3" s="1"/>
  <c r="A16" i="3" s="1"/>
  <c r="A17" i="3" s="1"/>
  <c r="A18" i="3" s="1"/>
  <c r="A19" i="3" s="1"/>
  <c r="A20" i="3" s="1"/>
  <c r="A21" i="3" s="1"/>
  <c r="A22" i="3" s="1"/>
  <c r="A23" i="3" s="1"/>
  <c r="A24" i="3" s="1"/>
  <c r="A10" i="3"/>
  <c r="G15" i="9" l="1"/>
  <c r="A9" i="2"/>
  <c r="A10" i="2" s="1"/>
  <c r="A11" i="2" s="1"/>
  <c r="A12" i="2" s="1"/>
  <c r="A13" i="2" s="1"/>
  <c r="A14" i="2" s="1"/>
  <c r="A15" i="2" s="1"/>
  <c r="A16" i="2" s="1"/>
  <c r="A17" i="2" s="1"/>
  <c r="A18" i="2" s="1"/>
  <c r="G16" i="9" l="1"/>
  <c r="A19" i="2"/>
  <c r="A20" i="2" s="1"/>
  <c r="A21" i="2" s="1"/>
  <c r="A22" i="2" s="1"/>
  <c r="A23" i="2" s="1"/>
  <c r="A24" i="2" s="1"/>
  <c r="H9" i="3"/>
  <c r="G17" i="9" l="1"/>
  <c r="A26" i="2"/>
  <c r="A27" i="2" s="1"/>
  <c r="A28" i="2" s="1"/>
  <c r="J12" i="2"/>
  <c r="G18" i="9" l="1"/>
  <c r="E16" i="2"/>
  <c r="J16" i="2" s="1"/>
  <c r="E15" i="2"/>
  <c r="J15" i="2" s="1"/>
  <c r="E14" i="2"/>
  <c r="J14" i="2" s="1"/>
  <c r="E13" i="2"/>
  <c r="J13" i="2" s="1"/>
  <c r="E11" i="2"/>
  <c r="J11" i="2" s="1"/>
  <c r="J17" i="2"/>
  <c r="F16" i="2"/>
  <c r="E22" i="2"/>
  <c r="E21" i="2"/>
  <c r="E20" i="2"/>
  <c r="J20" i="2" s="1"/>
  <c r="E19" i="2"/>
  <c r="J19" i="2" s="1"/>
  <c r="E18" i="2"/>
  <c r="H18" i="2" s="1"/>
  <c r="K18" i="2" s="1"/>
  <c r="E10" i="2"/>
  <c r="H10" i="2" s="1"/>
  <c r="K10" i="2" s="1"/>
  <c r="E9" i="2"/>
  <c r="J9" i="2" s="1"/>
  <c r="F10" i="2"/>
  <c r="F9" i="2"/>
  <c r="F8" i="2"/>
  <c r="E8" i="2"/>
  <c r="K13" i="2"/>
  <c r="K14" i="2"/>
  <c r="K15" i="2"/>
  <c r="K8" i="2"/>
  <c r="L21" i="2"/>
  <c r="L22" i="2"/>
  <c r="H17" i="2"/>
  <c r="K17" i="2" s="1"/>
  <c r="B9" i="8"/>
  <c r="B11" i="8" s="1"/>
  <c r="C8" i="6" s="1"/>
  <c r="G19" i="9" l="1"/>
  <c r="H20" i="2"/>
  <c r="K20" i="2" s="1"/>
  <c r="J18" i="2"/>
  <c r="H19" i="2"/>
  <c r="K19" i="2" s="1"/>
  <c r="H9" i="2"/>
  <c r="K9" i="2" s="1"/>
  <c r="J10" i="2"/>
  <c r="H16" i="2"/>
  <c r="K16" i="2" s="1"/>
  <c r="C9" i="8"/>
  <c r="C11" i="8" s="1"/>
  <c r="D10" i="5" s="1"/>
  <c r="D9" i="8"/>
  <c r="D11" i="8"/>
  <c r="D9" i="5" s="1"/>
  <c r="G20" i="9" l="1"/>
  <c r="G21" i="9"/>
  <c r="C11" i="6"/>
  <c r="F15" i="2" s="1"/>
  <c r="F20" i="5"/>
  <c r="G11" i="2" s="1"/>
  <c r="E16" i="5"/>
  <c r="E15" i="5"/>
  <c r="D14" i="5"/>
  <c r="D13" i="5"/>
  <c r="D20" i="5" s="1"/>
  <c r="E22" i="5" l="1"/>
  <c r="F13" i="2" s="1"/>
  <c r="G23" i="5"/>
  <c r="G14" i="2" s="1"/>
  <c r="G8" i="2"/>
  <c r="F21" i="5"/>
  <c r="G12" i="2" s="1"/>
  <c r="F11" i="2"/>
  <c r="E23" i="5"/>
  <c r="F14" i="2" s="1"/>
  <c r="D21" i="5"/>
  <c r="F12" i="2" s="1"/>
  <c r="G22" i="5"/>
  <c r="G13" i="2" s="1"/>
  <c r="H20" i="3" l="1"/>
  <c r="C20" i="2" s="1"/>
  <c r="H19" i="3"/>
  <c r="C19" i="2" s="1"/>
  <c r="M19" i="2" s="1"/>
  <c r="H18" i="3"/>
  <c r="I18" i="3" s="1"/>
  <c r="H16" i="3"/>
  <c r="C16" i="2" s="1"/>
  <c r="H15" i="3"/>
  <c r="C15" i="2" s="1"/>
  <c r="M15" i="2" s="1"/>
  <c r="H17" i="3"/>
  <c r="C17" i="2" s="1"/>
  <c r="H14" i="3"/>
  <c r="C14" i="2" s="1"/>
  <c r="M14" i="2" s="1"/>
  <c r="H13" i="3"/>
  <c r="I13" i="3" s="1"/>
  <c r="H12" i="3"/>
  <c r="I12" i="3" s="1"/>
  <c r="H11" i="3"/>
  <c r="I11" i="3" s="1"/>
  <c r="H10" i="3"/>
  <c r="C10" i="2" s="1"/>
  <c r="M10" i="2" s="1"/>
  <c r="J21" i="2"/>
  <c r="M21" i="2" s="1"/>
  <c r="J22" i="2"/>
  <c r="M22" i="2" s="1"/>
  <c r="J8" i="2"/>
  <c r="I15" i="3" l="1"/>
  <c r="I17" i="3"/>
  <c r="I14" i="3"/>
  <c r="C12" i="2"/>
  <c r="I19" i="3"/>
  <c r="I10" i="3"/>
  <c r="I16" i="3"/>
  <c r="I20" i="3"/>
  <c r="M8" i="2"/>
  <c r="C13" i="2"/>
  <c r="C18" i="2"/>
  <c r="C11" i="2"/>
  <c r="C9" i="2"/>
  <c r="M20" i="2"/>
  <c r="M17" i="2"/>
  <c r="M11" i="2" l="1"/>
  <c r="M12" i="2"/>
  <c r="M18" i="2"/>
  <c r="M13" i="2"/>
  <c r="M16" i="2"/>
  <c r="M23" i="2" l="1"/>
  <c r="E8" i="1" s="1"/>
  <c r="H8" i="1" s="1"/>
</calcChain>
</file>

<file path=xl/comments1.xml><?xml version="1.0" encoding="utf-8"?>
<comments xmlns="http://schemas.openxmlformats.org/spreadsheetml/2006/main">
  <authors>
    <author>Author</author>
  </authors>
  <commentList>
    <comment ref="H11" authorId="0">
      <text>
        <r>
          <rPr>
            <b/>
            <sz val="9"/>
            <color indexed="81"/>
            <rFont val="Tahoma"/>
            <family val="2"/>
          </rPr>
          <t>Author:</t>
        </r>
        <r>
          <rPr>
            <sz val="9"/>
            <color indexed="81"/>
            <rFont val="Tahoma"/>
            <family val="2"/>
          </rPr>
          <t xml:space="preserve">
Error, was $25 but not requested.</t>
        </r>
      </text>
    </comment>
    <comment ref="E12" authorId="0">
      <text>
        <r>
          <rPr>
            <b/>
            <sz val="9"/>
            <color indexed="81"/>
            <rFont val="Tahoma"/>
            <family val="2"/>
          </rPr>
          <t>Author:</t>
        </r>
        <r>
          <rPr>
            <sz val="9"/>
            <color indexed="81"/>
            <rFont val="Tahoma"/>
            <family val="2"/>
          </rPr>
          <t xml:space="preserve">
Was an error, WUTC 20.2 shows $25 instead of $20</t>
        </r>
      </text>
    </comment>
  </commentList>
</comments>
</file>

<file path=xl/comments2.xml><?xml version="1.0" encoding="utf-8"?>
<comments xmlns="http://schemas.openxmlformats.org/spreadsheetml/2006/main">
  <authors>
    <author>Author</author>
  </authors>
  <commentList>
    <comment ref="F8" authorId="0">
      <text>
        <r>
          <rPr>
            <b/>
            <sz val="9"/>
            <color indexed="81"/>
            <rFont val="Tahoma"/>
            <family val="2"/>
          </rPr>
          <t xml:space="preserve">Author:
</t>
        </r>
        <r>
          <rPr>
            <sz val="9"/>
            <color indexed="81"/>
            <rFont val="Tahoma"/>
            <family val="2"/>
          </rPr>
          <t>Commission Order U-81-90 pg. 21, (J) states: "authorize the Company to increase these charges by 50% of the amount requested."</t>
        </r>
      </text>
    </comment>
    <comment ref="E12" authorId="0">
      <text>
        <r>
          <rPr>
            <b/>
            <sz val="9"/>
            <color indexed="81"/>
            <rFont val="Tahoma"/>
            <family val="2"/>
          </rPr>
          <t>Author:</t>
        </r>
        <r>
          <rPr>
            <sz val="9"/>
            <color indexed="81"/>
            <rFont val="Tahoma"/>
            <family val="2"/>
          </rPr>
          <t xml:space="preserve">
Error, was $25 but not requested.</t>
        </r>
      </text>
    </comment>
    <comment ref="C13" authorId="0">
      <text>
        <r>
          <rPr>
            <b/>
            <sz val="9"/>
            <color indexed="81"/>
            <rFont val="Tahoma"/>
            <family val="2"/>
          </rPr>
          <t>Author:</t>
        </r>
        <r>
          <rPr>
            <sz val="9"/>
            <color indexed="81"/>
            <rFont val="Tahoma"/>
            <family val="2"/>
          </rPr>
          <t xml:space="preserve">
Was an error, WUTC 20.2 shows $25 instead of $20</t>
        </r>
      </text>
    </comment>
  </commentList>
</comments>
</file>

<file path=xl/sharedStrings.xml><?xml version="1.0" encoding="utf-8"?>
<sst xmlns="http://schemas.openxmlformats.org/spreadsheetml/2006/main" count="426" uniqueCount="206">
  <si>
    <t>Washington</t>
  </si>
  <si>
    <t>ACCOUNT</t>
  </si>
  <si>
    <t>FACTOR %</t>
  </si>
  <si>
    <t>REF#</t>
  </si>
  <si>
    <t>Adjustment to Revenues:</t>
  </si>
  <si>
    <t>Other Electric Revenues</t>
  </si>
  <si>
    <t>PRO</t>
  </si>
  <si>
    <t>Situs</t>
  </si>
  <si>
    <t>Charge</t>
  </si>
  <si>
    <t>Times Charged 7/11-6/12</t>
  </si>
  <si>
    <t>Actual Cost (JL&amp;FS)</t>
  </si>
  <si>
    <t>Actual Cost    (FS Only)</t>
  </si>
  <si>
    <t>At
Current 
Charge</t>
  </si>
  <si>
    <t>At
Proposed
Charge</t>
  </si>
  <si>
    <t>Office Hour Connection</t>
  </si>
  <si>
    <t>Weekday After Hour Connection</t>
  </si>
  <si>
    <t>Weekend/Holiday Connection</t>
  </si>
  <si>
    <t>Office Hour Reconnection</t>
  </si>
  <si>
    <t>After Hour Reconnection</t>
  </si>
  <si>
    <t>Weekend/Holiday Reconnection</t>
  </si>
  <si>
    <t>Tampering</t>
  </si>
  <si>
    <t>Meter Test</t>
  </si>
  <si>
    <t>Meter Verification</t>
  </si>
  <si>
    <t>Actual Less Salvage &amp; Depreciation</t>
  </si>
  <si>
    <t>WA</t>
  </si>
  <si>
    <t>3.8.1</t>
  </si>
  <si>
    <t>July 2011 to June 2012</t>
  </si>
  <si>
    <t>No. of Times Fees Billed</t>
  </si>
  <si>
    <t>July 2010 to June 2011</t>
  </si>
  <si>
    <t>July 2009 to June 2010</t>
  </si>
  <si>
    <t>July 2008 to June 2009</t>
  </si>
  <si>
    <t>July 2007 to June 2008</t>
  </si>
  <si>
    <t>Difference</t>
  </si>
  <si>
    <t>Return Checks</t>
  </si>
  <si>
    <t>Temp. Service Charge - Single</t>
  </si>
  <si>
    <t>Temp. Service Charge - Three</t>
  </si>
  <si>
    <t>Cost Analysis for Disconnect/Reconnect Work</t>
  </si>
  <si>
    <t>Disconnect/Reconnect Analysis - Residential</t>
  </si>
  <si>
    <t>(Single Phase)</t>
  </si>
  <si>
    <t>Activity Rates</t>
  </si>
  <si>
    <t>Rate</t>
  </si>
  <si>
    <t>Journeyman Lineman's Hourly Activity Rate</t>
  </si>
  <si>
    <t>(see note a)</t>
  </si>
  <si>
    <t>Field Specialist Hourly Activity Rate</t>
  </si>
  <si>
    <t>Work Allocation</t>
  </si>
  <si>
    <t>Str. Time</t>
  </si>
  <si>
    <t>OT</t>
  </si>
  <si>
    <t>Field Visit Work completed 5% by Journeyman Lineman, 95% Field Specialist</t>
  </si>
  <si>
    <t>(see note b)</t>
  </si>
  <si>
    <t xml:space="preserve">Office Hour Reconnection Work completed 13% by Journeyman Lineman, 87% Field Specialist </t>
  </si>
  <si>
    <t xml:space="preserve">After Hour Reconnection Work completed 69% by Journeyman Lineman, 31% Field Specialist </t>
  </si>
  <si>
    <t>Weekend/Holiday After Hour Reconnection Work completed 100% by Journeyman Lineman</t>
  </si>
  <si>
    <t>(see note b, c)</t>
  </si>
  <si>
    <t>Calculations</t>
  </si>
  <si>
    <t>Lineman &amp; Field Specialist</t>
  </si>
  <si>
    <t>Field Specialist Only</t>
  </si>
  <si>
    <t>(see notes c, d, e, f)</t>
  </si>
  <si>
    <t>Hours</t>
  </si>
  <si>
    <t>Str. Time Cost</t>
  </si>
  <si>
    <t>OT Cost</t>
  </si>
  <si>
    <t xml:space="preserve">field visit </t>
  </si>
  <si>
    <t>(see note d)</t>
  </si>
  <si>
    <t>--</t>
  </si>
  <si>
    <t>office hour reconnection visit (includes field visit)</t>
  </si>
  <si>
    <t>after hours reconnection visit (includes field visit)</t>
  </si>
  <si>
    <t>(see note e, f)</t>
  </si>
  <si>
    <t>weekend/holiday after hour reconnection visit (includes field visit)</t>
  </si>
  <si>
    <t>Other Costs</t>
  </si>
  <si>
    <t xml:space="preserve">Overtime Meal </t>
  </si>
  <si>
    <t>(see note f)</t>
  </si>
  <si>
    <t>Note:</t>
  </si>
  <si>
    <t xml:space="preserve">a)  Reconnection cost based on Field Specialist and Journeyman Lineman CY 2012 Activity Rate in effect as of 11/1/2012. </t>
  </si>
  <si>
    <t>b)  Based on Field Specialist vs. Journeyman lineman work allocation from July 1, 2011 to June 30, 2012 .</t>
  </si>
  <si>
    <t>c)  Allocation of work for weekend/holidays is based on union contracts that require lineman to be first person called for work.  However, due to outage situations, a Field Specialist or meter reader may actually complete the weekend/holiday reconnection work.</t>
  </si>
  <si>
    <t>d)  Travel based on average of 10 miles.  Average regular hours time per visit estimated at 25 minutes.</t>
  </si>
  <si>
    <t>e)  After hours time varies based on the number of orders worked.  A minimum 2 hour after hours callout applies.</t>
  </si>
  <si>
    <t xml:space="preserve">f)  Overtime callouts that include the period between 6:00 - 6:30 p.m. include a $30 meal, not included in calculations. </t>
  </si>
  <si>
    <t>Tampering Visit Cost Analysis</t>
  </si>
  <si>
    <t>Unauthorized Reconnection/Tampering Visit Cost Analysis</t>
  </si>
  <si>
    <t>Meterman</t>
  </si>
  <si>
    <t>Meterman visit to site re. Tampering</t>
  </si>
  <si>
    <t xml:space="preserve">a)      Labor cost based based on Meterman CY 2012 Activity Rate in effect as of 11/1/2012. </t>
  </si>
  <si>
    <t>b)      Assume 1.75 hours per visit for work done during straight time (includes 1 hour of travel time).</t>
  </si>
  <si>
    <r>
      <t xml:space="preserve">***The Facilities Charges are charged in accordance with Company tariff Rule 14, </t>
    </r>
    <r>
      <rPr>
        <i/>
        <sz val="11"/>
        <color theme="1"/>
        <rFont val="Calibri"/>
        <family val="2"/>
        <scheme val="minor"/>
      </rPr>
      <t>Line Extensions</t>
    </r>
    <r>
      <rPr>
        <sz val="11"/>
        <color theme="1"/>
        <rFont val="Calibri"/>
        <family val="2"/>
        <scheme val="minor"/>
      </rPr>
      <t>.</t>
    </r>
  </si>
  <si>
    <t>**The filed rate for the Deposit Charge is based on the requirements of Washington Administrative Code 480-100-113 and 480-100-118.</t>
  </si>
  <si>
    <t>*These charges have always been billed at actual cost.  The Company is not proposing to change these charges from actual cost to a set amount.</t>
  </si>
  <si>
    <t>To be provided via supplemental response</t>
  </si>
  <si>
    <t>Not Available</t>
  </si>
  <si>
    <t>Three Phase</t>
  </si>
  <si>
    <t>Single Phase</t>
  </si>
  <si>
    <r>
      <t xml:space="preserve">Temporary Service Charge
</t>
    </r>
    <r>
      <rPr>
        <i/>
        <sz val="10"/>
        <color theme="1"/>
        <rFont val="Palatino"/>
        <family val="1"/>
      </rPr>
      <t>Service Drop and Meter only</t>
    </r>
  </si>
  <si>
    <t>1.67% of installed cost per month</t>
  </si>
  <si>
    <t>For facilities installed at Company's expense</t>
  </si>
  <si>
    <t>0.67% of installed cost per month</t>
  </si>
  <si>
    <t>For facilities installed at Customer's expense</t>
  </si>
  <si>
    <t>***Facilities Charge</t>
  </si>
  <si>
    <t>Actual Cost, Less Salvage</t>
  </si>
  <si>
    <t>*All Other Residential and Nonresidential Service Removals</t>
  </si>
  <si>
    <t>$906.00 (w/o riser)
$1,164.00 (w/ riser)</t>
  </si>
  <si>
    <t>Underground service drop and meter only</t>
  </si>
  <si>
    <t>Overhead service drop and meter only</t>
  </si>
  <si>
    <t>Residential Removal Charge</t>
  </si>
  <si>
    <t>Unauthorized Reconnection/Tampering Charge</t>
  </si>
  <si>
    <t>Field Visit Charge</t>
  </si>
  <si>
    <t>8:00 AM to 7:00 PM</t>
  </si>
  <si>
    <t>Weekends and holidays</t>
  </si>
  <si>
    <t>4:00 PM to 7:00 PM</t>
  </si>
  <si>
    <t>8:00 AM to 4:00 PM</t>
  </si>
  <si>
    <t>Monday through Friday except holidays</t>
  </si>
  <si>
    <t>Reconnection Charge</t>
  </si>
  <si>
    <t>1.0% per month of delinquent balance</t>
  </si>
  <si>
    <t>Late Payment Charge</t>
  </si>
  <si>
    <t>Returned Check Charge</t>
  </si>
  <si>
    <t>Not to exceed 2/12 of Estimated Annual Billing</t>
  </si>
  <si>
    <t>**Deposit</t>
  </si>
  <si>
    <t>$37.06 per unit</t>
  </si>
  <si>
    <t>$20.00 per unit</t>
  </si>
  <si>
    <t>$33.05 per unit</t>
  </si>
  <si>
    <t>Not Applicable - no fee</t>
  </si>
  <si>
    <t>Meter Verification Charge</t>
  </si>
  <si>
    <t>Meter Test Charge</t>
  </si>
  <si>
    <t>Actual Cost</t>
  </si>
  <si>
    <t>*Other Work at Customer's Request</t>
  </si>
  <si>
    <t>*Service Call Charge (Customer facilities)</t>
  </si>
  <si>
    <t>Actual Repair/ Replacement Cost</t>
  </si>
  <si>
    <r>
      <t xml:space="preserve">*Meter Repair/Replacement Charges
</t>
    </r>
    <r>
      <rPr>
        <i/>
        <sz val="10"/>
        <color theme="1"/>
        <rFont val="Palatino"/>
        <family val="1"/>
      </rPr>
      <t>Arising from careless or misuse by Customer</t>
    </r>
  </si>
  <si>
    <t>Not Applicable - no connection charge filed rate in Schedule 300 for this time period.</t>
  </si>
  <si>
    <t xml:space="preserve"> </t>
  </si>
  <si>
    <t>No Charge</t>
  </si>
  <si>
    <t>Connection Charge</t>
  </si>
  <si>
    <t>*Demand Pulse Access Charge</t>
  </si>
  <si>
    <t>Filed Rate</t>
  </si>
  <si>
    <t>July 2011 - June 2012</t>
  </si>
  <si>
    <t>July 2010 - June 2011</t>
  </si>
  <si>
    <t>July 2009 - June 2010</t>
  </si>
  <si>
    <t>July 2008 - June 2009</t>
  </si>
  <si>
    <t>July 2007 - June 2008</t>
  </si>
  <si>
    <t>Schedule 300 Charge</t>
  </si>
  <si>
    <t>Schedule 300 Effective Rates and Actual Costs per Occurrence</t>
  </si>
  <si>
    <t>WUTC 20</t>
  </si>
  <si>
    <t>Activity Rate</t>
  </si>
  <si>
    <t>Hours Worked</t>
  </si>
  <si>
    <t>Vehicle, M&amp;S, Other Expenses</t>
  </si>
  <si>
    <t>Overheads &amp; Benefits</t>
  </si>
  <si>
    <t>Salaries &amp; Overtime</t>
  </si>
  <si>
    <t>Journeyman Lineman</t>
  </si>
  <si>
    <t>Field Specialist</t>
  </si>
  <si>
    <t>CY2012</t>
  </si>
  <si>
    <t>State of Washington</t>
  </si>
  <si>
    <t>At
Revised
Charge</t>
  </si>
  <si>
    <t xml:space="preserve">The Company is proposing to change the rates associated with the reconnection charge in Schedule 300. The Reconnection Charge is assessed when a customer has been disconnected due to default or non-payment of their energy bill and then requests reconnection of service. This pro forma adjustment removes the actual charges from the historical test year and replaces the proposed amount using historical numbers.
</t>
  </si>
  <si>
    <t>PACIFICORP</t>
  </si>
  <si>
    <t>SCHEDULE 300 FEE CHARGE</t>
  </si>
  <si>
    <t>TOTAL COMPANY</t>
  </si>
  <si>
    <t>WCA FACTOR</t>
  </si>
  <si>
    <t>WA ALLOCATED</t>
  </si>
  <si>
    <t>SCHEDULE 300 FEE CHARGE SUMMARY</t>
  </si>
  <si>
    <t>(a)</t>
  </si>
  <si>
    <t>(b)</t>
  </si>
  <si>
    <t>(c)</t>
  </si>
  <si>
    <t>(d)</t>
  </si>
  <si>
    <t>(e)</t>
  </si>
  <si>
    <t>(f)</t>
  </si>
  <si>
    <t>(g)</t>
  </si>
  <si>
    <t>(h)</t>
  </si>
  <si>
    <t>(i)</t>
  </si>
  <si>
    <t>(j)</t>
  </si>
  <si>
    <t>3-Yr. Avg.</t>
  </si>
  <si>
    <t>Pro Forma
Adjustment</t>
  </si>
  <si>
    <t>Residential Removal (OH)</t>
  </si>
  <si>
    <t>Residential Removal (UG)</t>
  </si>
  <si>
    <t>Current Charges</t>
  </si>
  <si>
    <t>Proposed Charges</t>
  </si>
  <si>
    <t>SCHEDULE 300 FEE - TIMES BILLED*</t>
  </si>
  <si>
    <t>* Data from PacifiCorp’s response to Staff Data Request 20.</t>
  </si>
  <si>
    <t>3-Yr. Average</t>
  </si>
  <si>
    <t>Line No.</t>
  </si>
  <si>
    <t>** Highlighted/shaded area represent the highest and lowest number of times fees billed that were dropped from calculation.</t>
  </si>
  <si>
    <t>TYPE</t>
  </si>
  <si>
    <t>Connect Charge, After Hours</t>
  </si>
  <si>
    <t>Connect Charge -Wknd/Hol Hrs</t>
  </si>
  <si>
    <t>Reconnection Charge - Normal Office Hours</t>
  </si>
  <si>
    <t>Reconnection Charge - After Hours</t>
  </si>
  <si>
    <t>Reconnect Charge -Wknd/Hol Hrs</t>
  </si>
  <si>
    <t>Tampering Charge</t>
  </si>
  <si>
    <t>Washington Fees, Return Check Charge</t>
  </si>
  <si>
    <t>Washington Fees, Temporary Service Charge - Single Phase</t>
  </si>
  <si>
    <t>Washington Fees, Temporary Service Charge - Three Phase</t>
  </si>
  <si>
    <t>Schedule 300 Description</t>
  </si>
  <si>
    <t>* Highlighted/shaded area represent errors within the Company's initial exhibits and workpapers, that have been corrected by Staff.</t>
  </si>
  <si>
    <t>Field Visit</t>
  </si>
  <si>
    <t>(h) = (g) - (b)</t>
  </si>
  <si>
    <t>(k) = (j) - (h)</t>
  </si>
  <si>
    <t>Increase (Decrease) Revenue</t>
  </si>
  <si>
    <t>FOR THE TWELVE MONTHS ENDED JUNE 30, 2012</t>
  </si>
  <si>
    <t>2013 GENERAL RATE CASE</t>
  </si>
  <si>
    <t>Revised Charges</t>
  </si>
  <si>
    <t>Yes</t>
  </si>
  <si>
    <t>SCHEDULE 300 FEE REVISED CHARGE</t>
  </si>
  <si>
    <t>Actual Cost (FS Only)</t>
  </si>
  <si>
    <t>(f) = (e) + (b)</t>
  </si>
  <si>
    <t>(e) = ((d) - (b)) * 33.33%</t>
  </si>
  <si>
    <t>1/3 the difference between Actual Cost and Current Charges</t>
  </si>
  <si>
    <t>Description of Adjustment:</t>
  </si>
  <si>
    <t>Removal Cost Plus Net Book Value Less Salvage Value</t>
  </si>
  <si>
    <t>Staff revised the Company’s adjustment in three ways:  (1) we restated to a 5-year period for the number of times service charges have been applied to normalize the service charge revenue; (2) we applied a gradual increase in the current reconnection service charges to actual cost over this cases; and (3) corrected two errors in the Company's calculation for field visit and office hour reconnection charges.  This assures that the results of operations reflect the normal other revenue associated with service charges over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</si>
</sst>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quot;$&quot;#,##0.00"/>
    <numFmt numFmtId="167" formatCode="_(&quot;$&quot;* #,##0_);_(&quot;$&quot;* \(#,##0\);_(&quot;$&quot;* &quot;-&quot;??_);_(@_)"/>
    <numFmt numFmtId="168" formatCode="0.0%"/>
  </numFmts>
  <fonts count="42">
    <font>
      <sz val="11"/>
      <color theme="1"/>
      <name val="Calibri"/>
      <family val="2"/>
      <scheme val="minor"/>
    </font>
    <font>
      <sz val="12"/>
      <name val="Times New Roman"/>
      <family val="1"/>
    </font>
    <font>
      <sz val="10"/>
      <name val="Arial"/>
      <family val="2"/>
    </font>
    <font>
      <sz val="10"/>
      <color indexed="10"/>
      <name val="Arial"/>
      <family val="2"/>
    </font>
    <font>
      <sz val="10"/>
      <name val="Arial"/>
      <family val="2"/>
    </font>
    <font>
      <sz val="11"/>
      <color theme="1"/>
      <name val="Calibri"/>
      <family val="2"/>
      <scheme val="minor"/>
    </font>
    <font>
      <b/>
      <sz val="14"/>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1"/>
      <color theme="1"/>
      <name val="Calibri"/>
      <family val="2"/>
      <scheme val="minor"/>
    </font>
    <font>
      <b/>
      <sz val="14"/>
      <name val="Times New Roman"/>
      <family val="1"/>
    </font>
    <font>
      <sz val="12"/>
      <name val="Arial"/>
      <family val="2"/>
    </font>
    <font>
      <sz val="14"/>
      <name val="Times New Roman"/>
      <family val="1"/>
    </font>
    <font>
      <b/>
      <u/>
      <sz val="12"/>
      <name val="Times New Roman"/>
      <family val="1"/>
    </font>
    <font>
      <sz val="10"/>
      <name val="Times New Roman"/>
      <family val="1"/>
    </font>
    <font>
      <b/>
      <sz val="10"/>
      <name val="Times New Roman"/>
      <family val="1"/>
    </font>
    <font>
      <u/>
      <sz val="10"/>
      <name val="Times New Roman"/>
      <family val="1"/>
    </font>
    <font>
      <b/>
      <u/>
      <sz val="10"/>
      <name val="Times New Roman"/>
      <family val="1"/>
    </font>
    <font>
      <b/>
      <sz val="10"/>
      <color indexed="10"/>
      <name val="Times New Roman"/>
      <family val="1"/>
    </font>
    <font>
      <i/>
      <sz val="11"/>
      <color theme="1"/>
      <name val="Calibri"/>
      <family val="2"/>
      <scheme val="minor"/>
    </font>
    <font>
      <sz val="10"/>
      <color theme="1"/>
      <name val="Palatino"/>
      <family val="1"/>
    </font>
    <font>
      <i/>
      <sz val="10"/>
      <color theme="1"/>
      <name val="Palatino"/>
      <family val="1"/>
    </font>
    <font>
      <b/>
      <sz val="10"/>
      <color theme="1"/>
      <name val="Palatino"/>
      <family val="1"/>
    </font>
    <font>
      <sz val="10"/>
      <color rgb="FFFF0000"/>
      <name val="Palatino"/>
      <family val="1"/>
    </font>
    <font>
      <sz val="9"/>
      <color indexed="81"/>
      <name val="Tahoma"/>
      <family val="2"/>
    </font>
    <font>
      <b/>
      <sz val="9"/>
      <color indexed="81"/>
      <name val="Tahoma"/>
      <family val="2"/>
    </font>
    <font>
      <b/>
      <sz val="11"/>
      <name val="Times New Roman"/>
      <family val="1"/>
    </font>
    <font>
      <sz val="11"/>
      <name val="Times New Roman"/>
      <family val="1"/>
    </font>
    <font>
      <sz val="11"/>
      <color theme="1"/>
      <name val="Times New Roman"/>
      <family val="1"/>
    </font>
    <font>
      <b/>
      <sz val="11"/>
      <color theme="1"/>
      <name val="Times New Roman"/>
      <family val="1"/>
    </font>
    <font>
      <sz val="11"/>
      <color rgb="FFFF0000"/>
      <name val="Times New Roman"/>
      <family val="1"/>
    </font>
    <font>
      <sz val="10"/>
      <color indexed="10"/>
      <name val="Times New Roman"/>
      <family val="1"/>
    </font>
    <font>
      <sz val="10"/>
      <color indexed="12"/>
      <name val="Times New Roman"/>
      <family val="1"/>
    </font>
    <font>
      <i/>
      <sz val="11"/>
      <color theme="1"/>
      <name val="Times New Roman"/>
      <family val="1"/>
    </font>
    <font>
      <b/>
      <sz val="10"/>
      <name val="Arial"/>
      <family val="2"/>
    </font>
  </fonts>
  <fills count="2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9"/>
        <bgColor indexed="15"/>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7">
    <xf numFmtId="0" fontId="0" fillId="0" borderId="0"/>
    <xf numFmtId="43" fontId="5" fillId="0" borderId="0" applyFont="0" applyFill="0" applyBorder="0" applyAlignment="0" applyProtection="0"/>
    <xf numFmtId="44" fontId="5"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4" fontId="7" fillId="2" borderId="4" applyNumberFormat="0" applyProtection="0">
      <alignment vertical="center"/>
    </xf>
    <xf numFmtId="4" fontId="8" fillId="3" borderId="4" applyNumberFormat="0" applyProtection="0">
      <alignment vertical="center"/>
    </xf>
    <xf numFmtId="4" fontId="7" fillId="3" borderId="4" applyNumberFormat="0" applyProtection="0">
      <alignment vertical="center"/>
    </xf>
    <xf numFmtId="4" fontId="7" fillId="3" borderId="4" applyNumberFormat="0" applyProtection="0">
      <alignment horizontal="left" vertical="center" indent="1"/>
    </xf>
    <xf numFmtId="0" fontId="7" fillId="3" borderId="4" applyNumberFormat="0" applyProtection="0">
      <alignment horizontal="left" vertical="top" indent="1"/>
    </xf>
    <xf numFmtId="4" fontId="7" fillId="4" borderId="5" applyNumberFormat="0" applyProtection="0">
      <alignment vertical="center"/>
    </xf>
    <xf numFmtId="4" fontId="7" fillId="4" borderId="4" applyNumberFormat="0" applyProtection="0"/>
    <xf numFmtId="4" fontId="9" fillId="5" borderId="4" applyNumberFormat="0" applyProtection="0">
      <alignment horizontal="right" vertical="center"/>
    </xf>
    <xf numFmtId="4" fontId="9" fillId="6" borderId="4" applyNumberFormat="0" applyProtection="0">
      <alignment horizontal="right" vertical="center"/>
    </xf>
    <xf numFmtId="4" fontId="9" fillId="7" borderId="4" applyNumberFormat="0" applyProtection="0">
      <alignment horizontal="right" vertical="center"/>
    </xf>
    <xf numFmtId="4" fontId="9" fillId="8" borderId="4" applyNumberFormat="0" applyProtection="0">
      <alignment horizontal="right" vertical="center"/>
    </xf>
    <xf numFmtId="4" fontId="9" fillId="9" borderId="4" applyNumberFormat="0" applyProtection="0">
      <alignment horizontal="right" vertical="center"/>
    </xf>
    <xf numFmtId="4" fontId="9" fillId="10" borderId="4" applyNumberFormat="0" applyProtection="0">
      <alignment horizontal="right" vertical="center"/>
    </xf>
    <xf numFmtId="4" fontId="9" fillId="11" borderId="4" applyNumberFormat="0" applyProtection="0">
      <alignment horizontal="right" vertical="center"/>
    </xf>
    <xf numFmtId="4" fontId="9" fillId="12" borderId="4" applyNumberFormat="0" applyProtection="0">
      <alignment horizontal="right" vertical="center"/>
    </xf>
    <xf numFmtId="4" fontId="9" fillId="13" borderId="4" applyNumberFormat="0" applyProtection="0">
      <alignment horizontal="right" vertical="center"/>
    </xf>
    <xf numFmtId="4" fontId="7" fillId="14" borderId="6" applyNumberFormat="0" applyProtection="0">
      <alignment horizontal="left" vertical="center" indent="1"/>
    </xf>
    <xf numFmtId="4" fontId="9" fillId="15" borderId="0" applyNumberFormat="0" applyProtection="0">
      <alignment horizontal="left" vertical="center" indent="1"/>
    </xf>
    <xf numFmtId="4" fontId="9" fillId="15" borderId="0" applyNumberFormat="0" applyProtection="0">
      <alignment horizontal="left" indent="1"/>
    </xf>
    <xf numFmtId="4" fontId="10" fillId="16" borderId="0" applyNumberFormat="0" applyProtection="0">
      <alignment horizontal="left" vertical="center" indent="1"/>
    </xf>
    <xf numFmtId="4" fontId="9" fillId="17" borderId="4" applyNumberFormat="0" applyProtection="0">
      <alignment horizontal="right" vertical="center"/>
    </xf>
    <xf numFmtId="4" fontId="11" fillId="0" borderId="0" applyNumberFormat="0" applyProtection="0">
      <alignment horizontal="left" vertical="center" indent="1"/>
    </xf>
    <xf numFmtId="4" fontId="12" fillId="18" borderId="0" applyNumberFormat="0" applyProtection="0">
      <alignment horizontal="left" indent="1"/>
    </xf>
    <xf numFmtId="4" fontId="13" fillId="0" borderId="0" applyNumberFormat="0" applyProtection="0">
      <alignment horizontal="left" vertical="center" indent="1"/>
    </xf>
    <xf numFmtId="4" fontId="13" fillId="19" borderId="0" applyNumberFormat="0" applyProtection="0"/>
    <xf numFmtId="0" fontId="2" fillId="16" borderId="4" applyNumberFormat="0" applyProtection="0">
      <alignment horizontal="left" vertical="center" indent="1"/>
    </xf>
    <xf numFmtId="0" fontId="2" fillId="16" borderId="4" applyNumberFormat="0" applyProtection="0">
      <alignment horizontal="left" vertical="top" indent="1"/>
    </xf>
    <xf numFmtId="0" fontId="2" fillId="4" borderId="4" applyNumberFormat="0" applyProtection="0">
      <alignment horizontal="left" vertical="center" indent="1"/>
    </xf>
    <xf numFmtId="0" fontId="2" fillId="4" borderId="4" applyNumberFormat="0" applyProtection="0">
      <alignment horizontal="left" vertical="top" indent="1"/>
    </xf>
    <xf numFmtId="0" fontId="2" fillId="20" borderId="4" applyNumberFormat="0" applyProtection="0">
      <alignment horizontal="left" vertical="center" indent="1"/>
    </xf>
    <xf numFmtId="0" fontId="2" fillId="20" borderId="4" applyNumberFormat="0" applyProtection="0">
      <alignment horizontal="left" vertical="top" indent="1"/>
    </xf>
    <xf numFmtId="0" fontId="2" fillId="21" borderId="4" applyNumberFormat="0" applyProtection="0">
      <alignment horizontal="left" vertical="center" indent="1"/>
    </xf>
    <xf numFmtId="0" fontId="2" fillId="21" borderId="4" applyNumberFormat="0" applyProtection="0">
      <alignment horizontal="left" vertical="top" indent="1"/>
    </xf>
    <xf numFmtId="4" fontId="9" fillId="22" borderId="4" applyNumberFormat="0" applyProtection="0">
      <alignment vertical="center"/>
    </xf>
    <xf numFmtId="4" fontId="14" fillId="22" borderId="4" applyNumberFormat="0" applyProtection="0">
      <alignment vertical="center"/>
    </xf>
    <xf numFmtId="4" fontId="9" fillId="22" borderId="4" applyNumberFormat="0" applyProtection="0">
      <alignment horizontal="left" vertical="center" indent="1"/>
    </xf>
    <xf numFmtId="0" fontId="9" fillId="22" borderId="4" applyNumberFormat="0" applyProtection="0">
      <alignment horizontal="left" vertical="top" indent="1"/>
    </xf>
    <xf numFmtId="4" fontId="9" fillId="23" borderId="7" applyNumberFormat="0" applyProtection="0">
      <alignment horizontal="right" vertical="center"/>
    </xf>
    <xf numFmtId="4" fontId="9" fillId="0" borderId="4" applyNumberFormat="0" applyProtection="0">
      <alignment horizontal="right" vertical="center"/>
    </xf>
    <xf numFmtId="4" fontId="14" fillId="15" borderId="4" applyNumberFormat="0" applyProtection="0">
      <alignment horizontal="right" vertical="center"/>
    </xf>
    <xf numFmtId="4" fontId="9" fillId="17" borderId="4" applyNumberFormat="0" applyProtection="0">
      <alignment horizontal="left" vertical="center" indent="1"/>
    </xf>
    <xf numFmtId="4" fontId="9" fillId="0" borderId="4" applyNumberFormat="0" applyProtection="0">
      <alignment horizontal="left" vertical="center" indent="1"/>
    </xf>
    <xf numFmtId="0" fontId="9" fillId="4" borderId="4" applyNumberFormat="0" applyProtection="0">
      <alignment horizontal="center" vertical="top"/>
    </xf>
    <xf numFmtId="0" fontId="9" fillId="4" borderId="4" applyNumberFormat="0" applyProtection="0">
      <alignment horizontal="left" vertical="top"/>
    </xf>
    <xf numFmtId="4" fontId="15" fillId="0" borderId="0" applyNumberFormat="0" applyProtection="0">
      <alignment horizontal="left" vertical="center"/>
    </xf>
    <xf numFmtId="4" fontId="6" fillId="24" borderId="0" applyNumberFormat="0" applyProtection="0">
      <alignment horizontal="left"/>
    </xf>
    <xf numFmtId="4" fontId="3" fillId="15" borderId="4" applyNumberFormat="0" applyProtection="0">
      <alignment horizontal="right" vertical="center"/>
    </xf>
    <xf numFmtId="0" fontId="2" fillId="0" borderId="0"/>
    <xf numFmtId="0" fontId="2" fillId="0" borderId="0"/>
    <xf numFmtId="9" fontId="5" fillId="0" borderId="0" applyFont="0" applyFill="0" applyBorder="0" applyAlignment="0" applyProtection="0"/>
  </cellStyleXfs>
  <cellXfs count="309">
    <xf numFmtId="0" fontId="0" fillId="0" borderId="0" xfId="0"/>
    <xf numFmtId="0" fontId="2" fillId="0" borderId="0" xfId="54"/>
    <xf numFmtId="0" fontId="2" fillId="0" borderId="0" xfId="54" applyAlignment="1">
      <alignment wrapText="1"/>
    </xf>
    <xf numFmtId="0" fontId="17" fillId="0" borderId="0" xfId="54" applyFont="1"/>
    <xf numFmtId="0" fontId="17" fillId="0" borderId="0" xfId="54" applyFont="1" applyAlignment="1">
      <alignment horizontal="center"/>
    </xf>
    <xf numFmtId="0" fontId="18" fillId="0" borderId="0" xfId="54" applyFont="1" applyAlignment="1">
      <alignment horizontal="center"/>
    </xf>
    <xf numFmtId="0" fontId="18" fillId="0" borderId="0" xfId="54" applyFont="1" applyAlignment="1">
      <alignment horizontal="right"/>
    </xf>
    <xf numFmtId="166" fontId="19" fillId="0" borderId="0" xfId="54" applyNumberFormat="1" applyFont="1" applyAlignment="1">
      <alignment horizontal="right"/>
    </xf>
    <xf numFmtId="0" fontId="20" fillId="0" borderId="0" xfId="54" applyFont="1"/>
    <xf numFmtId="0" fontId="21" fillId="0" borderId="0" xfId="54" applyFont="1"/>
    <xf numFmtId="0" fontId="21" fillId="0" borderId="0" xfId="54" applyFont="1" applyAlignment="1">
      <alignment horizontal="left"/>
    </xf>
    <xf numFmtId="0" fontId="21" fillId="0" borderId="0" xfId="54" applyFont="1" applyAlignment="1">
      <alignment horizontal="center"/>
    </xf>
    <xf numFmtId="0" fontId="22" fillId="0" borderId="0" xfId="54" applyFont="1"/>
    <xf numFmtId="0" fontId="1" fillId="0" borderId="0" xfId="54" applyFont="1"/>
    <xf numFmtId="166" fontId="23" fillId="0" borderId="0" xfId="54" applyNumberFormat="1" applyFont="1" applyAlignment="1">
      <alignment horizontal="center"/>
    </xf>
    <xf numFmtId="0" fontId="23" fillId="0" borderId="0" xfId="54" applyFont="1" applyAlignment="1">
      <alignment horizontal="center"/>
    </xf>
    <xf numFmtId="166" fontId="21" fillId="0" borderId="0" xfId="54" applyNumberFormat="1" applyFont="1" applyFill="1"/>
    <xf numFmtId="166" fontId="21" fillId="0" borderId="0" xfId="54" applyNumberFormat="1" applyFont="1"/>
    <xf numFmtId="0" fontId="1" fillId="0" borderId="0" xfId="54" applyFont="1" applyAlignment="1">
      <alignment horizontal="center"/>
    </xf>
    <xf numFmtId="0" fontId="21" fillId="0" borderId="0" xfId="54" applyFont="1" applyFill="1" applyAlignment="1">
      <alignment horizontal="left"/>
    </xf>
    <xf numFmtId="0" fontId="21" fillId="0" borderId="0" xfId="54" applyFont="1" applyFill="1"/>
    <xf numFmtId="0" fontId="21" fillId="0" borderId="0" xfId="54" applyFont="1" applyFill="1" applyAlignment="1">
      <alignment horizontal="center"/>
    </xf>
    <xf numFmtId="166" fontId="21" fillId="0" borderId="0" xfId="54" applyNumberFormat="1" applyFont="1" applyFill="1" applyAlignment="1">
      <alignment horizontal="center"/>
    </xf>
    <xf numFmtId="0" fontId="21" fillId="0" borderId="0" xfId="54" applyFont="1" applyAlignment="1">
      <alignment horizontal="right"/>
    </xf>
    <xf numFmtId="0" fontId="21" fillId="0" borderId="1" xfId="54" applyFont="1" applyBorder="1" applyAlignment="1">
      <alignment horizontal="center"/>
    </xf>
    <xf numFmtId="0" fontId="21" fillId="27" borderId="1" xfId="54" applyFont="1" applyFill="1" applyBorder="1" applyAlignment="1">
      <alignment horizontal="center"/>
    </xf>
    <xf numFmtId="0" fontId="21" fillId="0" borderId="0" xfId="54" applyFont="1" applyFill="1" applyAlignment="1">
      <alignment horizontal="right"/>
    </xf>
    <xf numFmtId="2" fontId="21" fillId="0" borderId="2" xfId="54" applyNumberFormat="1" applyFont="1" applyFill="1" applyBorder="1"/>
    <xf numFmtId="166" fontId="21" fillId="0" borderId="1" xfId="54" applyNumberFormat="1" applyFont="1" applyFill="1" applyBorder="1"/>
    <xf numFmtId="166" fontId="21" fillId="0" borderId="1" xfId="54" quotePrefix="1" applyNumberFormat="1" applyFont="1" applyFill="1" applyBorder="1" applyAlignment="1">
      <alignment horizontal="center"/>
    </xf>
    <xf numFmtId="166" fontId="21" fillId="27" borderId="1" xfId="54" applyNumberFormat="1" applyFont="1" applyFill="1" applyBorder="1"/>
    <xf numFmtId="166" fontId="21" fillId="27" borderId="1" xfId="54" quotePrefix="1" applyNumberFormat="1" applyFont="1" applyFill="1" applyBorder="1" applyAlignment="1">
      <alignment horizontal="center"/>
    </xf>
    <xf numFmtId="0" fontId="21" fillId="0" borderId="2" xfId="54" applyNumberFormat="1" applyFont="1" applyFill="1" applyBorder="1"/>
    <xf numFmtId="0" fontId="21" fillId="0" borderId="0" xfId="54" applyNumberFormat="1" applyFont="1" applyFill="1" applyBorder="1"/>
    <xf numFmtId="166" fontId="21" fillId="0" borderId="0" xfId="54" quotePrefix="1" applyNumberFormat="1" applyFont="1" applyBorder="1" applyAlignment="1">
      <alignment horizontal="center"/>
    </xf>
    <xf numFmtId="166" fontId="21" fillId="0" borderId="0" xfId="54" applyNumberFormat="1" applyFont="1" applyFill="1" applyBorder="1"/>
    <xf numFmtId="0" fontId="22" fillId="0" borderId="0" xfId="54" applyFont="1" applyAlignment="1">
      <alignment horizontal="left"/>
    </xf>
    <xf numFmtId="0" fontId="21" fillId="0" borderId="0" xfId="54" applyNumberFormat="1" applyFont="1" applyBorder="1"/>
    <xf numFmtId="166" fontId="21" fillId="0" borderId="0" xfId="54" applyNumberFormat="1" applyFont="1" applyBorder="1"/>
    <xf numFmtId="0" fontId="21" fillId="0" borderId="0" xfId="54" applyFont="1" applyAlignment="1">
      <alignment vertical="top"/>
    </xf>
    <xf numFmtId="0" fontId="1" fillId="0" borderId="0" xfId="54" applyFont="1" applyAlignment="1">
      <alignment vertical="top" wrapText="1"/>
    </xf>
    <xf numFmtId="0" fontId="21" fillId="0" borderId="0" xfId="54" applyFont="1" applyFill="1" applyAlignment="1"/>
    <xf numFmtId="0" fontId="21" fillId="0" borderId="0" xfId="54" applyFont="1" applyAlignment="1">
      <alignment vertical="top" wrapText="1"/>
    </xf>
    <xf numFmtId="0" fontId="1" fillId="0" borderId="0" xfId="54" applyFont="1" applyAlignment="1">
      <alignment horizontal="justify" vertical="top" wrapText="1"/>
    </xf>
    <xf numFmtId="0" fontId="21" fillId="0" borderId="0" xfId="54" applyFont="1" applyAlignment="1">
      <alignment horizontal="justify" vertical="top" wrapText="1"/>
    </xf>
    <xf numFmtId="0" fontId="21" fillId="0" borderId="0" xfId="54" applyFont="1" applyAlignment="1">
      <alignment wrapText="1"/>
    </xf>
    <xf numFmtId="0" fontId="24" fillId="0" borderId="0" xfId="54" applyFont="1"/>
    <xf numFmtId="15" fontId="21" fillId="0" borderId="0" xfId="54" applyNumberFormat="1" applyFont="1" applyAlignment="1"/>
    <xf numFmtId="49" fontId="21" fillId="0" borderId="0" xfId="54" applyNumberFormat="1" applyFont="1" applyFill="1"/>
    <xf numFmtId="8" fontId="21" fillId="0" borderId="0" xfId="54" applyNumberFormat="1" applyFont="1" applyAlignment="1">
      <alignment horizontal="left"/>
    </xf>
    <xf numFmtId="0" fontId="17" fillId="0" borderId="0" xfId="54" applyFont="1" applyFill="1" applyAlignment="1"/>
    <xf numFmtId="0" fontId="17" fillId="0" borderId="0" xfId="54" applyFont="1" applyAlignment="1"/>
    <xf numFmtId="0" fontId="22" fillId="0" borderId="0" xfId="54" applyFont="1" applyAlignment="1">
      <alignment horizontal="center"/>
    </xf>
    <xf numFmtId="166" fontId="21" fillId="0" borderId="0" xfId="54" applyNumberFormat="1" applyFont="1" applyAlignment="1">
      <alignment horizontal="right"/>
    </xf>
    <xf numFmtId="166" fontId="21" fillId="0" borderId="0" xfId="54" applyNumberFormat="1" applyFont="1" applyFill="1" applyAlignment="1">
      <alignment horizontal="right"/>
    </xf>
    <xf numFmtId="168" fontId="21" fillId="0" borderId="0" xfId="54" applyNumberFormat="1" applyFont="1"/>
    <xf numFmtId="2" fontId="21" fillId="0" borderId="1" xfId="54" applyNumberFormat="1" applyFont="1" applyFill="1" applyBorder="1"/>
    <xf numFmtId="0" fontId="21" fillId="0" borderId="0" xfId="54" applyFont="1" applyBorder="1"/>
    <xf numFmtId="0" fontId="0" fillId="0" borderId="0" xfId="0" applyAlignment="1">
      <alignment vertical="top"/>
    </xf>
    <xf numFmtId="0" fontId="0" fillId="0" borderId="0" xfId="0" applyAlignment="1">
      <alignment vertical="top" wrapText="1"/>
    </xf>
    <xf numFmtId="0" fontId="27" fillId="0" borderId="0" xfId="0" applyFont="1" applyFill="1" applyBorder="1" applyAlignment="1">
      <alignment vertical="top" wrapText="1"/>
    </xf>
    <xf numFmtId="8" fontId="27" fillId="0" borderId="0" xfId="0" applyNumberFormat="1" applyFont="1" applyBorder="1" applyAlignment="1">
      <alignment horizontal="right" vertical="top" wrapText="1"/>
    </xf>
    <xf numFmtId="0" fontId="27" fillId="0" borderId="0" xfId="0" applyFont="1" applyBorder="1" applyAlignment="1">
      <alignment vertical="top" wrapText="1"/>
    </xf>
    <xf numFmtId="8" fontId="27" fillId="0" borderId="0" xfId="0" applyNumberFormat="1" applyFont="1" applyFill="1" applyBorder="1" applyAlignment="1">
      <alignment horizontal="right" vertical="top" wrapText="1"/>
    </xf>
    <xf numFmtId="0" fontId="28" fillId="0" borderId="0" xfId="0" applyFont="1" applyBorder="1" applyAlignment="1">
      <alignment horizontal="left" vertical="top" indent="1"/>
    </xf>
    <xf numFmtId="0" fontId="27" fillId="25" borderId="10" xfId="0" applyFont="1" applyFill="1" applyBorder="1" applyAlignment="1">
      <alignment horizontal="right" vertical="top" wrapText="1"/>
    </xf>
    <xf numFmtId="8" fontId="27" fillId="0" borderId="11" xfId="0" applyNumberFormat="1" applyFont="1" applyBorder="1" applyAlignment="1">
      <alignment horizontal="right" vertical="top" wrapText="1"/>
    </xf>
    <xf numFmtId="8" fontId="27" fillId="0" borderId="10" xfId="0" applyNumberFormat="1" applyFont="1" applyBorder="1" applyAlignment="1">
      <alignment horizontal="right" vertical="top" wrapText="1"/>
    </xf>
    <xf numFmtId="8" fontId="27" fillId="0" borderId="12" xfId="0" applyNumberFormat="1" applyFont="1" applyBorder="1" applyAlignment="1">
      <alignment horizontal="right" vertical="top" wrapText="1"/>
    </xf>
    <xf numFmtId="8" fontId="27" fillId="0" borderId="10" xfId="0" applyNumberFormat="1" applyFont="1" applyFill="1" applyBorder="1" applyAlignment="1">
      <alignment horizontal="right" vertical="top" wrapText="1"/>
    </xf>
    <xf numFmtId="0" fontId="28" fillId="0" borderId="10" xfId="0" applyFont="1" applyBorder="1" applyAlignment="1">
      <alignment horizontal="left" vertical="top" indent="1"/>
    </xf>
    <xf numFmtId="0" fontId="27" fillId="25" borderId="3" xfId="0" applyFont="1" applyFill="1" applyBorder="1" applyAlignment="1">
      <alignment horizontal="right" vertical="top" wrapText="1"/>
    </xf>
    <xf numFmtId="8" fontId="27" fillId="0" borderId="13" xfId="0" applyNumberFormat="1" applyFont="1" applyBorder="1" applyAlignment="1">
      <alignment horizontal="right" vertical="top" wrapText="1"/>
    </xf>
    <xf numFmtId="8" fontId="27" fillId="0" borderId="3" xfId="0" applyNumberFormat="1" applyFont="1" applyBorder="1" applyAlignment="1">
      <alignment horizontal="right" vertical="top" wrapText="1"/>
    </xf>
    <xf numFmtId="8" fontId="27" fillId="0" borderId="14" xfId="0" applyNumberFormat="1" applyFont="1" applyBorder="1" applyAlignment="1">
      <alignment horizontal="right" vertical="top" wrapText="1"/>
    </xf>
    <xf numFmtId="8" fontId="27" fillId="0" borderId="3" xfId="0" applyNumberFormat="1" applyFont="1" applyFill="1" applyBorder="1" applyAlignment="1">
      <alignment horizontal="right" vertical="top" wrapText="1"/>
    </xf>
    <xf numFmtId="0" fontId="28" fillId="0" borderId="3" xfId="0" applyFont="1" applyBorder="1" applyAlignment="1">
      <alignment horizontal="left" vertical="top" indent="1"/>
    </xf>
    <xf numFmtId="0" fontId="27" fillId="0" borderId="15" xfId="0" applyFont="1" applyBorder="1" applyAlignment="1">
      <alignment vertical="top" wrapText="1"/>
    </xf>
    <xf numFmtId="0" fontId="27" fillId="0" borderId="16" xfId="0" applyFont="1" applyBorder="1" applyAlignment="1">
      <alignment horizontal="right" vertical="top" wrapText="1"/>
    </xf>
    <xf numFmtId="0" fontId="27" fillId="0" borderId="15" xfId="0" applyFont="1" applyBorder="1" applyAlignment="1">
      <alignment horizontal="right" vertical="top" wrapText="1"/>
    </xf>
    <xf numFmtId="0" fontId="27" fillId="0" borderId="17" xfId="0" applyFont="1" applyBorder="1" applyAlignment="1">
      <alignment horizontal="right" vertical="top" wrapText="1"/>
    </xf>
    <xf numFmtId="0" fontId="27" fillId="0" borderId="15" xfId="0" applyFont="1" applyFill="1" applyBorder="1" applyAlignment="1">
      <alignment vertical="top" wrapText="1"/>
    </xf>
    <xf numFmtId="0" fontId="29" fillId="0" borderId="15" xfId="0" applyFont="1" applyBorder="1" applyAlignment="1">
      <alignment vertical="top" wrapText="1"/>
    </xf>
    <xf numFmtId="0" fontId="27" fillId="0" borderId="3" xfId="0" applyFont="1" applyBorder="1" applyAlignment="1">
      <alignment horizontal="right" vertical="top" wrapText="1"/>
    </xf>
    <xf numFmtId="0" fontId="27" fillId="0" borderId="13" xfId="0" applyFont="1" applyBorder="1" applyAlignment="1">
      <alignment horizontal="right" vertical="top" wrapText="1"/>
    </xf>
    <xf numFmtId="0" fontId="27" fillId="0" borderId="14" xfId="0" applyFont="1" applyBorder="1" applyAlignment="1">
      <alignment horizontal="right" vertical="top" wrapText="1"/>
    </xf>
    <xf numFmtId="0" fontId="27" fillId="0" borderId="3" xfId="0" applyFont="1" applyFill="1" applyBorder="1" applyAlignment="1">
      <alignment horizontal="right" vertical="top" wrapText="1"/>
    </xf>
    <xf numFmtId="0" fontId="28" fillId="0" borderId="3" xfId="0" applyFont="1" applyBorder="1" applyAlignment="1">
      <alignment horizontal="left" vertical="top"/>
    </xf>
    <xf numFmtId="0" fontId="29" fillId="0" borderId="15" xfId="0" applyFont="1" applyFill="1" applyBorder="1" applyAlignment="1">
      <alignment vertical="top"/>
    </xf>
    <xf numFmtId="8" fontId="27" fillId="0" borderId="15" xfId="0" applyNumberFormat="1" applyFont="1" applyBorder="1" applyAlignment="1">
      <alignment horizontal="right" vertical="top" wrapText="1"/>
    </xf>
    <xf numFmtId="0" fontId="27" fillId="25" borderId="1" xfId="0" applyFont="1" applyFill="1" applyBorder="1" applyAlignment="1">
      <alignment horizontal="right" vertical="top" wrapText="1"/>
    </xf>
    <xf numFmtId="8" fontId="27" fillId="0" borderId="1" xfId="0" applyNumberFormat="1" applyFont="1" applyBorder="1" applyAlignment="1">
      <alignment horizontal="right" vertical="top" wrapText="1"/>
    </xf>
    <xf numFmtId="0" fontId="28" fillId="0" borderId="15" xfId="0" applyFont="1" applyBorder="1" applyAlignment="1">
      <alignment vertical="top"/>
    </xf>
    <xf numFmtId="8" fontId="27" fillId="0" borderId="15" xfId="0" applyNumberFormat="1" applyFont="1" applyBorder="1" applyAlignment="1">
      <alignment vertical="top" wrapText="1"/>
    </xf>
    <xf numFmtId="8" fontId="27" fillId="0" borderId="16" xfId="0" applyNumberFormat="1" applyFont="1" applyBorder="1" applyAlignment="1">
      <alignment vertical="top" wrapText="1"/>
    </xf>
    <xf numFmtId="8" fontId="27" fillId="0" borderId="17" xfId="0" applyNumberFormat="1" applyFont="1" applyBorder="1" applyAlignment="1">
      <alignment vertical="top" wrapText="1"/>
    </xf>
    <xf numFmtId="0" fontId="29" fillId="0" borderId="15" xfId="0" applyFont="1" applyBorder="1" applyAlignment="1">
      <alignment vertical="top"/>
    </xf>
    <xf numFmtId="8" fontId="27" fillId="0" borderId="1" xfId="0" applyNumberFormat="1" applyFont="1" applyBorder="1" applyAlignment="1">
      <alignment vertical="top" wrapText="1"/>
    </xf>
    <xf numFmtId="8" fontId="27" fillId="0" borderId="2" xfId="0" applyNumberFormat="1" applyFont="1" applyBorder="1" applyAlignment="1">
      <alignment vertical="top" wrapText="1"/>
    </xf>
    <xf numFmtId="8" fontId="27" fillId="0" borderId="9" xfId="0" applyNumberFormat="1" applyFont="1" applyBorder="1" applyAlignment="1">
      <alignment vertical="top" wrapText="1"/>
    </xf>
    <xf numFmtId="0" fontId="29" fillId="0" borderId="1" xfId="0" applyFont="1" applyBorder="1" applyAlignment="1">
      <alignment vertical="top"/>
    </xf>
    <xf numFmtId="8" fontId="27" fillId="0" borderId="11" xfId="0" applyNumberFormat="1" applyFont="1" applyBorder="1" applyAlignment="1">
      <alignment vertical="top" wrapText="1"/>
    </xf>
    <xf numFmtId="8" fontId="27" fillId="0" borderId="10" xfId="0" applyNumberFormat="1" applyFont="1" applyBorder="1" applyAlignment="1">
      <alignment vertical="top" wrapText="1"/>
    </xf>
    <xf numFmtId="8" fontId="27" fillId="0" borderId="12" xfId="0" applyNumberFormat="1" applyFont="1" applyBorder="1" applyAlignment="1">
      <alignment vertical="top" wrapText="1"/>
    </xf>
    <xf numFmtId="0" fontId="28" fillId="0" borderId="11" xfId="0" applyFont="1" applyBorder="1" applyAlignment="1">
      <alignment horizontal="left" vertical="top" indent="1"/>
    </xf>
    <xf numFmtId="0" fontId="27" fillId="0" borderId="3" xfId="0" applyFont="1" applyFill="1" applyBorder="1" applyAlignment="1">
      <alignment vertical="top" wrapText="1"/>
    </xf>
    <xf numFmtId="0" fontId="27" fillId="0" borderId="13" xfId="0" applyFont="1" applyBorder="1" applyAlignment="1">
      <alignment vertical="top" wrapText="1"/>
    </xf>
    <xf numFmtId="0" fontId="27" fillId="0" borderId="3" xfId="0" applyFont="1" applyBorder="1" applyAlignment="1">
      <alignment vertical="top" wrapText="1"/>
    </xf>
    <xf numFmtId="0" fontId="27" fillId="0" borderId="14" xfId="0" applyFont="1" applyBorder="1" applyAlignment="1">
      <alignment vertical="top" wrapText="1"/>
    </xf>
    <xf numFmtId="0" fontId="28" fillId="0" borderId="13" xfId="0" applyFont="1" applyBorder="1" applyAlignment="1">
      <alignment vertical="top"/>
    </xf>
    <xf numFmtId="8" fontId="27" fillId="0" borderId="13" xfId="0" applyNumberFormat="1" applyFont="1" applyBorder="1" applyAlignment="1">
      <alignment vertical="top" wrapText="1"/>
    </xf>
    <xf numFmtId="8" fontId="27" fillId="0" borderId="3" xfId="0" applyNumberFormat="1" applyFont="1" applyBorder="1" applyAlignment="1">
      <alignment vertical="top" wrapText="1"/>
    </xf>
    <xf numFmtId="8" fontId="27" fillId="0" borderId="14" xfId="0" applyNumberFormat="1" applyFont="1" applyBorder="1" applyAlignment="1">
      <alignment vertical="top" wrapText="1"/>
    </xf>
    <xf numFmtId="0" fontId="28" fillId="0" borderId="13" xfId="0" applyFont="1" applyBorder="1" applyAlignment="1">
      <alignment horizontal="left" vertical="top" indent="1"/>
    </xf>
    <xf numFmtId="0" fontId="29" fillId="0" borderId="16" xfId="0" applyFont="1" applyBorder="1" applyAlignment="1">
      <alignment vertical="top"/>
    </xf>
    <xf numFmtId="0" fontId="27" fillId="0" borderId="1" xfId="0" applyFont="1" applyBorder="1" applyAlignment="1">
      <alignment horizontal="right" vertical="top" wrapText="1"/>
    </xf>
    <xf numFmtId="0" fontId="27" fillId="0" borderId="2" xfId="0" applyFont="1" applyBorder="1" applyAlignment="1">
      <alignment horizontal="right" vertical="top" wrapText="1"/>
    </xf>
    <xf numFmtId="0" fontId="27" fillId="0" borderId="9" xfId="0" applyFont="1" applyBorder="1" applyAlignment="1">
      <alignment horizontal="right" vertical="top" wrapText="1"/>
    </xf>
    <xf numFmtId="8" fontId="27" fillId="0" borderId="2" xfId="0" applyNumberFormat="1" applyFont="1" applyBorder="1" applyAlignment="1">
      <alignment horizontal="right" vertical="top" wrapText="1"/>
    </xf>
    <xf numFmtId="8" fontId="27" fillId="0" borderId="9" xfId="0" applyNumberFormat="1" applyFont="1" applyBorder="1" applyAlignment="1">
      <alignment horizontal="right" vertical="top" wrapText="1"/>
    </xf>
    <xf numFmtId="0" fontId="29" fillId="0" borderId="1" xfId="0" applyFont="1" applyFill="1" applyBorder="1" applyAlignment="1">
      <alignment vertical="top"/>
    </xf>
    <xf numFmtId="0" fontId="27" fillId="0" borderId="1" xfId="0" quotePrefix="1" applyFont="1" applyFill="1" applyBorder="1" applyAlignment="1">
      <alignment horizontal="right" vertical="top"/>
    </xf>
    <xf numFmtId="8" fontId="27" fillId="0" borderId="1" xfId="0" quotePrefix="1" applyNumberFormat="1" applyFont="1" applyFill="1" applyBorder="1" applyAlignment="1">
      <alignment horizontal="right" vertical="top"/>
    </xf>
    <xf numFmtId="0" fontId="29" fillId="0" borderId="1" xfId="0" applyFont="1" applyFill="1" applyBorder="1" applyAlignment="1">
      <alignment vertical="top" wrapText="1"/>
    </xf>
    <xf numFmtId="0" fontId="27" fillId="0" borderId="13" xfId="0" applyFont="1" applyFill="1" applyBorder="1" applyAlignment="1">
      <alignment horizontal="right" vertical="top" wrapText="1"/>
    </xf>
    <xf numFmtId="0" fontId="27" fillId="0" borderId="15" xfId="0" applyFont="1" applyFill="1" applyBorder="1" applyAlignment="1">
      <alignment horizontal="right" vertical="top" wrapText="1"/>
    </xf>
    <xf numFmtId="0" fontId="27" fillId="0" borderId="16" xfId="0" applyFont="1" applyFill="1" applyBorder="1" applyAlignment="1">
      <alignment horizontal="right" vertical="top" wrapText="1"/>
    </xf>
    <xf numFmtId="0" fontId="29" fillId="0" borderId="1" xfId="0" applyFont="1" applyBorder="1" applyAlignment="1">
      <alignment horizontal="center" wrapText="1"/>
    </xf>
    <xf numFmtId="0" fontId="29" fillId="0" borderId="9" xfId="0" applyFont="1" applyBorder="1" applyAlignment="1">
      <alignment horizontal="center" wrapText="1"/>
    </xf>
    <xf numFmtId="16" fontId="0" fillId="0" borderId="0" xfId="0" applyNumberFormat="1" applyAlignment="1">
      <alignment vertical="top"/>
    </xf>
    <xf numFmtId="0" fontId="16" fillId="0" borderId="0" xfId="0" applyFont="1" applyAlignment="1">
      <alignment vertical="top"/>
    </xf>
    <xf numFmtId="44" fontId="0" fillId="0" borderId="0" xfId="2" applyFont="1"/>
    <xf numFmtId="0" fontId="0" fillId="0" borderId="0" xfId="0" applyFont="1"/>
    <xf numFmtId="0" fontId="0" fillId="0" borderId="0" xfId="0" applyFont="1" applyAlignment="1">
      <alignment horizontal="left" wrapText="1"/>
    </xf>
    <xf numFmtId="7" fontId="16" fillId="0" borderId="0" xfId="0" applyNumberFormat="1" applyFont="1"/>
    <xf numFmtId="0" fontId="16" fillId="0" borderId="0" xfId="0" applyFont="1" applyAlignment="1">
      <alignment horizontal="right"/>
    </xf>
    <xf numFmtId="37" fontId="0" fillId="0" borderId="0" xfId="0" applyNumberFormat="1" applyFont="1"/>
    <xf numFmtId="0" fontId="0" fillId="0" borderId="0" xfId="0" applyFont="1" applyAlignment="1">
      <alignment horizontal="right"/>
    </xf>
    <xf numFmtId="5" fontId="0" fillId="0" borderId="0" xfId="0" applyNumberFormat="1" applyFont="1"/>
    <xf numFmtId="37" fontId="0" fillId="0" borderId="18" xfId="0" applyNumberFormat="1" applyFont="1" applyBorder="1"/>
    <xf numFmtId="0" fontId="0" fillId="0" borderId="0" xfId="0" applyAlignment="1">
      <alignment horizontal="center" wrapText="1"/>
    </xf>
    <xf numFmtId="0" fontId="0" fillId="0" borderId="8" xfId="0" applyFont="1" applyBorder="1" applyAlignment="1">
      <alignment horizontal="center" wrapText="1"/>
    </xf>
    <xf numFmtId="0" fontId="0" fillId="0" borderId="18" xfId="0" applyFont="1" applyBorder="1" applyAlignment="1">
      <alignment horizontal="center" wrapText="1"/>
    </xf>
    <xf numFmtId="0" fontId="0" fillId="0" borderId="0" xfId="0" applyFont="1" applyAlignment="1">
      <alignment horizontal="center" wrapText="1"/>
    </xf>
    <xf numFmtId="0" fontId="16" fillId="0" borderId="0" xfId="0" applyFont="1" applyAlignment="1">
      <alignment horizontal="center"/>
    </xf>
    <xf numFmtId="0" fontId="16" fillId="0" borderId="0" xfId="0" applyFont="1" applyAlignment="1"/>
    <xf numFmtId="8" fontId="30" fillId="0" borderId="3" xfId="0" applyNumberFormat="1" applyFont="1" applyFill="1" applyBorder="1" applyAlignment="1">
      <alignment vertical="top" wrapText="1"/>
    </xf>
    <xf numFmtId="8" fontId="30" fillId="0" borderId="3" xfId="0" applyNumberFormat="1" applyFont="1" applyBorder="1" applyAlignment="1">
      <alignment vertical="top" wrapText="1"/>
    </xf>
    <xf numFmtId="8" fontId="30" fillId="0" borderId="10" xfId="0" applyNumberFormat="1" applyFont="1" applyFill="1" applyBorder="1" applyAlignment="1">
      <alignment vertical="top" wrapText="1"/>
    </xf>
    <xf numFmtId="8" fontId="30" fillId="0" borderId="1" xfId="0" applyNumberFormat="1" applyFont="1" applyBorder="1" applyAlignment="1">
      <alignment vertical="top" wrapText="1"/>
    </xf>
    <xf numFmtId="8" fontId="30" fillId="0" borderId="13" xfId="0" applyNumberFormat="1" applyFont="1" applyBorder="1" applyAlignment="1">
      <alignment vertical="top" wrapText="1"/>
    </xf>
    <xf numFmtId="0" fontId="0" fillId="0" borderId="0" xfId="0" applyAlignment="1">
      <alignment wrapText="1"/>
    </xf>
    <xf numFmtId="0" fontId="33" fillId="0" borderId="0" xfId="54" applyFont="1" applyFill="1" applyAlignment="1" applyProtection="1">
      <alignment horizontal="center"/>
      <protection locked="0"/>
    </xf>
    <xf numFmtId="0" fontId="33" fillId="0" borderId="0" xfId="54" applyFont="1" applyFill="1" applyAlignment="1" applyProtection="1">
      <protection locked="0"/>
    </xf>
    <xf numFmtId="0" fontId="33" fillId="0" borderId="18" xfId="54" applyFont="1" applyFill="1" applyBorder="1" applyAlignment="1">
      <alignment horizontal="center" wrapText="1"/>
    </xf>
    <xf numFmtId="0" fontId="34" fillId="0" borderId="0" xfId="54" applyFont="1" applyFill="1" applyAlignment="1">
      <alignment horizontal="center"/>
    </xf>
    <xf numFmtId="0" fontId="34" fillId="0" borderId="0" xfId="54" applyFont="1" applyFill="1" applyAlignment="1" applyProtection="1">
      <alignment horizontal="center"/>
      <protection locked="0"/>
    </xf>
    <xf numFmtId="0" fontId="33" fillId="0" borderId="18" xfId="54" applyFont="1" applyFill="1" applyBorder="1" applyAlignment="1" applyProtection="1">
      <alignment horizontal="center" wrapText="1"/>
      <protection locked="0"/>
    </xf>
    <xf numFmtId="0" fontId="33" fillId="0" borderId="0" xfId="54" applyFont="1" applyAlignment="1"/>
    <xf numFmtId="0" fontId="34" fillId="0" borderId="0" xfId="54" applyFont="1"/>
    <xf numFmtId="0" fontId="33" fillId="0" borderId="0" xfId="54" applyFont="1" applyAlignment="1">
      <alignment horizontal="center" wrapText="1"/>
    </xf>
    <xf numFmtId="0" fontId="34" fillId="0" borderId="0" xfId="54" applyFont="1" applyAlignment="1">
      <alignment wrapText="1"/>
    </xf>
    <xf numFmtId="3" fontId="34" fillId="0" borderId="0" xfId="54" applyNumberFormat="1" applyFont="1"/>
    <xf numFmtId="0" fontId="35" fillId="0" borderId="0" xfId="0" applyFont="1"/>
    <xf numFmtId="0" fontId="36" fillId="0" borderId="0" xfId="0" applyFont="1"/>
    <xf numFmtId="167" fontId="35" fillId="0" borderId="0" xfId="0" applyNumberFormat="1" applyFont="1"/>
    <xf numFmtId="0" fontId="35" fillId="0" borderId="0" xfId="0" applyFont="1" applyAlignment="1">
      <alignment wrapText="1"/>
    </xf>
    <xf numFmtId="0" fontId="33" fillId="0" borderId="19" xfId="54" applyFont="1" applyFill="1" applyBorder="1" applyAlignment="1">
      <alignment horizontal="center"/>
    </xf>
    <xf numFmtId="164" fontId="35" fillId="0" borderId="14" xfId="1" applyNumberFormat="1" applyFont="1" applyBorder="1"/>
    <xf numFmtId="3" fontId="34" fillId="0" borderId="0" xfId="0" applyNumberFormat="1" applyFont="1" applyFill="1" applyBorder="1" applyAlignment="1">
      <alignment horizontal="right"/>
    </xf>
    <xf numFmtId="166" fontId="34" fillId="0" borderId="0" xfId="0" applyNumberFormat="1" applyFont="1" applyFill="1" applyBorder="1" applyAlignment="1">
      <alignment horizontal="right"/>
    </xf>
    <xf numFmtId="166" fontId="37" fillId="25" borderId="0" xfId="0" applyNumberFormat="1" applyFont="1" applyFill="1" applyBorder="1" applyAlignment="1">
      <alignment horizontal="right"/>
    </xf>
    <xf numFmtId="0" fontId="34" fillId="0" borderId="0" xfId="0" applyFont="1" applyFill="1" applyBorder="1" applyAlignment="1">
      <alignment horizontal="right"/>
    </xf>
    <xf numFmtId="0" fontId="35" fillId="0" borderId="0" xfId="0" applyFont="1" applyBorder="1"/>
    <xf numFmtId="164" fontId="35" fillId="0" borderId="0" xfId="1" applyNumberFormat="1" applyFont="1" applyBorder="1"/>
    <xf numFmtId="167" fontId="35" fillId="0" borderId="0" xfId="0" applyNumberFormat="1" applyFont="1" applyBorder="1"/>
    <xf numFmtId="167" fontId="35" fillId="0" borderId="0" xfId="2" applyNumberFormat="1" applyFont="1" applyBorder="1"/>
    <xf numFmtId="0" fontId="33" fillId="0" borderId="19" xfId="55" applyFont="1" applyBorder="1" applyAlignment="1">
      <alignment horizontal="center"/>
    </xf>
    <xf numFmtId="0" fontId="34" fillId="0" borderId="20" xfId="0" applyFont="1" applyFill="1" applyBorder="1"/>
    <xf numFmtId="0" fontId="34" fillId="0" borderId="14" xfId="0" applyFont="1" applyFill="1" applyBorder="1"/>
    <xf numFmtId="0" fontId="34" fillId="0" borderId="14" xfId="0" applyFont="1" applyBorder="1"/>
    <xf numFmtId="166" fontId="34" fillId="0" borderId="20" xfId="0" applyNumberFormat="1" applyFont="1" applyFill="1" applyBorder="1" applyAlignment="1">
      <alignment horizontal="right"/>
    </xf>
    <xf numFmtId="166" fontId="34" fillId="0" borderId="14" xfId="0" applyNumberFormat="1" applyFont="1" applyFill="1" applyBorder="1" applyAlignment="1">
      <alignment horizontal="right"/>
    </xf>
    <xf numFmtId="166" fontId="37" fillId="25" borderId="14" xfId="0" applyNumberFormat="1" applyFont="1" applyFill="1" applyBorder="1" applyAlignment="1">
      <alignment horizontal="right"/>
    </xf>
    <xf numFmtId="164" fontId="35" fillId="0" borderId="11" xfId="1" applyNumberFormat="1" applyFont="1" applyBorder="1"/>
    <xf numFmtId="164" fontId="35" fillId="0" borderId="18" xfId="1" applyNumberFormat="1" applyFont="1" applyBorder="1"/>
    <xf numFmtId="164" fontId="35" fillId="0" borderId="12" xfId="1" applyNumberFormat="1" applyFont="1" applyBorder="1"/>
    <xf numFmtId="3" fontId="34" fillId="0" borderId="0" xfId="54" applyNumberFormat="1" applyFont="1" applyBorder="1"/>
    <xf numFmtId="3" fontId="34" fillId="25" borderId="0" xfId="54" applyNumberFormat="1" applyFont="1" applyFill="1" applyBorder="1"/>
    <xf numFmtId="0" fontId="34" fillId="0" borderId="20" xfId="54" applyFont="1" applyBorder="1"/>
    <xf numFmtId="0" fontId="34" fillId="0" borderId="14" xfId="54" applyFont="1" applyBorder="1"/>
    <xf numFmtId="3" fontId="34" fillId="25" borderId="20" xfId="54" applyNumberFormat="1" applyFont="1" applyFill="1" applyBorder="1"/>
    <xf numFmtId="0" fontId="34" fillId="25" borderId="14" xfId="54" applyFont="1" applyFill="1" applyBorder="1"/>
    <xf numFmtId="3" fontId="34" fillId="0" borderId="14" xfId="54" applyNumberFormat="1" applyFont="1" applyBorder="1"/>
    <xf numFmtId="3" fontId="34" fillId="25" borderId="14" xfId="54" applyNumberFormat="1" applyFont="1" applyFill="1" applyBorder="1"/>
    <xf numFmtId="1" fontId="34" fillId="0" borderId="0" xfId="54" quotePrefix="1" applyNumberFormat="1" applyFont="1" applyFill="1" applyAlignment="1">
      <alignment horizontal="left"/>
    </xf>
    <xf numFmtId="0" fontId="34" fillId="0" borderId="12" xfId="0" applyFont="1" applyFill="1" applyBorder="1"/>
    <xf numFmtId="0" fontId="34" fillId="0" borderId="18" xfId="0" applyFont="1" applyFill="1" applyBorder="1" applyAlignment="1">
      <alignment horizontal="right"/>
    </xf>
    <xf numFmtId="166" fontId="34" fillId="0" borderId="18" xfId="0" applyNumberFormat="1" applyFont="1" applyFill="1" applyBorder="1" applyAlignment="1">
      <alignment horizontal="right"/>
    </xf>
    <xf numFmtId="0" fontId="34" fillId="0" borderId="0" xfId="54" applyFont="1" applyFill="1" applyAlignment="1"/>
    <xf numFmtId="0" fontId="34" fillId="0" borderId="0" xfId="54" applyFont="1" applyFill="1" applyAlignment="1">
      <alignment horizontal="left"/>
    </xf>
    <xf numFmtId="166" fontId="34" fillId="0" borderId="14" xfId="0" applyNumberFormat="1" applyFont="1" applyFill="1" applyBorder="1" applyAlignment="1">
      <alignment horizontal="center" wrapText="1"/>
    </xf>
    <xf numFmtId="166" fontId="34" fillId="0" borderId="12" xfId="0" applyNumberFormat="1" applyFont="1" applyFill="1" applyBorder="1" applyAlignment="1">
      <alignment horizontal="center" wrapText="1"/>
    </xf>
    <xf numFmtId="3" fontId="33" fillId="0" borderId="21" xfId="54" applyNumberFormat="1" applyFont="1" applyBorder="1" applyAlignment="1">
      <alignment horizontal="right"/>
    </xf>
    <xf numFmtId="3" fontId="33" fillId="0" borderId="3" xfId="54" applyNumberFormat="1" applyFont="1" applyBorder="1" applyAlignment="1">
      <alignment horizontal="right"/>
    </xf>
    <xf numFmtId="164" fontId="35" fillId="0" borderId="0" xfId="1" applyNumberFormat="1" applyFont="1" applyFill="1" applyBorder="1"/>
    <xf numFmtId="164" fontId="35" fillId="0" borderId="18" xfId="1" applyNumberFormat="1" applyFont="1" applyFill="1" applyBorder="1"/>
    <xf numFmtId="167" fontId="36" fillId="0" borderId="22" xfId="2" applyNumberFormat="1" applyFont="1" applyFill="1" applyBorder="1"/>
    <xf numFmtId="0" fontId="21" fillId="0" borderId="0" xfId="3" applyFont="1"/>
    <xf numFmtId="0" fontId="21" fillId="0" borderId="0" xfId="3" applyFont="1" applyBorder="1"/>
    <xf numFmtId="0" fontId="21" fillId="0" borderId="0" xfId="3" applyFont="1" applyAlignment="1">
      <alignment horizontal="center"/>
    </xf>
    <xf numFmtId="0" fontId="21" fillId="0" borderId="0" xfId="3" applyNumberFormat="1" applyFont="1" applyAlignment="1">
      <alignment horizontal="center"/>
    </xf>
    <xf numFmtId="0" fontId="21" fillId="0" borderId="0" xfId="3" applyFont="1" applyAlignment="1">
      <alignment wrapText="1"/>
    </xf>
    <xf numFmtId="0" fontId="22" fillId="0" borderId="18" xfId="3" applyFont="1" applyBorder="1" applyAlignment="1">
      <alignment horizontal="center" wrapText="1"/>
    </xf>
    <xf numFmtId="0" fontId="22" fillId="0" borderId="18" xfId="3" applyNumberFormat="1" applyFont="1" applyBorder="1" applyAlignment="1">
      <alignment horizontal="center" wrapText="1"/>
    </xf>
    <xf numFmtId="0" fontId="21" fillId="0" borderId="0" xfId="3" applyFont="1" applyBorder="1" applyAlignment="1">
      <alignment horizontal="right" wrapText="1"/>
    </xf>
    <xf numFmtId="0" fontId="22" fillId="0" borderId="0" xfId="3" applyFont="1" applyBorder="1" applyAlignment="1">
      <alignment horizontal="left"/>
    </xf>
    <xf numFmtId="0" fontId="21" fillId="0" borderId="0" xfId="3" applyFont="1" applyBorder="1" applyAlignment="1">
      <alignment horizontal="center"/>
    </xf>
    <xf numFmtId="164" fontId="21" fillId="0" borderId="0" xfId="4" applyNumberFormat="1" applyFont="1" applyBorder="1" applyAlignment="1">
      <alignment horizontal="center"/>
    </xf>
    <xf numFmtId="0" fontId="21" fillId="0" borderId="0" xfId="3" applyFont="1" applyFill="1" applyAlignment="1">
      <alignment horizontal="left"/>
    </xf>
    <xf numFmtId="0" fontId="21" fillId="0" borderId="0" xfId="3" applyFont="1" applyFill="1" applyBorder="1" applyAlignment="1">
      <alignment horizontal="center"/>
    </xf>
    <xf numFmtId="41" fontId="21" fillId="0" borderId="0" xfId="4" applyNumberFormat="1" applyFont="1" applyFill="1" applyBorder="1" applyAlignment="1">
      <alignment horizontal="center"/>
    </xf>
    <xf numFmtId="9" fontId="21" fillId="0" borderId="0" xfId="5" applyNumberFormat="1" applyFont="1" applyFill="1" applyAlignment="1">
      <alignment horizontal="center"/>
    </xf>
    <xf numFmtId="41" fontId="21" fillId="0" borderId="0" xfId="4" applyNumberFormat="1" applyFont="1" applyFill="1" applyAlignment="1">
      <alignment horizontal="right"/>
    </xf>
    <xf numFmtId="0" fontId="21" fillId="0" borderId="0" xfId="3" applyNumberFormat="1" applyFont="1" applyFill="1" applyAlignment="1">
      <alignment horizontal="center"/>
    </xf>
    <xf numFmtId="0" fontId="21" fillId="0" borderId="0" xfId="3" applyFont="1" applyFill="1"/>
    <xf numFmtId="164" fontId="21" fillId="0" borderId="0" xfId="4" applyNumberFormat="1" applyFont="1" applyFill="1" applyBorder="1"/>
    <xf numFmtId="164" fontId="21" fillId="0" borderId="0" xfId="4" applyNumberFormat="1" applyFont="1" applyBorder="1"/>
    <xf numFmtId="164" fontId="38" fillId="0" borderId="0" xfId="4" applyNumberFormat="1" applyFont="1" applyBorder="1"/>
    <xf numFmtId="0" fontId="21" fillId="0" borderId="0" xfId="3" applyFont="1" applyFill="1" applyBorder="1" applyAlignment="1">
      <alignment horizontal="left"/>
    </xf>
    <xf numFmtId="9" fontId="21" fillId="0" borderId="0" xfId="5" applyNumberFormat="1" applyFont="1" applyFill="1" applyBorder="1" applyAlignment="1">
      <alignment horizontal="center"/>
    </xf>
    <xf numFmtId="41" fontId="21" fillId="0" borderId="0" xfId="4" applyNumberFormat="1" applyFont="1" applyFill="1" applyBorder="1" applyAlignment="1">
      <alignment horizontal="right"/>
    </xf>
    <xf numFmtId="41" fontId="21" fillId="0" borderId="0" xfId="3" applyNumberFormat="1" applyFont="1" applyBorder="1"/>
    <xf numFmtId="0" fontId="21" fillId="0" borderId="0" xfId="3" applyNumberFormat="1" applyFont="1" applyFill="1" applyBorder="1" applyAlignment="1">
      <alignment horizontal="center"/>
    </xf>
    <xf numFmtId="164" fontId="21" fillId="0" borderId="0" xfId="3" applyNumberFormat="1" applyFont="1" applyFill="1" applyBorder="1" applyAlignment="1">
      <alignment horizontal="right"/>
    </xf>
    <xf numFmtId="164" fontId="21" fillId="0" borderId="0" xfId="3" applyNumberFormat="1" applyFont="1" applyBorder="1" applyAlignment="1">
      <alignment horizontal="right"/>
    </xf>
    <xf numFmtId="164" fontId="38" fillId="0" borderId="0" xfId="4" applyNumberFormat="1" applyFont="1" applyBorder="1" applyAlignment="1">
      <alignment horizontal="right"/>
    </xf>
    <xf numFmtId="164" fontId="21" fillId="0" borderId="0" xfId="3" applyNumberFormat="1" applyFont="1" applyBorder="1"/>
    <xf numFmtId="164" fontId="21" fillId="0" borderId="0" xfId="3" applyNumberFormat="1" applyFont="1" applyFill="1" applyBorder="1"/>
    <xf numFmtId="164" fontId="21" fillId="0" borderId="0" xfId="3" applyNumberFormat="1" applyFont="1" applyFill="1"/>
    <xf numFmtId="164" fontId="21" fillId="0" borderId="0" xfId="3" applyNumberFormat="1" applyFont="1"/>
    <xf numFmtId="164" fontId="38" fillId="0" borderId="0" xfId="4" applyNumberFormat="1" applyFont="1"/>
    <xf numFmtId="164" fontId="39" fillId="0" borderId="0" xfId="3" applyNumberFormat="1" applyFont="1" applyBorder="1"/>
    <xf numFmtId="0" fontId="22" fillId="0" borderId="0" xfId="3" applyFont="1" applyFill="1" applyBorder="1" applyAlignment="1">
      <alignment horizontal="left"/>
    </xf>
    <xf numFmtId="164" fontId="21" fillId="0" borderId="0" xfId="3" applyNumberFormat="1" applyFont="1" applyFill="1" applyAlignment="1">
      <alignment horizontal="right"/>
    </xf>
    <xf numFmtId="164" fontId="21" fillId="0" borderId="0" xfId="3" applyNumberFormat="1" applyFont="1" applyAlignment="1">
      <alignment horizontal="right"/>
    </xf>
    <xf numFmtId="164" fontId="38" fillId="0" borderId="0" xfId="4" applyNumberFormat="1" applyFont="1" applyAlignment="1">
      <alignment horizontal="right"/>
    </xf>
    <xf numFmtId="165" fontId="21" fillId="0" borderId="0" xfId="5" applyNumberFormat="1" applyFont="1" applyFill="1" applyBorder="1" applyAlignment="1">
      <alignment horizontal="center"/>
    </xf>
    <xf numFmtId="0" fontId="21" fillId="0" borderId="0" xfId="6" applyFont="1" applyFill="1" applyBorder="1" applyAlignment="1">
      <alignment wrapText="1"/>
    </xf>
    <xf numFmtId="0" fontId="21" fillId="0" borderId="0" xfId="3" quotePrefix="1" applyFont="1" applyFill="1" applyBorder="1" applyAlignment="1">
      <alignment horizontal="left"/>
    </xf>
    <xf numFmtId="165" fontId="21" fillId="0" borderId="0" xfId="5" applyNumberFormat="1" applyFont="1" applyFill="1" applyAlignment="1">
      <alignment horizontal="center"/>
    </xf>
    <xf numFmtId="41" fontId="21" fillId="0" borderId="0" xfId="4" applyNumberFormat="1" applyFont="1" applyFill="1" applyAlignment="1">
      <alignment horizontal="center"/>
    </xf>
    <xf numFmtId="41" fontId="21" fillId="0" borderId="0" xfId="4" applyNumberFormat="1" applyFont="1" applyBorder="1" applyAlignment="1">
      <alignment horizontal="center"/>
    </xf>
    <xf numFmtId="10" fontId="35" fillId="0" borderId="0" xfId="56" applyNumberFormat="1" applyFont="1"/>
    <xf numFmtId="0" fontId="33" fillId="0" borderId="0" xfId="54" applyFont="1" applyFill="1" applyBorder="1" applyAlignment="1">
      <alignment horizontal="center"/>
    </xf>
    <xf numFmtId="0" fontId="33" fillId="0" borderId="0" xfId="55" applyFont="1" applyBorder="1" applyAlignment="1">
      <alignment horizontal="center"/>
    </xf>
    <xf numFmtId="0" fontId="34" fillId="0" borderId="0" xfId="54" applyFont="1" applyFill="1" applyBorder="1" applyAlignment="1">
      <alignment horizontal="center"/>
    </xf>
    <xf numFmtId="0" fontId="34" fillId="0" borderId="0" xfId="0" applyFont="1" applyFill="1" applyBorder="1"/>
    <xf numFmtId="0" fontId="34" fillId="0" borderId="0" xfId="0" applyFont="1" applyBorder="1"/>
    <xf numFmtId="166" fontId="35" fillId="0" borderId="0" xfId="0" applyNumberFormat="1" applyFont="1"/>
    <xf numFmtId="10" fontId="40" fillId="0" borderId="0" xfId="56" applyNumberFormat="1" applyFont="1" applyAlignment="1">
      <alignment horizontal="center"/>
    </xf>
    <xf numFmtId="0" fontId="41" fillId="0" borderId="0" xfId="3" applyFont="1" applyFill="1" applyBorder="1"/>
    <xf numFmtId="0" fontId="2" fillId="0" borderId="0" xfId="3" applyFont="1" applyFill="1" applyBorder="1"/>
    <xf numFmtId="0" fontId="2" fillId="0" borderId="0" xfId="3" applyFont="1" applyFill="1" applyBorder="1" applyAlignment="1">
      <alignment horizontal="center"/>
    </xf>
    <xf numFmtId="41" fontId="2" fillId="0" borderId="0" xfId="4" applyNumberFormat="1" applyFont="1" applyFill="1" applyBorder="1" applyAlignment="1">
      <alignment horizontal="center"/>
    </xf>
    <xf numFmtId="165" fontId="2" fillId="0" borderId="0" xfId="5" applyNumberFormat="1" applyFont="1" applyFill="1" applyAlignment="1">
      <alignment horizontal="center"/>
    </xf>
    <xf numFmtId="41" fontId="2" fillId="0" borderId="0" xfId="4" applyNumberFormat="1" applyFont="1" applyFill="1" applyAlignment="1">
      <alignment horizontal="center"/>
    </xf>
    <xf numFmtId="0" fontId="2" fillId="0" borderId="0" xfId="3" applyFont="1" applyFill="1" applyBorder="1" applyAlignment="1">
      <alignment vertical="top"/>
    </xf>
    <xf numFmtId="0" fontId="2" fillId="0" borderId="0" xfId="3" applyNumberFormat="1" applyFont="1" applyFill="1" applyBorder="1" applyAlignment="1">
      <alignment horizontal="center"/>
    </xf>
    <xf numFmtId="0" fontId="21" fillId="0" borderId="0" xfId="3" applyFont="1" applyFill="1" applyBorder="1"/>
    <xf numFmtId="0" fontId="22" fillId="0" borderId="0" xfId="54" applyFont="1" applyFill="1" applyAlignment="1" applyProtection="1">
      <alignment horizontal="center"/>
      <protection locked="0"/>
    </xf>
    <xf numFmtId="0" fontId="2" fillId="0" borderId="23" xfId="3" applyFont="1" applyFill="1" applyBorder="1" applyAlignment="1">
      <alignment horizontal="left" vertical="top" wrapText="1"/>
    </xf>
    <xf numFmtId="0" fontId="2" fillId="0" borderId="24" xfId="3" applyFont="1" applyFill="1" applyBorder="1" applyAlignment="1">
      <alignment horizontal="left" vertical="top" wrapText="1"/>
    </xf>
    <xf numFmtId="0" fontId="2" fillId="0" borderId="25" xfId="3" applyFont="1" applyFill="1" applyBorder="1" applyAlignment="1">
      <alignment horizontal="left" vertical="top" wrapText="1"/>
    </xf>
    <xf numFmtId="0" fontId="2" fillId="0" borderId="26" xfId="3"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27" xfId="3" applyFont="1" applyFill="1" applyBorder="1" applyAlignment="1">
      <alignment horizontal="left" vertical="top" wrapText="1"/>
    </xf>
    <xf numFmtId="0" fontId="2" fillId="0" borderId="28" xfId="3" applyFont="1" applyFill="1" applyBorder="1" applyAlignment="1">
      <alignment horizontal="left" vertical="top" wrapText="1"/>
    </xf>
    <xf numFmtId="0" fontId="2" fillId="0" borderId="29" xfId="3" applyFont="1" applyFill="1" applyBorder="1" applyAlignment="1">
      <alignment horizontal="left" vertical="top" wrapText="1"/>
    </xf>
    <xf numFmtId="0" fontId="2" fillId="0" borderId="30" xfId="3" applyFont="1" applyFill="1" applyBorder="1" applyAlignment="1">
      <alignment horizontal="left" vertical="top" wrapText="1"/>
    </xf>
    <xf numFmtId="0" fontId="33" fillId="0" borderId="0" xfId="54" applyFont="1" applyFill="1" applyAlignment="1" applyProtection="1">
      <alignment horizontal="center"/>
      <protection locked="0"/>
    </xf>
    <xf numFmtId="0" fontId="33" fillId="0" borderId="0" xfId="54" applyFont="1" applyAlignment="1">
      <alignment horizontal="left" wrapText="1"/>
    </xf>
    <xf numFmtId="0" fontId="33" fillId="0" borderId="0" xfId="54" applyFont="1" applyAlignment="1">
      <alignment horizontal="left"/>
    </xf>
    <xf numFmtId="0" fontId="33" fillId="0" borderId="18" xfId="54" applyFont="1" applyFill="1" applyBorder="1" applyAlignment="1" applyProtection="1">
      <alignment horizontal="center" wrapText="1"/>
      <protection locked="0"/>
    </xf>
    <xf numFmtId="0" fontId="16" fillId="0" borderId="18" xfId="0" applyFont="1" applyBorder="1" applyAlignment="1">
      <alignment horizontal="center" vertical="top"/>
    </xf>
    <xf numFmtId="0" fontId="0" fillId="0" borderId="0" xfId="0" applyAlignment="1">
      <alignment horizontal="left" vertical="top"/>
    </xf>
    <xf numFmtId="15" fontId="29" fillId="0" borderId="2" xfId="0" applyNumberFormat="1" applyFont="1" applyBorder="1" applyAlignment="1">
      <alignment horizontal="center" wrapText="1"/>
    </xf>
    <xf numFmtId="15" fontId="29" fillId="0" borderId="9" xfId="0" applyNumberFormat="1" applyFont="1" applyBorder="1" applyAlignment="1">
      <alignment horizontal="center" wrapText="1"/>
    </xf>
    <xf numFmtId="0" fontId="29" fillId="0" borderId="15" xfId="0" applyFont="1" applyBorder="1" applyAlignment="1">
      <alignment horizontal="center"/>
    </xf>
    <xf numFmtId="0" fontId="29" fillId="0" borderId="10" xfId="0" applyFont="1" applyBorder="1" applyAlignment="1">
      <alignment horizontal="center"/>
    </xf>
    <xf numFmtId="0" fontId="29" fillId="0" borderId="2" xfId="0" applyFont="1" applyBorder="1" applyAlignment="1">
      <alignment horizontal="center" wrapText="1"/>
    </xf>
    <xf numFmtId="0" fontId="29" fillId="0" borderId="8" xfId="0" applyFont="1" applyBorder="1" applyAlignment="1">
      <alignment horizontal="center" wrapText="1"/>
    </xf>
    <xf numFmtId="0" fontId="29" fillId="0" borderId="9" xfId="0" applyFont="1" applyBorder="1" applyAlignment="1">
      <alignment horizontal="center" wrapText="1"/>
    </xf>
    <xf numFmtId="15" fontId="29" fillId="0" borderId="8" xfId="0" applyNumberFormat="1" applyFont="1" applyBorder="1" applyAlignment="1">
      <alignment horizontal="center" wrapText="1"/>
    </xf>
    <xf numFmtId="0" fontId="0" fillId="26" borderId="13" xfId="0" applyFill="1" applyBorder="1" applyAlignment="1">
      <alignment horizontal="center" vertical="top" wrapText="1"/>
    </xf>
    <xf numFmtId="0" fontId="0" fillId="26" borderId="0" xfId="0" applyFill="1" applyBorder="1" applyAlignment="1">
      <alignment horizontal="center" vertical="top" wrapText="1"/>
    </xf>
    <xf numFmtId="0" fontId="0" fillId="26" borderId="14" xfId="0" applyFill="1" applyBorder="1" applyAlignment="1">
      <alignment horizontal="center" vertical="top" wrapText="1"/>
    </xf>
    <xf numFmtId="0" fontId="27" fillId="26" borderId="2" xfId="0" quotePrefix="1" applyFont="1" applyFill="1" applyBorder="1" applyAlignment="1">
      <alignment horizontal="center" vertical="top"/>
    </xf>
    <xf numFmtId="0" fontId="27" fillId="26" borderId="9" xfId="0" quotePrefix="1" applyFont="1" applyFill="1" applyBorder="1" applyAlignment="1">
      <alignment horizontal="center" vertical="top"/>
    </xf>
    <xf numFmtId="0" fontId="21" fillId="0" borderId="0" xfId="54" applyFont="1" applyAlignment="1">
      <alignment horizontal="left" wrapText="1"/>
    </xf>
    <xf numFmtId="0" fontId="25" fillId="0" borderId="0" xfId="54" applyFont="1" applyAlignment="1">
      <alignment horizontal="center"/>
    </xf>
    <xf numFmtId="0" fontId="17" fillId="0" borderId="0" xfId="54" applyFont="1" applyAlignment="1">
      <alignment horizontal="center"/>
    </xf>
    <xf numFmtId="0" fontId="22" fillId="0" borderId="0" xfId="54" applyFont="1" applyAlignment="1">
      <alignment horizontal="center"/>
    </xf>
    <xf numFmtId="166" fontId="21" fillId="0" borderId="1" xfId="54" applyNumberFormat="1" applyFont="1" applyBorder="1" applyAlignment="1">
      <alignment horizontal="center"/>
    </xf>
    <xf numFmtId="0" fontId="21" fillId="27" borderId="2" xfId="54" applyFont="1" applyFill="1" applyBorder="1" applyAlignment="1">
      <alignment horizontal="center"/>
    </xf>
    <xf numFmtId="0" fontId="21" fillId="27" borderId="9" xfId="54" applyFont="1" applyFill="1" applyBorder="1" applyAlignment="1">
      <alignment horizontal="center"/>
    </xf>
    <xf numFmtId="0" fontId="17" fillId="0" borderId="0" xfId="54" applyFont="1" applyFill="1" applyAlignment="1">
      <alignment horizontal="center"/>
    </xf>
    <xf numFmtId="0" fontId="16" fillId="0" borderId="18" xfId="0" applyFont="1" applyBorder="1" applyAlignment="1">
      <alignment horizontal="center"/>
    </xf>
    <xf numFmtId="0" fontId="16" fillId="0" borderId="0" xfId="0" applyFont="1" applyAlignment="1">
      <alignment horizontal="center"/>
    </xf>
  </cellXfs>
  <cellStyles count="57">
    <cellStyle name="Comma" xfId="1" builtinId="3"/>
    <cellStyle name="Comma 2" xfId="4"/>
    <cellStyle name="Currency" xfId="2" builtinId="4"/>
    <cellStyle name="Normal" xfId="0" builtinId="0"/>
    <cellStyle name="Normal 2" xfId="6"/>
    <cellStyle name="Normal 3" xfId="54"/>
    <cellStyle name="Normal 34" xfId="55"/>
    <cellStyle name="Normal_Trapper Mine Adj Dec 2006" xfId="3"/>
    <cellStyle name="Percent" xfId="56" builtinId="5"/>
    <cellStyle name="Percent 2" xfId="5"/>
    <cellStyle name="SAPBEXaggData" xfId="7"/>
    <cellStyle name="SAPBEXaggDataEmph" xfId="8"/>
    <cellStyle name="SAPBEXaggItem" xfId="9"/>
    <cellStyle name="SAPBEXaggItem 2" xfId="10"/>
    <cellStyle name="SAPBEXaggItemX" xfId="11"/>
    <cellStyle name="SAPBEXchaText" xfId="12"/>
    <cellStyle name="SAPBEXchaText 2" xfId="13"/>
    <cellStyle name="SAPBEXexcBad7" xfId="14"/>
    <cellStyle name="SAPBEXexcBad8" xfId="15"/>
    <cellStyle name="SAPBEXexcBad9" xfId="16"/>
    <cellStyle name="SAPBEXexcCritical4" xfId="17"/>
    <cellStyle name="SAPBEXexcCritical5" xfId="18"/>
    <cellStyle name="SAPBEXexcCritical6" xfId="19"/>
    <cellStyle name="SAPBEXexcGood1" xfId="20"/>
    <cellStyle name="SAPBEXexcGood2" xfId="21"/>
    <cellStyle name="SAPBEXexcGood3" xfId="22"/>
    <cellStyle name="SAPBEXfilterDrill" xfId="23"/>
    <cellStyle name="SAPBEXfilterItem" xfId="24"/>
    <cellStyle name="SAPBEXfilterItem 2" xfId="25"/>
    <cellStyle name="SAPBEXfilterText" xfId="26"/>
    <cellStyle name="SAPBEXformats" xfId="27"/>
    <cellStyle name="SAPBEXheaderItem" xfId="28"/>
    <cellStyle name="SAPBEXheaderItem 2" xfId="29"/>
    <cellStyle name="SAPBEXheaderText" xfId="30"/>
    <cellStyle name="SAPBEXheaderText 2" xfId="31"/>
    <cellStyle name="SAPBEXHLevel0" xfId="32"/>
    <cellStyle name="SAPBEXHLevel0X" xfId="33"/>
    <cellStyle name="SAPBEXHLevel1" xfId="34"/>
    <cellStyle name="SAPBEXHLevel1X" xfId="35"/>
    <cellStyle name="SAPBEXHLevel2" xfId="36"/>
    <cellStyle name="SAPBEXHLevel2X" xfId="37"/>
    <cellStyle name="SAPBEXHLevel3" xfId="38"/>
    <cellStyle name="SAPBEXHLevel3X" xfId="39"/>
    <cellStyle name="SAPBEXresData" xfId="40"/>
    <cellStyle name="SAPBEXresDataEmph" xfId="41"/>
    <cellStyle name="SAPBEXresItem" xfId="42"/>
    <cellStyle name="SAPBEXresItemX" xfId="43"/>
    <cellStyle name="SAPBEXstdData" xfId="44"/>
    <cellStyle name="SAPBEXstdData 2" xfId="45"/>
    <cellStyle name="SAPBEXstdDataEmph" xfId="46"/>
    <cellStyle name="SAPBEXstdItem" xfId="47"/>
    <cellStyle name="SAPBEXstdItem 2" xfId="48"/>
    <cellStyle name="SAPBEXstdItemX" xfId="49"/>
    <cellStyle name="SAPBEXstdItemX 2" xfId="50"/>
    <cellStyle name="SAPBEXtitle" xfId="51"/>
    <cellStyle name="SAPBEXtitle 2" xfId="52"/>
    <cellStyle name="SAPBEXundefined" xfId="53"/>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4"/>
  <sheetViews>
    <sheetView tabSelected="1" view="pageBreakPreview" topLeftCell="A31" zoomScaleNormal="100" zoomScaleSheetLayoutView="100" workbookViewId="0">
      <selection activeCell="H34" sqref="H34"/>
    </sheetView>
  </sheetViews>
  <sheetFormatPr defaultColWidth="8.85546875" defaultRowHeight="12.75"/>
  <cols>
    <col min="1" max="1" width="2.28515625" style="208" customWidth="1"/>
    <col min="2" max="2" width="26.85546875" style="208" bestFit="1" customWidth="1"/>
    <col min="3" max="3" width="10.5703125" style="210" bestFit="1" customWidth="1"/>
    <col min="4" max="4" width="6" style="210" bestFit="1" customWidth="1"/>
    <col min="5" max="5" width="11.28515625" style="208" bestFit="1" customWidth="1"/>
    <col min="6" max="7" width="9.28515625" style="208" bestFit="1" customWidth="1"/>
    <col min="8" max="8" width="13.28515625" style="208" bestFit="1" customWidth="1"/>
    <col min="9" max="9" width="5.85546875" style="208" bestFit="1" customWidth="1"/>
    <col min="10" max="10" width="2.7109375" style="208" customWidth="1"/>
    <col min="11" max="11" width="11.7109375" style="208" customWidth="1"/>
    <col min="12" max="12" width="10.28515625" style="208" customWidth="1"/>
    <col min="13" max="13" width="9.85546875" style="208" customWidth="1"/>
    <col min="14" max="15" width="8.85546875" style="208" customWidth="1"/>
    <col min="16" max="16" width="10.28515625" style="208" customWidth="1"/>
    <col min="17" max="16384" width="8.85546875" style="208"/>
  </cols>
  <sheetData>
    <row r="1" spans="1:19">
      <c r="B1" s="270" t="s">
        <v>151</v>
      </c>
      <c r="C1" s="270"/>
      <c r="D1" s="270"/>
      <c r="E1" s="270"/>
      <c r="F1" s="270"/>
      <c r="G1" s="270"/>
      <c r="H1" s="270"/>
      <c r="I1" s="270"/>
    </row>
    <row r="2" spans="1:19">
      <c r="B2" s="270" t="s">
        <v>152</v>
      </c>
      <c r="C2" s="270"/>
      <c r="D2" s="270"/>
      <c r="E2" s="270"/>
      <c r="F2" s="270"/>
      <c r="G2" s="270"/>
      <c r="H2" s="270"/>
      <c r="I2" s="270"/>
    </row>
    <row r="3" spans="1:19">
      <c r="B3" s="270" t="s">
        <v>194</v>
      </c>
      <c r="C3" s="270"/>
      <c r="D3" s="270"/>
      <c r="E3" s="270"/>
      <c r="F3" s="270"/>
      <c r="G3" s="270"/>
      <c r="H3" s="270"/>
      <c r="I3" s="270"/>
      <c r="K3" s="209"/>
      <c r="L3" s="209"/>
      <c r="M3" s="209"/>
      <c r="N3" s="209"/>
      <c r="O3" s="209"/>
      <c r="P3" s="209"/>
      <c r="Q3" s="209"/>
      <c r="R3" s="209"/>
      <c r="S3" s="209"/>
    </row>
    <row r="4" spans="1:19">
      <c r="B4" s="270" t="s">
        <v>195</v>
      </c>
      <c r="C4" s="270"/>
      <c r="D4" s="270"/>
      <c r="E4" s="270"/>
      <c r="F4" s="270"/>
      <c r="G4" s="270"/>
      <c r="H4" s="270"/>
      <c r="I4" s="270"/>
      <c r="K4" s="209"/>
      <c r="L4" s="209"/>
      <c r="M4" s="209"/>
      <c r="N4" s="209"/>
      <c r="O4" s="209"/>
      <c r="P4" s="209"/>
      <c r="Q4" s="209"/>
      <c r="R4" s="209"/>
      <c r="S4" s="209"/>
    </row>
    <row r="5" spans="1:19">
      <c r="E5" s="210"/>
      <c r="F5" s="210"/>
      <c r="G5" s="210"/>
      <c r="H5" s="210"/>
      <c r="I5" s="211"/>
      <c r="K5" s="209"/>
      <c r="L5" s="209"/>
      <c r="M5" s="209"/>
      <c r="N5" s="209"/>
      <c r="O5" s="209"/>
      <c r="P5" s="209"/>
      <c r="Q5" s="209"/>
      <c r="R5" s="209"/>
      <c r="S5" s="209"/>
    </row>
    <row r="6" spans="1:19" s="212" customFormat="1" ht="25.5">
      <c r="C6" s="213" t="s">
        <v>1</v>
      </c>
      <c r="D6" s="213" t="s">
        <v>178</v>
      </c>
      <c r="E6" s="213" t="s">
        <v>153</v>
      </c>
      <c r="F6" s="213" t="s">
        <v>154</v>
      </c>
      <c r="G6" s="213" t="s">
        <v>2</v>
      </c>
      <c r="H6" s="213" t="s">
        <v>155</v>
      </c>
      <c r="I6" s="214" t="s">
        <v>3</v>
      </c>
      <c r="K6" s="215"/>
      <c r="L6" s="215"/>
      <c r="M6" s="215"/>
      <c r="N6" s="215"/>
      <c r="O6" s="215"/>
      <c r="P6" s="215"/>
      <c r="Q6" s="215"/>
      <c r="R6" s="215"/>
      <c r="S6" s="215"/>
    </row>
    <row r="7" spans="1:19">
      <c r="A7" s="209"/>
      <c r="B7" s="216" t="s">
        <v>4</v>
      </c>
      <c r="C7" s="217"/>
      <c r="D7" s="217"/>
      <c r="E7" s="217"/>
      <c r="F7" s="217"/>
      <c r="G7" s="217"/>
      <c r="H7" s="218"/>
      <c r="I7" s="211"/>
      <c r="K7" s="209"/>
      <c r="L7" s="209"/>
      <c r="M7" s="209"/>
      <c r="N7" s="209"/>
      <c r="O7" s="209"/>
      <c r="P7" s="209"/>
      <c r="Q7" s="209"/>
      <c r="R7" s="209"/>
      <c r="S7" s="209"/>
    </row>
    <row r="8" spans="1:19">
      <c r="A8" s="209"/>
      <c r="B8" s="219" t="s">
        <v>5</v>
      </c>
      <c r="C8" s="220">
        <v>456</v>
      </c>
      <c r="D8" s="220" t="s">
        <v>6</v>
      </c>
      <c r="E8" s="221">
        <f>+'Page 2, 3.8.1 - Schedule 300'!M23</f>
        <v>63404.33333333335</v>
      </c>
      <c r="F8" s="221" t="s">
        <v>24</v>
      </c>
      <c r="G8" s="222" t="s">
        <v>7</v>
      </c>
      <c r="H8" s="223">
        <f>E8</f>
        <v>63404.33333333335</v>
      </c>
      <c r="I8" s="224" t="s">
        <v>25</v>
      </c>
      <c r="J8" s="225"/>
      <c r="K8" s="226"/>
      <c r="L8" s="227"/>
      <c r="M8" s="227"/>
      <c r="N8" s="228"/>
      <c r="O8" s="227"/>
      <c r="P8" s="227"/>
      <c r="Q8" s="227"/>
      <c r="R8" s="227"/>
      <c r="S8" s="227"/>
    </row>
    <row r="9" spans="1:19">
      <c r="A9" s="209"/>
      <c r="B9" s="229"/>
      <c r="C9" s="220"/>
      <c r="D9" s="220"/>
      <c r="E9" s="221"/>
      <c r="F9" s="221"/>
      <c r="G9" s="230"/>
      <c r="H9" s="231"/>
      <c r="I9" s="224"/>
      <c r="J9" s="225"/>
      <c r="K9" s="226"/>
      <c r="L9" s="227"/>
      <c r="M9" s="227"/>
      <c r="N9" s="228"/>
      <c r="O9" s="227"/>
      <c r="P9" s="227"/>
      <c r="Q9" s="227"/>
      <c r="R9" s="227"/>
      <c r="S9" s="227"/>
    </row>
    <row r="10" spans="1:19">
      <c r="A10" s="209"/>
      <c r="B10" s="219"/>
      <c r="C10" s="220"/>
      <c r="D10" s="220"/>
      <c r="E10" s="221"/>
      <c r="F10" s="221"/>
      <c r="G10" s="222"/>
      <c r="H10" s="223"/>
      <c r="I10" s="224"/>
      <c r="J10" s="225"/>
      <c r="K10" s="226"/>
      <c r="L10" s="227"/>
      <c r="M10" s="227"/>
      <c r="N10" s="228"/>
      <c r="O10" s="227"/>
      <c r="P10" s="227"/>
      <c r="Q10" s="227"/>
      <c r="R10" s="227"/>
      <c r="S10" s="227"/>
    </row>
    <row r="11" spans="1:19">
      <c r="A11" s="209"/>
      <c r="E11" s="232"/>
      <c r="I11" s="224"/>
      <c r="K11" s="226"/>
      <c r="L11" s="227"/>
      <c r="M11" s="227"/>
      <c r="N11" s="228"/>
      <c r="O11" s="227"/>
      <c r="P11" s="227"/>
      <c r="Q11" s="227"/>
      <c r="R11" s="227"/>
      <c r="S11" s="227"/>
    </row>
    <row r="12" spans="1:19">
      <c r="A12" s="209"/>
      <c r="K12" s="226"/>
      <c r="L12" s="227"/>
      <c r="M12" s="227"/>
      <c r="N12" s="228"/>
      <c r="O12" s="227"/>
      <c r="P12" s="227"/>
      <c r="Q12" s="227"/>
      <c r="R12" s="227"/>
      <c r="S12" s="227"/>
    </row>
    <row r="13" spans="1:19">
      <c r="A13" s="209"/>
      <c r="B13" s="229"/>
      <c r="C13" s="220"/>
      <c r="D13" s="220"/>
      <c r="E13" s="221"/>
      <c r="F13" s="221"/>
      <c r="G13" s="230"/>
      <c r="H13" s="231"/>
      <c r="I13" s="233"/>
      <c r="J13" s="225"/>
      <c r="K13" s="226"/>
      <c r="L13" s="227"/>
      <c r="M13" s="227"/>
      <c r="N13" s="228"/>
      <c r="O13" s="227"/>
      <c r="P13" s="227"/>
      <c r="Q13" s="227"/>
      <c r="R13" s="227"/>
      <c r="S13" s="227"/>
    </row>
    <row r="14" spans="1:19">
      <c r="A14" s="209"/>
      <c r="C14" s="220"/>
      <c r="D14" s="220"/>
      <c r="E14" s="221"/>
      <c r="F14" s="221"/>
      <c r="G14" s="230"/>
      <c r="H14" s="221"/>
      <c r="I14" s="233"/>
      <c r="J14" s="225"/>
      <c r="K14" s="234"/>
      <c r="L14" s="235"/>
      <c r="M14" s="235"/>
      <c r="N14" s="236"/>
      <c r="O14" s="235"/>
      <c r="P14" s="235"/>
      <c r="Q14" s="235"/>
      <c r="R14" s="235"/>
      <c r="S14" s="237"/>
    </row>
    <row r="15" spans="1:19">
      <c r="A15" s="209"/>
      <c r="C15" s="220"/>
      <c r="D15" s="220"/>
      <c r="E15" s="221"/>
      <c r="F15" s="221"/>
      <c r="G15" s="230"/>
      <c r="H15" s="221"/>
      <c r="I15" s="233"/>
      <c r="J15" s="225"/>
      <c r="K15" s="238"/>
      <c r="L15" s="237"/>
      <c r="M15" s="237"/>
      <c r="N15" s="228"/>
      <c r="O15" s="237"/>
      <c r="P15" s="237"/>
      <c r="Q15" s="237"/>
      <c r="R15" s="237"/>
      <c r="S15" s="237"/>
    </row>
    <row r="16" spans="1:19">
      <c r="A16" s="209"/>
      <c r="C16" s="220"/>
      <c r="D16" s="220"/>
      <c r="E16" s="221"/>
      <c r="F16" s="221"/>
      <c r="G16" s="230"/>
      <c r="H16" s="221"/>
      <c r="I16" s="233"/>
      <c r="J16" s="225"/>
      <c r="K16" s="239"/>
      <c r="L16" s="240"/>
      <c r="M16" s="240"/>
      <c r="N16" s="241"/>
      <c r="O16" s="240"/>
      <c r="P16" s="240"/>
      <c r="Q16" s="240"/>
      <c r="R16" s="240"/>
      <c r="S16" s="242"/>
    </row>
    <row r="17" spans="1:19">
      <c r="A17" s="209"/>
      <c r="C17" s="220"/>
      <c r="D17" s="220"/>
      <c r="E17" s="221"/>
      <c r="F17" s="221"/>
      <c r="G17" s="230"/>
      <c r="H17" s="221"/>
      <c r="I17" s="233"/>
      <c r="J17" s="225"/>
      <c r="K17" s="239"/>
      <c r="L17" s="240"/>
      <c r="M17" s="240"/>
      <c r="N17" s="241"/>
      <c r="O17" s="240"/>
      <c r="P17" s="240"/>
      <c r="Q17" s="240"/>
      <c r="R17" s="240"/>
      <c r="S17" s="242"/>
    </row>
    <row r="18" spans="1:19">
      <c r="A18" s="209"/>
      <c r="B18" s="243"/>
      <c r="C18" s="220"/>
      <c r="D18" s="220"/>
      <c r="E18" s="221"/>
      <c r="F18" s="221"/>
      <c r="G18" s="230"/>
      <c r="H18" s="221"/>
      <c r="I18" s="233"/>
      <c r="J18" s="225"/>
      <c r="K18" s="244"/>
      <c r="L18" s="245"/>
      <c r="M18" s="245"/>
      <c r="N18" s="246"/>
      <c r="O18" s="245"/>
      <c r="P18" s="245"/>
      <c r="Q18" s="245"/>
      <c r="R18" s="245"/>
      <c r="S18" s="237"/>
    </row>
    <row r="19" spans="1:19">
      <c r="A19" s="209"/>
      <c r="B19" s="229"/>
      <c r="C19" s="220"/>
      <c r="D19" s="220"/>
      <c r="E19" s="221"/>
      <c r="F19" s="221"/>
      <c r="G19" s="230"/>
      <c r="H19" s="221"/>
      <c r="I19" s="233"/>
      <c r="J19" s="225"/>
      <c r="K19" s="239"/>
      <c r="L19" s="240"/>
      <c r="M19" s="240"/>
      <c r="N19" s="241"/>
      <c r="O19" s="240"/>
      <c r="P19" s="240"/>
      <c r="Q19" s="240"/>
      <c r="R19" s="240"/>
      <c r="S19" s="242"/>
    </row>
    <row r="20" spans="1:19">
      <c r="A20" s="209"/>
      <c r="B20" s="229"/>
      <c r="C20" s="220"/>
      <c r="D20" s="220"/>
      <c r="E20" s="221"/>
      <c r="F20" s="221"/>
      <c r="G20" s="230"/>
      <c r="H20" s="221"/>
      <c r="I20" s="233"/>
      <c r="J20" s="225"/>
      <c r="K20" s="244"/>
      <c r="L20" s="245"/>
      <c r="M20" s="245"/>
      <c r="N20" s="246"/>
      <c r="O20" s="245"/>
      <c r="P20" s="245"/>
      <c r="Q20" s="245"/>
      <c r="R20" s="245"/>
      <c r="S20" s="237"/>
    </row>
    <row r="21" spans="1:19">
      <c r="A21" s="209"/>
      <c r="B21" s="229"/>
      <c r="C21" s="220"/>
      <c r="D21" s="220"/>
      <c r="E21" s="221"/>
      <c r="F21" s="221"/>
      <c r="G21" s="230"/>
      <c r="H21" s="231"/>
      <c r="I21" s="233"/>
      <c r="J21" s="225"/>
      <c r="K21" s="225"/>
    </row>
    <row r="22" spans="1:19">
      <c r="A22" s="209"/>
      <c r="B22" s="229"/>
      <c r="C22" s="220"/>
      <c r="D22" s="220"/>
      <c r="E22" s="221"/>
      <c r="F22" s="221"/>
      <c r="G22" s="247"/>
      <c r="H22" s="231"/>
      <c r="I22" s="233"/>
      <c r="J22" s="225"/>
      <c r="K22" s="225"/>
    </row>
    <row r="23" spans="1:19">
      <c r="B23" s="229"/>
      <c r="C23" s="220"/>
      <c r="D23" s="220"/>
      <c r="E23" s="221"/>
      <c r="F23" s="221"/>
      <c r="G23" s="230"/>
      <c r="H23" s="231"/>
      <c r="I23" s="233"/>
      <c r="J23" s="225"/>
      <c r="K23" s="225"/>
    </row>
    <row r="24" spans="1:19">
      <c r="B24" s="229"/>
      <c r="C24" s="220"/>
      <c r="D24" s="220"/>
      <c r="E24" s="221"/>
      <c r="F24" s="221"/>
      <c r="G24" s="230"/>
      <c r="H24" s="231"/>
      <c r="I24" s="233"/>
      <c r="J24" s="225"/>
      <c r="K24" s="225"/>
    </row>
    <row r="25" spans="1:19">
      <c r="B25" s="229"/>
      <c r="C25" s="220"/>
      <c r="D25" s="220"/>
      <c r="E25" s="221"/>
      <c r="F25" s="221"/>
      <c r="G25" s="247"/>
      <c r="H25" s="231"/>
      <c r="I25" s="233"/>
      <c r="J25" s="225"/>
      <c r="K25" s="225"/>
    </row>
    <row r="26" spans="1:19">
      <c r="B26" s="229"/>
      <c r="C26" s="220"/>
      <c r="D26" s="220"/>
      <c r="E26" s="221"/>
      <c r="F26" s="221"/>
      <c r="G26" s="230"/>
      <c r="H26" s="231"/>
      <c r="I26" s="233"/>
      <c r="J26" s="225"/>
      <c r="K26" s="225"/>
    </row>
    <row r="27" spans="1:19">
      <c r="B27" s="229"/>
      <c r="C27" s="248"/>
      <c r="D27" s="248"/>
      <c r="E27" s="248"/>
      <c r="F27" s="248"/>
      <c r="G27" s="248"/>
      <c r="H27" s="248"/>
      <c r="I27" s="233"/>
      <c r="J27" s="225"/>
      <c r="K27" s="225"/>
    </row>
    <row r="28" spans="1:19">
      <c r="B28" s="229"/>
      <c r="C28" s="248"/>
      <c r="D28" s="248"/>
      <c r="E28" s="248"/>
      <c r="F28" s="248"/>
      <c r="G28" s="248"/>
      <c r="H28" s="248"/>
      <c r="I28" s="233"/>
      <c r="J28" s="225"/>
      <c r="K28" s="225"/>
    </row>
    <row r="29" spans="1:19">
      <c r="B29" s="249"/>
      <c r="C29" s="248"/>
      <c r="D29" s="248"/>
      <c r="E29" s="248"/>
      <c r="F29" s="248"/>
      <c r="G29" s="248"/>
      <c r="H29" s="221"/>
      <c r="I29" s="233"/>
      <c r="J29" s="225"/>
      <c r="K29" s="225"/>
    </row>
    <row r="30" spans="1:19">
      <c r="B30" s="249"/>
      <c r="C30" s="220"/>
      <c r="D30" s="220"/>
      <c r="E30" s="221"/>
      <c r="F30" s="221"/>
      <c r="G30" s="247"/>
      <c r="H30" s="221"/>
      <c r="I30" s="233"/>
      <c r="J30" s="225"/>
      <c r="K30" s="225"/>
    </row>
    <row r="31" spans="1:19">
      <c r="A31" s="209"/>
      <c r="B31" s="249"/>
      <c r="C31" s="220"/>
      <c r="D31" s="220"/>
      <c r="E31" s="221"/>
      <c r="F31" s="221"/>
      <c r="G31" s="250"/>
      <c r="H31" s="251"/>
      <c r="I31" s="224"/>
      <c r="J31" s="225"/>
      <c r="K31" s="225"/>
    </row>
    <row r="32" spans="1:19">
      <c r="A32" s="209"/>
      <c r="B32" s="249"/>
      <c r="C32" s="220"/>
      <c r="D32" s="220"/>
      <c r="E32" s="221"/>
      <c r="F32" s="221"/>
      <c r="G32" s="250"/>
      <c r="H32" s="251"/>
      <c r="I32" s="224"/>
      <c r="J32" s="225"/>
      <c r="K32" s="225"/>
    </row>
    <row r="33" spans="1:11">
      <c r="K33" s="225"/>
    </row>
    <row r="34" spans="1:11">
      <c r="K34" s="225"/>
    </row>
    <row r="35" spans="1:11">
      <c r="K35" s="225"/>
    </row>
    <row r="36" spans="1:11">
      <c r="K36" s="225"/>
    </row>
    <row r="37" spans="1:11">
      <c r="K37" s="225"/>
    </row>
    <row r="38" spans="1:11">
      <c r="K38" s="225"/>
    </row>
    <row r="39" spans="1:11">
      <c r="K39" s="225"/>
    </row>
    <row r="40" spans="1:11">
      <c r="K40" s="225"/>
    </row>
    <row r="41" spans="1:11">
      <c r="K41" s="225"/>
    </row>
    <row r="42" spans="1:11">
      <c r="K42" s="225"/>
    </row>
    <row r="43" spans="1:11" ht="13.5" thickBot="1">
      <c r="A43" s="261" t="s">
        <v>203</v>
      </c>
      <c r="C43" s="262"/>
      <c r="D43" s="263"/>
      <c r="E43" s="263"/>
      <c r="F43" s="264"/>
      <c r="G43" s="264"/>
      <c r="H43" s="265"/>
      <c r="I43" s="266"/>
      <c r="J43" s="268"/>
      <c r="K43" s="225"/>
    </row>
    <row r="44" spans="1:11" ht="12.75" customHeight="1">
      <c r="A44" s="271" t="s">
        <v>205</v>
      </c>
      <c r="B44" s="272"/>
      <c r="C44" s="272"/>
      <c r="D44" s="272"/>
      <c r="E44" s="272"/>
      <c r="F44" s="272"/>
      <c r="G44" s="272"/>
      <c r="H44" s="272"/>
      <c r="I44" s="273"/>
      <c r="J44" s="267"/>
      <c r="K44" s="225"/>
    </row>
    <row r="45" spans="1:11" ht="15" customHeight="1">
      <c r="A45" s="274"/>
      <c r="B45" s="275"/>
      <c r="C45" s="275"/>
      <c r="D45" s="275"/>
      <c r="E45" s="275"/>
      <c r="F45" s="275"/>
      <c r="G45" s="275"/>
      <c r="H45" s="275"/>
      <c r="I45" s="276"/>
      <c r="J45" s="267"/>
      <c r="K45" s="225"/>
    </row>
    <row r="46" spans="1:11" ht="15" customHeight="1">
      <c r="A46" s="274"/>
      <c r="B46" s="275"/>
      <c r="C46" s="275"/>
      <c r="D46" s="275"/>
      <c r="E46" s="275"/>
      <c r="F46" s="275"/>
      <c r="G46" s="275"/>
      <c r="H46" s="275"/>
      <c r="I46" s="276"/>
      <c r="J46" s="267"/>
      <c r="K46" s="225"/>
    </row>
    <row r="47" spans="1:11" ht="15" customHeight="1">
      <c r="A47" s="274"/>
      <c r="B47" s="275"/>
      <c r="C47" s="275"/>
      <c r="D47" s="275"/>
      <c r="E47" s="275"/>
      <c r="F47" s="275"/>
      <c r="G47" s="275"/>
      <c r="H47" s="275"/>
      <c r="I47" s="276"/>
      <c r="J47" s="267"/>
      <c r="K47" s="225"/>
    </row>
    <row r="48" spans="1:11" ht="15" customHeight="1">
      <c r="A48" s="274"/>
      <c r="B48" s="275"/>
      <c r="C48" s="275"/>
      <c r="D48" s="275"/>
      <c r="E48" s="275"/>
      <c r="F48" s="275"/>
      <c r="G48" s="275"/>
      <c r="H48" s="275"/>
      <c r="I48" s="276"/>
      <c r="J48" s="267"/>
      <c r="K48" s="225"/>
    </row>
    <row r="49" spans="1:11" ht="15" customHeight="1">
      <c r="A49" s="274"/>
      <c r="B49" s="275"/>
      <c r="C49" s="275"/>
      <c r="D49" s="275"/>
      <c r="E49" s="275"/>
      <c r="F49" s="275"/>
      <c r="G49" s="275"/>
      <c r="H49" s="275"/>
      <c r="I49" s="276"/>
      <c r="J49" s="267"/>
      <c r="K49" s="225"/>
    </row>
    <row r="50" spans="1:11" ht="15" customHeight="1">
      <c r="A50" s="274"/>
      <c r="B50" s="275"/>
      <c r="C50" s="275"/>
      <c r="D50" s="275"/>
      <c r="E50" s="275"/>
      <c r="F50" s="275"/>
      <c r="G50" s="275"/>
      <c r="H50" s="275"/>
      <c r="I50" s="276"/>
      <c r="J50" s="267"/>
      <c r="K50" s="225"/>
    </row>
    <row r="51" spans="1:11" ht="15" customHeight="1">
      <c r="A51" s="274"/>
      <c r="B51" s="275"/>
      <c r="C51" s="275"/>
      <c r="D51" s="275"/>
      <c r="E51" s="275"/>
      <c r="F51" s="275"/>
      <c r="G51" s="275"/>
      <c r="H51" s="275"/>
      <c r="I51" s="276"/>
      <c r="J51" s="267"/>
      <c r="K51" s="225"/>
    </row>
    <row r="52" spans="1:11" ht="15.75" customHeight="1" thickBot="1">
      <c r="A52" s="277"/>
      <c r="B52" s="278"/>
      <c r="C52" s="278"/>
      <c r="D52" s="278"/>
      <c r="E52" s="278"/>
      <c r="F52" s="278"/>
      <c r="G52" s="278"/>
      <c r="H52" s="278"/>
      <c r="I52" s="279"/>
      <c r="J52" s="267"/>
      <c r="K52" s="225"/>
    </row>
    <row r="53" spans="1:11">
      <c r="B53" s="225"/>
      <c r="C53" s="220"/>
      <c r="D53" s="220"/>
      <c r="E53" s="225"/>
      <c r="F53" s="221"/>
      <c r="G53" s="225"/>
      <c r="H53" s="225"/>
      <c r="I53" s="225"/>
      <c r="J53" s="269"/>
      <c r="K53" s="225"/>
    </row>
    <row r="54" spans="1:11">
      <c r="B54" s="225"/>
      <c r="C54" s="220"/>
      <c r="D54" s="220"/>
      <c r="E54" s="225"/>
      <c r="F54" s="221"/>
      <c r="G54" s="225"/>
      <c r="H54" s="225"/>
      <c r="I54" s="225"/>
      <c r="J54" s="269"/>
      <c r="K54" s="225"/>
    </row>
    <row r="55" spans="1:11">
      <c r="B55" s="225"/>
      <c r="C55" s="220"/>
      <c r="D55" s="220"/>
      <c r="E55" s="225"/>
      <c r="F55" s="221"/>
      <c r="G55" s="225"/>
      <c r="H55" s="225"/>
      <c r="I55" s="225"/>
      <c r="J55" s="225"/>
      <c r="K55" s="225"/>
    </row>
    <row r="56" spans="1:11">
      <c r="B56" s="225"/>
      <c r="C56" s="220"/>
      <c r="D56" s="220"/>
      <c r="E56" s="225"/>
      <c r="F56" s="221"/>
      <c r="G56" s="225"/>
      <c r="H56" s="225"/>
      <c r="I56" s="225"/>
      <c r="J56" s="225"/>
      <c r="K56" s="225"/>
    </row>
    <row r="57" spans="1:11">
      <c r="B57" s="225"/>
      <c r="C57" s="220"/>
      <c r="D57" s="220"/>
      <c r="E57" s="225"/>
      <c r="F57" s="221"/>
      <c r="G57" s="225"/>
      <c r="H57" s="225"/>
      <c r="I57" s="225"/>
      <c r="J57" s="225"/>
      <c r="K57" s="225"/>
    </row>
    <row r="58" spans="1:11">
      <c r="B58" s="225"/>
      <c r="C58" s="220"/>
      <c r="D58" s="220"/>
      <c r="E58" s="225"/>
      <c r="F58" s="221"/>
      <c r="G58" s="225"/>
      <c r="H58" s="225"/>
      <c r="I58" s="225"/>
      <c r="J58" s="225"/>
      <c r="K58" s="225"/>
    </row>
    <row r="59" spans="1:11">
      <c r="B59" s="225"/>
      <c r="C59" s="220"/>
      <c r="D59" s="220"/>
      <c r="E59" s="225"/>
      <c r="F59" s="221"/>
      <c r="G59" s="225"/>
      <c r="H59" s="225"/>
      <c r="I59" s="225"/>
      <c r="J59" s="225"/>
      <c r="K59" s="225"/>
    </row>
    <row r="60" spans="1:11">
      <c r="B60" s="225"/>
      <c r="C60" s="220"/>
      <c r="D60" s="220"/>
      <c r="E60" s="225"/>
      <c r="F60" s="221"/>
      <c r="G60" s="225"/>
      <c r="H60" s="225"/>
      <c r="I60" s="225"/>
      <c r="J60" s="225"/>
      <c r="K60" s="225"/>
    </row>
    <row r="61" spans="1:11">
      <c r="B61" s="225"/>
      <c r="C61" s="220"/>
      <c r="D61" s="220"/>
      <c r="E61" s="225"/>
      <c r="F61" s="221"/>
      <c r="G61" s="225"/>
      <c r="H61" s="225"/>
      <c r="I61" s="225"/>
      <c r="J61" s="225"/>
      <c r="K61" s="225"/>
    </row>
    <row r="62" spans="1:11">
      <c r="B62" s="225"/>
      <c r="C62" s="220"/>
      <c r="D62" s="220"/>
      <c r="E62" s="225"/>
      <c r="F62" s="221"/>
      <c r="G62" s="225"/>
      <c r="H62" s="225"/>
      <c r="I62" s="225"/>
      <c r="J62" s="225"/>
      <c r="K62" s="225"/>
    </row>
    <row r="63" spans="1:11">
      <c r="B63" s="225"/>
      <c r="C63" s="220"/>
      <c r="D63" s="220"/>
      <c r="E63" s="225"/>
      <c r="F63" s="221"/>
      <c r="G63" s="225"/>
      <c r="H63" s="225"/>
      <c r="I63" s="225"/>
      <c r="J63" s="225"/>
      <c r="K63" s="225"/>
    </row>
    <row r="64" spans="1:11">
      <c r="B64" s="225"/>
      <c r="C64" s="220"/>
      <c r="D64" s="220"/>
      <c r="E64" s="225"/>
      <c r="F64" s="221"/>
      <c r="G64" s="225"/>
      <c r="H64" s="225"/>
      <c r="I64" s="225"/>
      <c r="J64" s="225"/>
      <c r="K64" s="225"/>
    </row>
    <row r="65" spans="2:11">
      <c r="B65" s="225"/>
      <c r="C65" s="220"/>
      <c r="D65" s="220"/>
      <c r="E65" s="225"/>
      <c r="F65" s="221"/>
      <c r="G65" s="225"/>
      <c r="H65" s="225"/>
      <c r="I65" s="225"/>
      <c r="J65" s="225"/>
      <c r="K65" s="225"/>
    </row>
    <row r="66" spans="2:11">
      <c r="B66" s="225"/>
      <c r="C66" s="220"/>
      <c r="D66" s="220"/>
      <c r="E66" s="225"/>
      <c r="F66" s="221"/>
      <c r="G66" s="225"/>
      <c r="H66" s="225"/>
      <c r="I66" s="225"/>
      <c r="J66" s="225"/>
      <c r="K66" s="225"/>
    </row>
    <row r="67" spans="2:11">
      <c r="B67" s="225"/>
      <c r="C67" s="220"/>
      <c r="D67" s="220"/>
      <c r="E67" s="225"/>
      <c r="F67" s="221"/>
      <c r="G67" s="225"/>
      <c r="H67" s="225"/>
      <c r="I67" s="225"/>
      <c r="J67" s="225"/>
      <c r="K67" s="225"/>
    </row>
    <row r="68" spans="2:11">
      <c r="B68" s="225"/>
      <c r="C68" s="220"/>
      <c r="D68" s="220"/>
      <c r="E68" s="225"/>
      <c r="F68" s="221"/>
      <c r="G68" s="225"/>
      <c r="H68" s="225"/>
      <c r="I68" s="225"/>
      <c r="J68" s="225"/>
      <c r="K68" s="225"/>
    </row>
    <row r="69" spans="2:11">
      <c r="B69" s="225"/>
      <c r="C69" s="220"/>
      <c r="D69" s="220"/>
      <c r="E69" s="225"/>
      <c r="F69" s="221"/>
      <c r="G69" s="225"/>
      <c r="H69" s="225"/>
      <c r="I69" s="225"/>
      <c r="J69" s="225"/>
      <c r="K69" s="225"/>
    </row>
    <row r="70" spans="2:11">
      <c r="B70" s="225"/>
      <c r="C70" s="220"/>
      <c r="D70" s="220"/>
      <c r="E70" s="225"/>
      <c r="F70" s="221"/>
      <c r="G70" s="225"/>
      <c r="H70" s="225"/>
      <c r="I70" s="225"/>
      <c r="J70" s="225"/>
      <c r="K70" s="225"/>
    </row>
    <row r="71" spans="2:11">
      <c r="B71" s="225"/>
      <c r="C71" s="220"/>
      <c r="D71" s="220"/>
      <c r="E71" s="225"/>
      <c r="F71" s="221"/>
      <c r="G71" s="225"/>
      <c r="H71" s="225"/>
      <c r="I71" s="225"/>
      <c r="J71" s="225"/>
      <c r="K71" s="225"/>
    </row>
    <row r="72" spans="2:11">
      <c r="B72" s="225"/>
      <c r="C72" s="220"/>
      <c r="D72" s="220"/>
      <c r="E72" s="225"/>
      <c r="F72" s="221"/>
      <c r="G72" s="225"/>
      <c r="H72" s="225"/>
      <c r="I72" s="225"/>
      <c r="J72" s="225"/>
      <c r="K72" s="225"/>
    </row>
    <row r="73" spans="2:11">
      <c r="C73" s="217"/>
      <c r="D73" s="217"/>
      <c r="F73" s="252"/>
    </row>
    <row r="74" spans="2:11">
      <c r="C74" s="217"/>
      <c r="D74" s="217"/>
      <c r="F74" s="252"/>
    </row>
    <row r="75" spans="2:11">
      <c r="C75" s="217"/>
      <c r="D75" s="217"/>
      <c r="F75" s="252"/>
    </row>
    <row r="76" spans="2:11">
      <c r="C76" s="217"/>
      <c r="D76" s="217"/>
      <c r="F76" s="252"/>
    </row>
    <row r="77" spans="2:11">
      <c r="C77" s="217"/>
      <c r="D77" s="217"/>
      <c r="F77" s="252"/>
    </row>
    <row r="78" spans="2:11">
      <c r="F78" s="252"/>
    </row>
    <row r="79" spans="2:11">
      <c r="F79" s="252"/>
    </row>
    <row r="80" spans="2:11">
      <c r="F80" s="252"/>
    </row>
    <row r="81" spans="6:6">
      <c r="F81" s="252"/>
    </row>
    <row r="82" spans="6:6">
      <c r="F82" s="252"/>
    </row>
    <row r="83" spans="6:6">
      <c r="F83" s="252"/>
    </row>
    <row r="84" spans="6:6">
      <c r="F84" s="252"/>
    </row>
  </sheetData>
  <mergeCells count="5">
    <mergeCell ref="B1:I1"/>
    <mergeCell ref="B2:I2"/>
    <mergeCell ref="B3:I3"/>
    <mergeCell ref="B4:I4"/>
    <mergeCell ref="A44:I52"/>
  </mergeCells>
  <conditionalFormatting sqref="B7">
    <cfRule type="cellIs" dxfId="0" priority="2" stopIfTrue="1" operator="equal">
      <formula>"Adjustment to Income/Expense/Rate Base:"</formula>
    </cfRule>
  </conditionalFormatting>
  <pageMargins left="1" right="0.5" top="1" bottom="1" header="0.5" footer="0.5"/>
  <pageSetup scale="94" fitToHeight="0" orientation="portrait" r:id="rId1"/>
  <headerFooter>
    <oddFooter>&amp;LTestimony of Christopher T. Mickelson
Docket UE-130043&amp;RExhibit No. ___ (CTM-2)
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0"/>
  <sheetViews>
    <sheetView view="pageBreakPreview" topLeftCell="B22" zoomScaleNormal="90" zoomScaleSheetLayoutView="100" workbookViewId="0">
      <selection activeCell="B38" sqref="B38"/>
    </sheetView>
  </sheetViews>
  <sheetFormatPr defaultRowHeight="15"/>
  <cols>
    <col min="1" max="1" width="5.28515625" style="163" bestFit="1" customWidth="1"/>
    <col min="2" max="2" width="29.85546875" style="163" bestFit="1" customWidth="1"/>
    <col min="3" max="3" width="7.42578125" style="163" customWidth="1"/>
    <col min="4" max="4" width="9.85546875" style="163" bestFit="1" customWidth="1"/>
    <col min="5" max="5" width="8.5703125" style="163" bestFit="1" customWidth="1"/>
    <col min="6" max="6" width="9.28515625" style="163" bestFit="1" customWidth="1"/>
    <col min="7" max="7" width="11.28515625" style="163" bestFit="1" customWidth="1"/>
    <col min="8" max="8" width="18.5703125" style="163" bestFit="1" customWidth="1"/>
    <col min="9" max="9" width="18" style="163" bestFit="1" customWidth="1"/>
    <col min="10" max="12" width="9.85546875" style="163" bestFit="1" customWidth="1"/>
    <col min="13" max="13" width="12.5703125" style="163" bestFit="1" customWidth="1"/>
    <col min="14" max="14" width="3" style="163" customWidth="1"/>
    <col min="15" max="16384" width="9.140625" style="163"/>
  </cols>
  <sheetData>
    <row r="1" spans="1:14" ht="15" customHeight="1">
      <c r="A1" s="280" t="s">
        <v>151</v>
      </c>
      <c r="B1" s="280"/>
      <c r="C1" s="280"/>
      <c r="D1" s="280"/>
      <c r="E1" s="280"/>
      <c r="F1" s="280"/>
      <c r="G1" s="280"/>
      <c r="H1" s="280"/>
      <c r="I1" s="280"/>
      <c r="J1" s="280"/>
      <c r="K1" s="280"/>
      <c r="L1" s="280"/>
      <c r="M1" s="280"/>
      <c r="N1" s="153"/>
    </row>
    <row r="2" spans="1:14" ht="15" customHeight="1">
      <c r="A2" s="280" t="s">
        <v>156</v>
      </c>
      <c r="B2" s="280"/>
      <c r="C2" s="280"/>
      <c r="D2" s="280"/>
      <c r="E2" s="280"/>
      <c r="F2" s="280"/>
      <c r="G2" s="280"/>
      <c r="H2" s="280"/>
      <c r="I2" s="280"/>
      <c r="J2" s="280"/>
      <c r="K2" s="280"/>
      <c r="L2" s="280"/>
      <c r="M2" s="280"/>
    </row>
    <row r="3" spans="1:14" ht="15" customHeight="1">
      <c r="A3" s="280" t="s">
        <v>194</v>
      </c>
      <c r="B3" s="280"/>
      <c r="C3" s="280"/>
      <c r="D3" s="280"/>
      <c r="E3" s="280"/>
      <c r="F3" s="280"/>
      <c r="G3" s="280"/>
      <c r="H3" s="280"/>
      <c r="I3" s="280"/>
      <c r="J3" s="280"/>
      <c r="K3" s="280"/>
      <c r="L3" s="280"/>
      <c r="M3" s="280"/>
    </row>
    <row r="4" spans="1:14" ht="15" customHeight="1">
      <c r="A4" s="280" t="s">
        <v>195</v>
      </c>
      <c r="B4" s="280"/>
      <c r="C4" s="280"/>
      <c r="D4" s="280"/>
      <c r="E4" s="280"/>
      <c r="F4" s="280"/>
      <c r="G4" s="280"/>
      <c r="H4" s="280"/>
      <c r="I4" s="280"/>
      <c r="J4" s="280"/>
      <c r="K4" s="280"/>
      <c r="L4" s="280"/>
      <c r="M4" s="280"/>
    </row>
    <row r="5" spans="1:14">
      <c r="B5" s="164"/>
    </row>
    <row r="6" spans="1:14" ht="43.5">
      <c r="A6" s="154" t="s">
        <v>176</v>
      </c>
      <c r="B6" s="154" t="s">
        <v>8</v>
      </c>
      <c r="C6" s="154" t="s">
        <v>167</v>
      </c>
      <c r="D6" s="154" t="s">
        <v>9</v>
      </c>
      <c r="E6" s="154" t="s">
        <v>171</v>
      </c>
      <c r="F6" s="154" t="s">
        <v>10</v>
      </c>
      <c r="G6" s="154" t="s">
        <v>11</v>
      </c>
      <c r="H6" s="154" t="s">
        <v>172</v>
      </c>
      <c r="I6" s="154" t="s">
        <v>196</v>
      </c>
      <c r="J6" s="154" t="s">
        <v>12</v>
      </c>
      <c r="K6" s="154" t="s">
        <v>13</v>
      </c>
      <c r="L6" s="154" t="s">
        <v>149</v>
      </c>
      <c r="M6" s="154" t="s">
        <v>168</v>
      </c>
    </row>
    <row r="7" spans="1:14">
      <c r="A7" s="154"/>
      <c r="B7" s="167" t="s">
        <v>157</v>
      </c>
      <c r="C7" s="167" t="s">
        <v>158</v>
      </c>
      <c r="D7" s="167" t="s">
        <v>159</v>
      </c>
      <c r="E7" s="167" t="s">
        <v>160</v>
      </c>
      <c r="F7" s="177" t="s">
        <v>161</v>
      </c>
      <c r="G7" s="177" t="s">
        <v>162</v>
      </c>
      <c r="H7" s="177" t="s">
        <v>163</v>
      </c>
      <c r="I7" s="177" t="s">
        <v>163</v>
      </c>
      <c r="J7" s="177" t="s">
        <v>164</v>
      </c>
      <c r="K7" s="177" t="s">
        <v>165</v>
      </c>
      <c r="L7" s="177" t="s">
        <v>166</v>
      </c>
      <c r="M7" s="177" t="s">
        <v>192</v>
      </c>
    </row>
    <row r="8" spans="1:14">
      <c r="A8" s="155">
        <v>1</v>
      </c>
      <c r="B8" s="178" t="s">
        <v>14</v>
      </c>
      <c r="C8" s="169">
        <v>0</v>
      </c>
      <c r="D8" s="169">
        <v>0</v>
      </c>
      <c r="E8" s="170">
        <f>'WUTC 20.2'!J8</f>
        <v>0</v>
      </c>
      <c r="F8" s="170">
        <f>'WUTC 20.2'!K8</f>
        <v>30.56</v>
      </c>
      <c r="G8" s="170">
        <f>'Reconnection Charge'!F20</f>
        <v>25.648626653102745</v>
      </c>
      <c r="H8" s="181">
        <v>0</v>
      </c>
      <c r="I8" s="182">
        <f>'Page 3, 3.8.2 - Schedule 300'!G9</f>
        <v>0</v>
      </c>
      <c r="J8" s="174">
        <f>+C8*E8</f>
        <v>0</v>
      </c>
      <c r="K8" s="174">
        <f t="shared" ref="K8:K20" si="0">+D8*H8</f>
        <v>0</v>
      </c>
      <c r="L8" s="168">
        <f>IF($L$30="Yes", +C8*I8, D8*I8)</f>
        <v>0</v>
      </c>
      <c r="M8" s="205">
        <f t="shared" ref="M8:M15" si="1">+L8-J8</f>
        <v>0</v>
      </c>
    </row>
    <row r="9" spans="1:14">
      <c r="A9" s="155">
        <f t="shared" ref="A9:A28" si="2">A8+1</f>
        <v>2</v>
      </c>
      <c r="B9" s="179" t="s">
        <v>15</v>
      </c>
      <c r="C9" s="169">
        <f>'Page 3, 3.8.2 - 3-Yr. Average'!H9</f>
        <v>79.666666666666671</v>
      </c>
      <c r="D9" s="169">
        <v>70</v>
      </c>
      <c r="E9" s="170">
        <f>'WUTC 20.2'!J9</f>
        <v>75</v>
      </c>
      <c r="F9" s="170">
        <f>'WUTC 20.2'!K9</f>
        <v>283.49</v>
      </c>
      <c r="G9" s="170">
        <v>147.7894</v>
      </c>
      <c r="H9" s="182">
        <f>E9</f>
        <v>75</v>
      </c>
      <c r="I9" s="182">
        <f>'Page 3, 3.8.2 - Schedule 300'!G10</f>
        <v>75</v>
      </c>
      <c r="J9" s="174">
        <f t="shared" ref="J9:J20" si="3">+D9*E9</f>
        <v>5250</v>
      </c>
      <c r="K9" s="174">
        <f t="shared" si="0"/>
        <v>5250</v>
      </c>
      <c r="L9" s="168">
        <f>IF($L$30="Yes", +C9*I9, D9*I9)</f>
        <v>5975</v>
      </c>
      <c r="M9" s="205">
        <f>+L9-J9</f>
        <v>725</v>
      </c>
    </row>
    <row r="10" spans="1:14">
      <c r="A10" s="155">
        <f t="shared" si="2"/>
        <v>3</v>
      </c>
      <c r="B10" s="179" t="s">
        <v>16</v>
      </c>
      <c r="C10" s="169">
        <f>'Page 3, 3.8.2 - 3-Yr. Average'!H10</f>
        <v>2.3333333333333335</v>
      </c>
      <c r="D10" s="169">
        <v>7</v>
      </c>
      <c r="E10" s="170">
        <f>'WUTC 20.2'!J11</f>
        <v>175</v>
      </c>
      <c r="F10" s="170">
        <f>'WUTC 20.2'!K11</f>
        <v>336.26</v>
      </c>
      <c r="G10" s="170">
        <v>147.7894</v>
      </c>
      <c r="H10" s="182">
        <f>E10</f>
        <v>175</v>
      </c>
      <c r="I10" s="182">
        <f>'Page 3, 3.8.2 - Schedule 300'!G11</f>
        <v>175</v>
      </c>
      <c r="J10" s="174">
        <f t="shared" si="3"/>
        <v>1225</v>
      </c>
      <c r="K10" s="174">
        <f t="shared" si="0"/>
        <v>1225</v>
      </c>
      <c r="L10" s="168">
        <f t="shared" ref="L10:L20" si="4">IF($L$30="Yes", +C10*I10, D10*I10)</f>
        <v>408.33333333333337</v>
      </c>
      <c r="M10" s="205">
        <f t="shared" si="1"/>
        <v>-816.66666666666663</v>
      </c>
    </row>
    <row r="11" spans="1:14">
      <c r="A11" s="155">
        <f t="shared" si="2"/>
        <v>4</v>
      </c>
      <c r="B11" s="179" t="s">
        <v>190</v>
      </c>
      <c r="C11" s="169">
        <f>'Page 3, 3.8.2 - 3-Yr. Average'!H11</f>
        <v>1893.3333333333333</v>
      </c>
      <c r="D11" s="169">
        <v>1330</v>
      </c>
      <c r="E11" s="170">
        <f>'WUTC 20.2'!J26</f>
        <v>15</v>
      </c>
      <c r="F11" s="170">
        <f>'Reconnection Charge'!D20</f>
        <v>27.284246380301862</v>
      </c>
      <c r="G11" s="170">
        <f>'Reconnection Charge'!F20</f>
        <v>25.648626653102745</v>
      </c>
      <c r="H11" s="183">
        <v>15</v>
      </c>
      <c r="I11" s="182">
        <f>'Page 3, 3.8.2 - Schedule 300'!G12</f>
        <v>15</v>
      </c>
      <c r="J11" s="174">
        <f t="shared" si="3"/>
        <v>19950</v>
      </c>
      <c r="K11" s="174">
        <f>+D11*H11</f>
        <v>19950</v>
      </c>
      <c r="L11" s="168">
        <f t="shared" si="4"/>
        <v>28400</v>
      </c>
      <c r="M11" s="205">
        <f t="shared" si="1"/>
        <v>8450</v>
      </c>
    </row>
    <row r="12" spans="1:14">
      <c r="A12" s="155">
        <f t="shared" si="2"/>
        <v>5</v>
      </c>
      <c r="B12" s="179" t="s">
        <v>17</v>
      </c>
      <c r="C12" s="169">
        <f>'Page 3, 3.8.2 - 3-Yr. Average'!H12</f>
        <v>2315.3333333333335</v>
      </c>
      <c r="D12" s="169">
        <v>1911</v>
      </c>
      <c r="E12" s="171">
        <f>'WUTC 20.2'!J22</f>
        <v>25</v>
      </c>
      <c r="F12" s="170">
        <f>'Reconnection Charge'!D21</f>
        <v>57.185484324122314</v>
      </c>
      <c r="G12" s="170">
        <f>'Reconnection Charge'!F21</f>
        <v>52.932873033404604</v>
      </c>
      <c r="H12" s="182">
        <v>50</v>
      </c>
      <c r="I12" s="182">
        <f>'Page 3, 3.8.2 - Schedule 300'!G13</f>
        <v>34</v>
      </c>
      <c r="J12" s="174">
        <f t="shared" si="3"/>
        <v>47775</v>
      </c>
      <c r="K12" s="174">
        <f t="shared" si="0"/>
        <v>95550</v>
      </c>
      <c r="L12" s="168">
        <f t="shared" si="4"/>
        <v>78721.333333333343</v>
      </c>
      <c r="M12" s="205">
        <f t="shared" si="1"/>
        <v>30946.333333333343</v>
      </c>
    </row>
    <row r="13" spans="1:14">
      <c r="A13" s="155">
        <f t="shared" si="2"/>
        <v>6</v>
      </c>
      <c r="B13" s="179" t="s">
        <v>18</v>
      </c>
      <c r="C13" s="169">
        <f>'Page 3, 3.8.2 - 3-Yr. Average'!H13</f>
        <v>223.66666666666666</v>
      </c>
      <c r="D13" s="169">
        <v>168</v>
      </c>
      <c r="E13" s="170">
        <f>'WUTC 20.2'!J23</f>
        <v>50</v>
      </c>
      <c r="F13" s="170">
        <f>'Reconnection Charge'!E22</f>
        <v>305.12432473756473</v>
      </c>
      <c r="G13" s="170">
        <f>'Reconnection Charge'!G22</f>
        <v>173.43357070193287</v>
      </c>
      <c r="H13" s="182">
        <v>100</v>
      </c>
      <c r="I13" s="182">
        <f>'Page 3, 3.8.2 - Schedule 300'!G14</f>
        <v>91</v>
      </c>
      <c r="J13" s="174">
        <f t="shared" si="3"/>
        <v>8400</v>
      </c>
      <c r="K13" s="174">
        <f t="shared" si="0"/>
        <v>16800</v>
      </c>
      <c r="L13" s="168">
        <f t="shared" si="4"/>
        <v>20353.666666666664</v>
      </c>
      <c r="M13" s="205">
        <f t="shared" si="1"/>
        <v>11953.666666666664</v>
      </c>
    </row>
    <row r="14" spans="1:14">
      <c r="A14" s="155">
        <f t="shared" si="2"/>
        <v>7</v>
      </c>
      <c r="B14" s="179" t="s">
        <v>19</v>
      </c>
      <c r="C14" s="169">
        <f>'Page 3, 3.8.2 - 3-Yr. Average'!H14</f>
        <v>9.6666666666666661</v>
      </c>
      <c r="D14" s="169">
        <v>12</v>
      </c>
      <c r="E14" s="170">
        <f>'WUTC 20.2'!J25</f>
        <v>75</v>
      </c>
      <c r="F14" s="170">
        <f>'Reconnection Charge'!E23</f>
        <v>363.5548923254114</v>
      </c>
      <c r="G14" s="170">
        <f>'Reconnection Charge'!G23</f>
        <v>173.43357070193287</v>
      </c>
      <c r="H14" s="182">
        <v>175</v>
      </c>
      <c r="I14" s="182">
        <f>'Page 3, 3.8.2 - Schedule 300'!G15</f>
        <v>107</v>
      </c>
      <c r="J14" s="174">
        <f t="shared" si="3"/>
        <v>900</v>
      </c>
      <c r="K14" s="174">
        <f t="shared" si="0"/>
        <v>2100</v>
      </c>
      <c r="L14" s="168">
        <f t="shared" si="4"/>
        <v>1034.3333333333333</v>
      </c>
      <c r="M14" s="205">
        <f t="shared" si="1"/>
        <v>134.33333333333326</v>
      </c>
    </row>
    <row r="15" spans="1:14">
      <c r="A15" s="155">
        <f t="shared" si="2"/>
        <v>8</v>
      </c>
      <c r="B15" s="179" t="s">
        <v>20</v>
      </c>
      <c r="C15" s="169">
        <f>'Page 3, 3.8.2 - 3-Yr. Average'!H15</f>
        <v>67.333333333333329</v>
      </c>
      <c r="D15" s="169">
        <v>44</v>
      </c>
      <c r="E15" s="170">
        <f>'WUTC 20.2'!J27</f>
        <v>75</v>
      </c>
      <c r="F15" s="170">
        <f>Tampering!C11</f>
        <v>180.15242230347349</v>
      </c>
      <c r="G15" s="170"/>
      <c r="H15" s="182">
        <v>180</v>
      </c>
      <c r="I15" s="182">
        <f>'Page 3, 3.8.2 - Schedule 300'!G16</f>
        <v>180</v>
      </c>
      <c r="J15" s="174">
        <f t="shared" si="3"/>
        <v>3300</v>
      </c>
      <c r="K15" s="174">
        <f t="shared" si="0"/>
        <v>7920</v>
      </c>
      <c r="L15" s="168">
        <f t="shared" si="4"/>
        <v>12120</v>
      </c>
      <c r="M15" s="205">
        <f t="shared" si="1"/>
        <v>8820</v>
      </c>
    </row>
    <row r="16" spans="1:14">
      <c r="A16" s="155">
        <f t="shared" si="2"/>
        <v>9</v>
      </c>
      <c r="B16" s="180" t="s">
        <v>21</v>
      </c>
      <c r="C16" s="169">
        <f>'Page 3, 3.8.2 - 3-Yr. Average'!H16</f>
        <v>0</v>
      </c>
      <c r="D16" s="169">
        <v>0</v>
      </c>
      <c r="E16" s="170">
        <f>'WUTC 20.2'!J15</f>
        <v>50</v>
      </c>
      <c r="F16" s="170">
        <f>'WUTC 20.2'!K15</f>
        <v>102.94</v>
      </c>
      <c r="G16" s="170"/>
      <c r="H16" s="182">
        <f>E16</f>
        <v>50</v>
      </c>
      <c r="I16" s="182">
        <f>'Page 3, 3.8.2 - Schedule 300'!G17</f>
        <v>50</v>
      </c>
      <c r="J16" s="174">
        <f t="shared" si="3"/>
        <v>0</v>
      </c>
      <c r="K16" s="174">
        <f t="shared" si="0"/>
        <v>0</v>
      </c>
      <c r="L16" s="168">
        <f t="shared" si="4"/>
        <v>0</v>
      </c>
      <c r="M16" s="205">
        <f t="shared" ref="M16:M22" si="5">+L16-J16</f>
        <v>0</v>
      </c>
    </row>
    <row r="17" spans="1:19">
      <c r="A17" s="155">
        <f>A16+1</f>
        <v>10</v>
      </c>
      <c r="B17" s="180" t="s">
        <v>22</v>
      </c>
      <c r="C17" s="169">
        <f>'Page 3, 3.8.2 - 3-Yr. Average'!H17</f>
        <v>0</v>
      </c>
      <c r="D17" s="169">
        <v>0</v>
      </c>
      <c r="E17" s="170">
        <v>20</v>
      </c>
      <c r="F17" s="170">
        <v>37.058399999999999</v>
      </c>
      <c r="G17" s="170"/>
      <c r="H17" s="182">
        <f>E17</f>
        <v>20</v>
      </c>
      <c r="I17" s="182">
        <f>'Page 3, 3.8.2 - Schedule 300'!G18</f>
        <v>20</v>
      </c>
      <c r="J17" s="174">
        <f t="shared" si="3"/>
        <v>0</v>
      </c>
      <c r="K17" s="174">
        <f t="shared" si="0"/>
        <v>0</v>
      </c>
      <c r="L17" s="168">
        <f t="shared" si="4"/>
        <v>0</v>
      </c>
      <c r="M17" s="205">
        <f t="shared" si="5"/>
        <v>0</v>
      </c>
    </row>
    <row r="18" spans="1:19">
      <c r="A18" s="155">
        <f>A17+1</f>
        <v>11</v>
      </c>
      <c r="B18" s="180" t="s">
        <v>33</v>
      </c>
      <c r="C18" s="169">
        <f>'Page 3, 3.8.2 - 3-Yr. Average'!H18</f>
        <v>2981.3333333333335</v>
      </c>
      <c r="D18" s="169">
        <v>3030</v>
      </c>
      <c r="E18" s="170">
        <f>'WUTC 20.2'!J18</f>
        <v>20</v>
      </c>
      <c r="F18" s="170">
        <v>25</v>
      </c>
      <c r="G18" s="170"/>
      <c r="H18" s="182">
        <f t="shared" ref="H18:H20" si="6">E18</f>
        <v>20</v>
      </c>
      <c r="I18" s="182">
        <f>'Page 3, 3.8.2 - Schedule 300'!G19</f>
        <v>20</v>
      </c>
      <c r="J18" s="174">
        <f t="shared" si="3"/>
        <v>60600</v>
      </c>
      <c r="K18" s="174">
        <f t="shared" si="0"/>
        <v>60600</v>
      </c>
      <c r="L18" s="168">
        <f t="shared" si="4"/>
        <v>59626.666666666672</v>
      </c>
      <c r="M18" s="205">
        <f>+L18-J18</f>
        <v>-973.33333333332848</v>
      </c>
    </row>
    <row r="19" spans="1:19">
      <c r="A19" s="155">
        <f t="shared" si="2"/>
        <v>12</v>
      </c>
      <c r="B19" s="180" t="s">
        <v>34</v>
      </c>
      <c r="C19" s="169">
        <f>'Page 3, 3.8.2 - 3-Yr. Average'!H19</f>
        <v>227</v>
      </c>
      <c r="D19" s="169">
        <v>178</v>
      </c>
      <c r="E19" s="170">
        <f>'WUTC 20.2'!J36</f>
        <v>85</v>
      </c>
      <c r="F19" s="170">
        <v>95</v>
      </c>
      <c r="G19" s="170"/>
      <c r="H19" s="182">
        <f t="shared" si="6"/>
        <v>85</v>
      </c>
      <c r="I19" s="182">
        <f>'Page 3, 3.8.2 - Schedule 300'!G20</f>
        <v>85</v>
      </c>
      <c r="J19" s="174">
        <f t="shared" si="3"/>
        <v>15130</v>
      </c>
      <c r="K19" s="174">
        <f t="shared" si="0"/>
        <v>15130</v>
      </c>
      <c r="L19" s="168">
        <f t="shared" si="4"/>
        <v>19295</v>
      </c>
      <c r="M19" s="205">
        <f>+L19-J19</f>
        <v>4165</v>
      </c>
      <c r="S19" s="173"/>
    </row>
    <row r="20" spans="1:19">
      <c r="A20" s="155">
        <f>A19+1</f>
        <v>13</v>
      </c>
      <c r="B20" s="180" t="s">
        <v>35</v>
      </c>
      <c r="C20" s="169">
        <f>'Page 3, 3.8.2 - 3-Yr. Average'!H20</f>
        <v>2</v>
      </c>
      <c r="D20" s="169">
        <v>2</v>
      </c>
      <c r="E20" s="170">
        <f>'WUTC 20.2'!J37</f>
        <v>115</v>
      </c>
      <c r="F20" s="170">
        <v>180</v>
      </c>
      <c r="G20" s="170"/>
      <c r="H20" s="182">
        <f t="shared" si="6"/>
        <v>115</v>
      </c>
      <c r="I20" s="182">
        <f>'Page 3, 3.8.2 - Schedule 300'!G21</f>
        <v>115</v>
      </c>
      <c r="J20" s="174">
        <f t="shared" si="3"/>
        <v>230</v>
      </c>
      <c r="K20" s="174">
        <f t="shared" si="0"/>
        <v>230</v>
      </c>
      <c r="L20" s="168">
        <f t="shared" si="4"/>
        <v>230</v>
      </c>
      <c r="M20" s="205">
        <f t="shared" si="5"/>
        <v>0</v>
      </c>
    </row>
    <row r="21" spans="1:19" ht="45">
      <c r="A21" s="155">
        <f t="shared" si="2"/>
        <v>14</v>
      </c>
      <c r="B21" s="179" t="s">
        <v>169</v>
      </c>
      <c r="C21" s="172">
        <v>0</v>
      </c>
      <c r="D21" s="172">
        <v>0</v>
      </c>
      <c r="E21" s="170">
        <f>'WUTC 20.2'!J29</f>
        <v>200</v>
      </c>
      <c r="F21" s="170"/>
      <c r="G21" s="170"/>
      <c r="H21" s="201" t="s">
        <v>23</v>
      </c>
      <c r="I21" s="201" t="s">
        <v>204</v>
      </c>
      <c r="J21" s="174">
        <f>+C21*E21</f>
        <v>0</v>
      </c>
      <c r="K21" s="174">
        <v>0</v>
      </c>
      <c r="L21" s="168">
        <f>+C21*F21</f>
        <v>0</v>
      </c>
      <c r="M21" s="205">
        <f t="shared" si="5"/>
        <v>0</v>
      </c>
    </row>
    <row r="22" spans="1:19" ht="45">
      <c r="A22" s="155">
        <f t="shared" si="2"/>
        <v>15</v>
      </c>
      <c r="B22" s="196" t="s">
        <v>170</v>
      </c>
      <c r="C22" s="197">
        <v>0</v>
      </c>
      <c r="D22" s="197">
        <v>0</v>
      </c>
      <c r="E22" s="198">
        <f>'WUTC 20.2'!J30</f>
        <v>400</v>
      </c>
      <c r="F22" s="198"/>
      <c r="G22" s="198"/>
      <c r="H22" s="202" t="s">
        <v>23</v>
      </c>
      <c r="I22" s="202" t="s">
        <v>204</v>
      </c>
      <c r="J22" s="184">
        <f>+C22*E22</f>
        <v>0</v>
      </c>
      <c r="K22" s="185">
        <v>0</v>
      </c>
      <c r="L22" s="186">
        <f>+C22*F22</f>
        <v>0</v>
      </c>
      <c r="M22" s="206">
        <f t="shared" si="5"/>
        <v>0</v>
      </c>
    </row>
    <row r="23" spans="1:19" ht="15.75" thickBot="1">
      <c r="A23" s="155">
        <f t="shared" si="2"/>
        <v>16</v>
      </c>
      <c r="B23" s="195" t="s">
        <v>193</v>
      </c>
      <c r="C23" s="173"/>
      <c r="D23" s="175"/>
      <c r="E23" s="173"/>
      <c r="F23" s="173"/>
      <c r="G23" s="173"/>
      <c r="H23" s="173"/>
      <c r="I23" s="173"/>
      <c r="L23" s="164"/>
      <c r="M23" s="207">
        <f>SUM(M8:M22)</f>
        <v>63404.33333333335</v>
      </c>
    </row>
    <row r="24" spans="1:19" ht="15.75" thickTop="1">
      <c r="A24" s="155">
        <f t="shared" si="2"/>
        <v>17</v>
      </c>
      <c r="D24" s="165"/>
      <c r="J24" s="176"/>
      <c r="K24" s="176"/>
      <c r="L24" s="176"/>
    </row>
    <row r="25" spans="1:19">
      <c r="A25" s="155">
        <f t="shared" si="2"/>
        <v>18</v>
      </c>
      <c r="B25" s="199"/>
    </row>
    <row r="26" spans="1:19">
      <c r="A26" s="155">
        <f t="shared" si="2"/>
        <v>19</v>
      </c>
      <c r="B26" s="200"/>
    </row>
    <row r="27" spans="1:19">
      <c r="A27" s="155">
        <f t="shared" si="2"/>
        <v>20</v>
      </c>
      <c r="B27" s="158" t="s">
        <v>189</v>
      </c>
      <c r="C27" s="158"/>
      <c r="D27" s="158"/>
      <c r="E27" s="158"/>
      <c r="F27" s="158"/>
      <c r="G27" s="158"/>
      <c r="H27" s="158"/>
      <c r="I27" s="158"/>
      <c r="J27" s="158"/>
    </row>
    <row r="28" spans="1:19">
      <c r="A28" s="155">
        <f t="shared" si="2"/>
        <v>21</v>
      </c>
    </row>
    <row r="29" spans="1:19" hidden="1"/>
    <row r="30" spans="1:19" hidden="1">
      <c r="I30" s="253">
        <f>1/3</f>
        <v>0.33333333333333331</v>
      </c>
      <c r="L30" s="163" t="s">
        <v>197</v>
      </c>
    </row>
    <row r="38" ht="11.25" customHeight="1"/>
    <row r="50" spans="2:2">
      <c r="B50" s="166"/>
    </row>
  </sheetData>
  <mergeCells count="4">
    <mergeCell ref="A3:M3"/>
    <mergeCell ref="A4:M4"/>
    <mergeCell ref="A1:M1"/>
    <mergeCell ref="A2:M2"/>
  </mergeCells>
  <dataValidations count="1">
    <dataValidation type="list" allowBlank="1" showInputMessage="1" showErrorMessage="1" sqref="L30">
      <formula1>"Yes, No"</formula1>
    </dataValidation>
  </dataValidations>
  <pageMargins left="1" right="0.5" top="1" bottom="1" header="0.5" footer="0.5"/>
  <pageSetup scale="75" fitToHeight="0" orientation="landscape" r:id="rId1"/>
  <headerFooter>
    <oddFooter>&amp;LTestimony of Christopher T. Mickelson
Docket UE-130043&amp;RExhibit No. ___ (CTM-2)
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5"/>
  <sheetViews>
    <sheetView view="pageBreakPreview" topLeftCell="B1" zoomScaleNormal="90" zoomScaleSheetLayoutView="100" workbookViewId="0">
      <selection activeCell="B38" sqref="B38"/>
    </sheetView>
  </sheetViews>
  <sheetFormatPr defaultRowHeight="15"/>
  <cols>
    <col min="1" max="1" width="6.7109375" style="163" customWidth="1"/>
    <col min="2" max="2" width="29.85546875" style="163" bestFit="1" customWidth="1"/>
    <col min="3" max="3" width="8.5703125" style="163" bestFit="1" customWidth="1"/>
    <col min="4" max="4" width="13.85546875" style="163" customWidth="1"/>
    <col min="5" max="5" width="18.5703125" style="163" bestFit="1" customWidth="1"/>
    <col min="6" max="6" width="26.7109375" style="163" customWidth="1"/>
    <col min="7" max="7" width="18.5703125" style="163" bestFit="1" customWidth="1"/>
    <col min="8" max="16384" width="9.140625" style="163"/>
  </cols>
  <sheetData>
    <row r="1" spans="1:10" ht="15" customHeight="1">
      <c r="A1" s="280" t="s">
        <v>151</v>
      </c>
      <c r="B1" s="280"/>
      <c r="C1" s="280"/>
      <c r="D1" s="280"/>
      <c r="E1" s="280"/>
      <c r="F1" s="280"/>
      <c r="G1" s="280"/>
    </row>
    <row r="2" spans="1:10" ht="15" customHeight="1">
      <c r="A2" s="280" t="s">
        <v>198</v>
      </c>
      <c r="B2" s="280"/>
      <c r="C2" s="280"/>
      <c r="D2" s="280"/>
      <c r="E2" s="280"/>
      <c r="F2" s="280"/>
      <c r="G2" s="280"/>
    </row>
    <row r="3" spans="1:10" ht="15" customHeight="1">
      <c r="A3" s="280" t="s">
        <v>194</v>
      </c>
      <c r="B3" s="280"/>
      <c r="C3" s="280"/>
      <c r="D3" s="280"/>
      <c r="E3" s="280"/>
      <c r="F3" s="280"/>
      <c r="G3" s="280"/>
    </row>
    <row r="4" spans="1:10" ht="15" customHeight="1">
      <c r="A4" s="280" t="s">
        <v>195</v>
      </c>
      <c r="B4" s="280"/>
      <c r="C4" s="280"/>
      <c r="D4" s="280"/>
      <c r="E4" s="280"/>
      <c r="F4" s="280"/>
      <c r="G4" s="280"/>
    </row>
    <row r="5" spans="1:10">
      <c r="B5" s="164"/>
    </row>
    <row r="6" spans="1:10" ht="43.5">
      <c r="A6" s="154" t="s">
        <v>176</v>
      </c>
      <c r="B6" s="154" t="s">
        <v>8</v>
      </c>
      <c r="C6" s="154" t="s">
        <v>171</v>
      </c>
      <c r="D6" s="154" t="s">
        <v>199</v>
      </c>
      <c r="E6" s="154" t="s">
        <v>172</v>
      </c>
      <c r="F6" s="154" t="s">
        <v>202</v>
      </c>
      <c r="G6" s="154" t="s">
        <v>196</v>
      </c>
    </row>
    <row r="7" spans="1:10">
      <c r="A7" s="154"/>
      <c r="B7" s="167" t="s">
        <v>157</v>
      </c>
      <c r="C7" s="167" t="s">
        <v>158</v>
      </c>
      <c r="D7" s="167" t="s">
        <v>159</v>
      </c>
      <c r="E7" s="167" t="s">
        <v>160</v>
      </c>
      <c r="F7" s="177" t="s">
        <v>201</v>
      </c>
      <c r="G7" s="177" t="s">
        <v>200</v>
      </c>
    </row>
    <row r="8" spans="1:10">
      <c r="A8" s="256">
        <v>1</v>
      </c>
      <c r="B8" s="254"/>
      <c r="C8" s="254"/>
      <c r="D8" s="255"/>
      <c r="E8" s="255"/>
      <c r="F8" s="260">
        <f>1/3</f>
        <v>0.33333333333333331</v>
      </c>
      <c r="G8" s="255"/>
    </row>
    <row r="9" spans="1:10">
      <c r="A9" s="256">
        <f>A8+1</f>
        <v>2</v>
      </c>
      <c r="B9" s="257" t="s">
        <v>14</v>
      </c>
      <c r="C9" s="170">
        <f>'WUTC 20.2'!J8</f>
        <v>0</v>
      </c>
      <c r="D9" s="170">
        <f>'Reconnection Charge'!F20</f>
        <v>25.648626653102745</v>
      </c>
      <c r="E9" s="170">
        <v>0</v>
      </c>
      <c r="F9" s="259">
        <f>IF(E9=C9,0,ROUNDDOWN(((D9-C9)*$F$8), 0))</f>
        <v>0</v>
      </c>
      <c r="G9" s="259">
        <f>F9+C9</f>
        <v>0</v>
      </c>
    </row>
    <row r="10" spans="1:10">
      <c r="A10" s="256">
        <f>A9+1</f>
        <v>3</v>
      </c>
      <c r="B10" s="257" t="s">
        <v>15</v>
      </c>
      <c r="C10" s="170">
        <f>'WUTC 20.2'!J9</f>
        <v>75</v>
      </c>
      <c r="D10" s="170">
        <v>147.7894</v>
      </c>
      <c r="E10" s="170">
        <f>C10</f>
        <v>75</v>
      </c>
      <c r="F10" s="259">
        <f>IF(E10=C10,0,ROUNDDOWN(((D10-C10)*$F$8), 0))</f>
        <v>0</v>
      </c>
      <c r="G10" s="259">
        <f t="shared" ref="G10:G21" si="0">F10+C10</f>
        <v>75</v>
      </c>
    </row>
    <row r="11" spans="1:10">
      <c r="A11" s="256">
        <f t="shared" ref="A11:A24" si="1">A10+1</f>
        <v>4</v>
      </c>
      <c r="B11" s="257" t="s">
        <v>16</v>
      </c>
      <c r="C11" s="170">
        <f>'WUTC 20.2'!J11</f>
        <v>175</v>
      </c>
      <c r="D11" s="170">
        <v>147.7894</v>
      </c>
      <c r="E11" s="170">
        <f>C11</f>
        <v>175</v>
      </c>
      <c r="F11" s="259">
        <f t="shared" ref="F11:F21" si="2">IF(E11=C11,0,ROUNDDOWN(((D11-C11)*$F$8), 0))</f>
        <v>0</v>
      </c>
      <c r="G11" s="259">
        <f t="shared" si="0"/>
        <v>175</v>
      </c>
    </row>
    <row r="12" spans="1:10">
      <c r="A12" s="256">
        <f t="shared" si="1"/>
        <v>5</v>
      </c>
      <c r="B12" s="257" t="s">
        <v>190</v>
      </c>
      <c r="C12" s="170">
        <f>'WUTC 20.2'!J26</f>
        <v>15</v>
      </c>
      <c r="D12" s="170">
        <f>'Reconnection Charge'!F20</f>
        <v>25.648626653102745</v>
      </c>
      <c r="E12" s="171">
        <v>15</v>
      </c>
      <c r="F12" s="259">
        <f t="shared" si="2"/>
        <v>0</v>
      </c>
      <c r="G12" s="259">
        <f t="shared" si="0"/>
        <v>15</v>
      </c>
    </row>
    <row r="13" spans="1:10">
      <c r="A13" s="256">
        <f t="shared" si="1"/>
        <v>6</v>
      </c>
      <c r="B13" s="257" t="s">
        <v>17</v>
      </c>
      <c r="C13" s="171">
        <f>'WUTC 20.2'!J22</f>
        <v>25</v>
      </c>
      <c r="D13" s="170">
        <f>'Reconnection Charge'!F21</f>
        <v>52.932873033404604</v>
      </c>
      <c r="E13" s="170">
        <v>50</v>
      </c>
      <c r="F13" s="259">
        <f t="shared" si="2"/>
        <v>9</v>
      </c>
      <c r="G13" s="259">
        <f t="shared" si="0"/>
        <v>34</v>
      </c>
      <c r="J13" s="259"/>
    </row>
    <row r="14" spans="1:10">
      <c r="A14" s="256">
        <f t="shared" si="1"/>
        <v>7</v>
      </c>
      <c r="B14" s="257" t="s">
        <v>18</v>
      </c>
      <c r="C14" s="170">
        <f>'WUTC 20.2'!J23</f>
        <v>50</v>
      </c>
      <c r="D14" s="170">
        <f>'Reconnection Charge'!G22</f>
        <v>173.43357070193287</v>
      </c>
      <c r="E14" s="170">
        <v>100</v>
      </c>
      <c r="F14" s="259">
        <f t="shared" si="2"/>
        <v>41</v>
      </c>
      <c r="G14" s="259">
        <f t="shared" si="0"/>
        <v>91</v>
      </c>
    </row>
    <row r="15" spans="1:10">
      <c r="A15" s="256">
        <f t="shared" si="1"/>
        <v>8</v>
      </c>
      <c r="B15" s="257" t="s">
        <v>19</v>
      </c>
      <c r="C15" s="170">
        <f>'WUTC 20.2'!J25</f>
        <v>75</v>
      </c>
      <c r="D15" s="170">
        <f>'Reconnection Charge'!G23</f>
        <v>173.43357070193287</v>
      </c>
      <c r="E15" s="170">
        <v>175</v>
      </c>
      <c r="F15" s="259">
        <f t="shared" si="2"/>
        <v>32</v>
      </c>
      <c r="G15" s="259">
        <f t="shared" si="0"/>
        <v>107</v>
      </c>
    </row>
    <row r="16" spans="1:10">
      <c r="A16" s="256">
        <f t="shared" si="1"/>
        <v>9</v>
      </c>
      <c r="B16" s="257" t="s">
        <v>20</v>
      </c>
      <c r="C16" s="170">
        <f>'WUTC 20.2'!J27</f>
        <v>75</v>
      </c>
      <c r="D16" s="170">
        <f>'Page 2, 3.8.1 - Schedule 300'!F15</f>
        <v>180.15242230347349</v>
      </c>
      <c r="E16" s="170">
        <v>180</v>
      </c>
      <c r="F16" s="259">
        <f>IF(E16=C16,0,ROUNDDOWN(((D16-C16)), 0))</f>
        <v>105</v>
      </c>
      <c r="G16" s="259">
        <f t="shared" si="0"/>
        <v>180</v>
      </c>
    </row>
    <row r="17" spans="1:8">
      <c r="A17" s="256">
        <f t="shared" si="1"/>
        <v>10</v>
      </c>
      <c r="B17" s="258" t="s">
        <v>21</v>
      </c>
      <c r="C17" s="170">
        <f>'WUTC 20.2'!J15</f>
        <v>50</v>
      </c>
      <c r="D17" s="170"/>
      <c r="E17" s="170">
        <f>C17</f>
        <v>50</v>
      </c>
      <c r="F17" s="259">
        <f t="shared" si="2"/>
        <v>0</v>
      </c>
      <c r="G17" s="259">
        <f t="shared" si="0"/>
        <v>50</v>
      </c>
    </row>
    <row r="18" spans="1:8">
      <c r="A18" s="256">
        <f t="shared" si="1"/>
        <v>11</v>
      </c>
      <c r="B18" s="258" t="s">
        <v>22</v>
      </c>
      <c r="C18" s="170">
        <v>20</v>
      </c>
      <c r="D18" s="170"/>
      <c r="E18" s="170">
        <f>C18</f>
        <v>20</v>
      </c>
      <c r="F18" s="259">
        <f t="shared" si="2"/>
        <v>0</v>
      </c>
      <c r="G18" s="259">
        <f t="shared" si="0"/>
        <v>20</v>
      </c>
    </row>
    <row r="19" spans="1:8">
      <c r="A19" s="256">
        <f t="shared" si="1"/>
        <v>12</v>
      </c>
      <c r="B19" s="258" t="s">
        <v>33</v>
      </c>
      <c r="C19" s="170">
        <f>'WUTC 20.2'!J18</f>
        <v>20</v>
      </c>
      <c r="D19" s="170"/>
      <c r="E19" s="170">
        <f t="shared" ref="E19:E21" si="3">C19</f>
        <v>20</v>
      </c>
      <c r="F19" s="259">
        <f t="shared" si="2"/>
        <v>0</v>
      </c>
      <c r="G19" s="259">
        <f t="shared" si="0"/>
        <v>20</v>
      </c>
    </row>
    <row r="20" spans="1:8">
      <c r="A20" s="256">
        <f t="shared" si="1"/>
        <v>13</v>
      </c>
      <c r="B20" s="258" t="s">
        <v>34</v>
      </c>
      <c r="C20" s="170">
        <f>'WUTC 20.2'!J36</f>
        <v>85</v>
      </c>
      <c r="D20" s="170"/>
      <c r="E20" s="170">
        <f t="shared" si="3"/>
        <v>85</v>
      </c>
      <c r="F20" s="259">
        <f t="shared" si="2"/>
        <v>0</v>
      </c>
      <c r="G20" s="259">
        <f t="shared" si="0"/>
        <v>85</v>
      </c>
      <c r="H20" s="173"/>
    </row>
    <row r="21" spans="1:8">
      <c r="A21" s="256">
        <f t="shared" si="1"/>
        <v>14</v>
      </c>
      <c r="B21" s="258" t="s">
        <v>35</v>
      </c>
      <c r="C21" s="170">
        <f>'WUTC 20.2'!J37</f>
        <v>115</v>
      </c>
      <c r="D21" s="170"/>
      <c r="E21" s="170">
        <f t="shared" si="3"/>
        <v>115</v>
      </c>
      <c r="F21" s="259">
        <f t="shared" si="2"/>
        <v>0</v>
      </c>
      <c r="G21" s="259">
        <f t="shared" si="0"/>
        <v>115</v>
      </c>
    </row>
    <row r="22" spans="1:8">
      <c r="A22" s="256">
        <f t="shared" si="1"/>
        <v>15</v>
      </c>
      <c r="B22" s="200"/>
    </row>
    <row r="23" spans="1:8" ht="15" customHeight="1">
      <c r="A23" s="256">
        <f t="shared" si="1"/>
        <v>16</v>
      </c>
      <c r="B23" s="281" t="s">
        <v>189</v>
      </c>
      <c r="C23" s="281"/>
      <c r="D23" s="281"/>
      <c r="E23" s="281"/>
      <c r="F23" s="281"/>
      <c r="G23" s="281"/>
    </row>
    <row r="24" spans="1:8">
      <c r="A24" s="256">
        <f t="shared" si="1"/>
        <v>17</v>
      </c>
      <c r="B24" s="281"/>
      <c r="C24" s="281"/>
      <c r="D24" s="281"/>
      <c r="E24" s="281"/>
      <c r="F24" s="281"/>
      <c r="G24" s="281"/>
    </row>
    <row r="33" spans="2:2" ht="11.25" customHeight="1"/>
    <row r="45" spans="2:2">
      <c r="B45" s="166"/>
    </row>
  </sheetData>
  <mergeCells count="5">
    <mergeCell ref="A1:G1"/>
    <mergeCell ref="A2:G2"/>
    <mergeCell ref="A3:G3"/>
    <mergeCell ref="A4:G4"/>
    <mergeCell ref="B23:G24"/>
  </mergeCells>
  <pageMargins left="1" right="0.5" top="1" bottom="1" header="0.5" footer="0.5"/>
  <pageSetup scale="98" fitToHeight="0" orientation="landscape" r:id="rId1"/>
  <headerFooter>
    <oddFooter>&amp;LTestimony of Christopher T. Mickelson
Docket UE-130043&amp;RExhibit No. ___ (CTM-2)
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zoomScalePageLayoutView="80" workbookViewId="0">
      <selection activeCell="A5" sqref="A5"/>
    </sheetView>
  </sheetViews>
  <sheetFormatPr defaultColWidth="3.140625" defaultRowHeight="15"/>
  <cols>
    <col min="1" max="1" width="5.28515625" style="159" bestFit="1" customWidth="1"/>
    <col min="2" max="2" width="72.7109375" style="159" bestFit="1" customWidth="1"/>
    <col min="3" max="3" width="12.42578125" style="162" bestFit="1" customWidth="1"/>
    <col min="4" max="7" width="12.42578125" style="159" bestFit="1" customWidth="1"/>
    <col min="8" max="8" width="9" style="159" bestFit="1" customWidth="1"/>
    <col min="9" max="9" width="13.140625" style="159" bestFit="1" customWidth="1"/>
    <col min="10" max="16384" width="3.140625" style="159"/>
  </cols>
  <sheetData>
    <row r="1" spans="1:9">
      <c r="A1" s="280" t="s">
        <v>151</v>
      </c>
      <c r="B1" s="280"/>
      <c r="C1" s="280"/>
      <c r="D1" s="280"/>
      <c r="E1" s="280"/>
      <c r="F1" s="280"/>
      <c r="G1" s="280"/>
      <c r="H1" s="280"/>
      <c r="I1" s="280"/>
    </row>
    <row r="2" spans="1:9">
      <c r="A2" s="280" t="s">
        <v>173</v>
      </c>
      <c r="B2" s="280"/>
      <c r="C2" s="280"/>
      <c r="D2" s="280"/>
      <c r="E2" s="280"/>
      <c r="F2" s="280"/>
      <c r="G2" s="280"/>
      <c r="H2" s="280"/>
      <c r="I2" s="280"/>
    </row>
    <row r="3" spans="1:9">
      <c r="A3" s="280" t="s">
        <v>194</v>
      </c>
      <c r="B3" s="280"/>
      <c r="C3" s="280"/>
      <c r="D3" s="280"/>
      <c r="E3" s="280"/>
      <c r="F3" s="280"/>
      <c r="G3" s="280"/>
      <c r="H3" s="280"/>
      <c r="I3" s="280"/>
    </row>
    <row r="4" spans="1:9">
      <c r="A4" s="280" t="s">
        <v>195</v>
      </c>
      <c r="B4" s="280"/>
      <c r="C4" s="280"/>
      <c r="D4" s="280"/>
      <c r="E4" s="280"/>
      <c r="F4" s="280"/>
      <c r="G4" s="280"/>
      <c r="H4" s="280"/>
      <c r="I4" s="280"/>
    </row>
    <row r="5" spans="1:9">
      <c r="A5" s="152"/>
      <c r="B5" s="152"/>
      <c r="C5" s="152"/>
      <c r="D5" s="152"/>
      <c r="E5" s="152"/>
      <c r="F5" s="152"/>
      <c r="G5" s="152"/>
      <c r="H5" s="152"/>
      <c r="I5" s="152"/>
    </row>
    <row r="6" spans="1:9" s="160" customFormat="1" ht="14.25">
      <c r="A6" s="152"/>
      <c r="C6" s="283" t="s">
        <v>27</v>
      </c>
      <c r="D6" s="283"/>
      <c r="E6" s="283"/>
      <c r="F6" s="283"/>
      <c r="G6" s="283"/>
      <c r="H6" s="283"/>
      <c r="I6" s="283"/>
    </row>
    <row r="7" spans="1:9" s="160" customFormat="1" ht="28.5">
      <c r="A7" s="157" t="s">
        <v>176</v>
      </c>
      <c r="B7" s="157" t="s">
        <v>188</v>
      </c>
      <c r="C7" s="157" t="s">
        <v>26</v>
      </c>
      <c r="D7" s="157" t="s">
        <v>28</v>
      </c>
      <c r="E7" s="157" t="s">
        <v>29</v>
      </c>
      <c r="F7" s="157" t="s">
        <v>30</v>
      </c>
      <c r="G7" s="157" t="s">
        <v>31</v>
      </c>
      <c r="H7" s="157" t="s">
        <v>175</v>
      </c>
      <c r="I7" s="157" t="s">
        <v>32</v>
      </c>
    </row>
    <row r="8" spans="1:9" s="161" customFormat="1">
      <c r="A8" s="154"/>
      <c r="B8" s="167" t="s">
        <v>157</v>
      </c>
      <c r="C8" s="167" t="s">
        <v>158</v>
      </c>
      <c r="D8" s="167" t="s">
        <v>159</v>
      </c>
      <c r="E8" s="167" t="s">
        <v>160</v>
      </c>
      <c r="F8" s="177" t="s">
        <v>161</v>
      </c>
      <c r="G8" s="177" t="s">
        <v>162</v>
      </c>
      <c r="H8" s="177" t="s">
        <v>163</v>
      </c>
      <c r="I8" s="177" t="s">
        <v>191</v>
      </c>
    </row>
    <row r="9" spans="1:9">
      <c r="A9" s="156">
        <v>1</v>
      </c>
      <c r="B9" s="189" t="s">
        <v>179</v>
      </c>
      <c r="C9" s="187">
        <v>70</v>
      </c>
      <c r="D9" s="188">
        <v>48</v>
      </c>
      <c r="E9" s="187">
        <v>70</v>
      </c>
      <c r="F9" s="187">
        <v>99</v>
      </c>
      <c r="G9" s="191">
        <v>174</v>
      </c>
      <c r="H9" s="203">
        <f>AVERAGE(C9,E9:F9)</f>
        <v>79.666666666666671</v>
      </c>
      <c r="I9" s="187">
        <f t="shared" ref="I9:I20" si="0">H9-C9</f>
        <v>9.6666666666666714</v>
      </c>
    </row>
    <row r="10" spans="1:9">
      <c r="A10" s="156">
        <f>A9+1</f>
        <v>2</v>
      </c>
      <c r="B10" s="190" t="s">
        <v>180</v>
      </c>
      <c r="C10" s="187">
        <v>7</v>
      </c>
      <c r="D10" s="188">
        <v>7</v>
      </c>
      <c r="E10" s="187">
        <v>0</v>
      </c>
      <c r="F10" s="187">
        <v>0</v>
      </c>
      <c r="G10" s="192">
        <v>0</v>
      </c>
      <c r="H10" s="204">
        <f>AVERAGE(C10,E10:F10)</f>
        <v>2.3333333333333335</v>
      </c>
      <c r="I10" s="187">
        <f t="shared" si="0"/>
        <v>-4.6666666666666661</v>
      </c>
    </row>
    <row r="11" spans="1:9">
      <c r="A11" s="156">
        <f t="shared" ref="A11:A24" si="1">A10+1</f>
        <v>3</v>
      </c>
      <c r="B11" s="190" t="s">
        <v>103</v>
      </c>
      <c r="C11" s="187">
        <v>1330</v>
      </c>
      <c r="D11" s="187">
        <v>1808</v>
      </c>
      <c r="E11" s="188">
        <v>952</v>
      </c>
      <c r="F11" s="188">
        <v>2930</v>
      </c>
      <c r="G11" s="193">
        <v>2542</v>
      </c>
      <c r="H11" s="204">
        <f>AVERAGE(C11:D11,G11)</f>
        <v>1893.3333333333333</v>
      </c>
      <c r="I11" s="187">
        <f t="shared" si="0"/>
        <v>563.33333333333326</v>
      </c>
    </row>
    <row r="12" spans="1:9">
      <c r="A12" s="156">
        <f t="shared" si="1"/>
        <v>4</v>
      </c>
      <c r="B12" s="190" t="s">
        <v>181</v>
      </c>
      <c r="C12" s="187">
        <v>1911</v>
      </c>
      <c r="D12" s="188">
        <v>1362</v>
      </c>
      <c r="E12" s="187">
        <v>1520</v>
      </c>
      <c r="F12" s="188">
        <v>3843</v>
      </c>
      <c r="G12" s="193">
        <v>3515</v>
      </c>
      <c r="H12" s="204">
        <f>AVERAGE(G12,E12,C12)</f>
        <v>2315.3333333333335</v>
      </c>
      <c r="I12" s="187">
        <f t="shared" si="0"/>
        <v>404.33333333333348</v>
      </c>
    </row>
    <row r="13" spans="1:9">
      <c r="A13" s="156">
        <f t="shared" si="1"/>
        <v>5</v>
      </c>
      <c r="B13" s="190" t="s">
        <v>182</v>
      </c>
      <c r="C13" s="187">
        <v>168</v>
      </c>
      <c r="D13" s="188">
        <v>103</v>
      </c>
      <c r="E13" s="187">
        <v>110</v>
      </c>
      <c r="F13" s="188">
        <v>447</v>
      </c>
      <c r="G13" s="193">
        <v>393</v>
      </c>
      <c r="H13" s="204">
        <f>AVERAGE(G13,E13,C13)</f>
        <v>223.66666666666666</v>
      </c>
      <c r="I13" s="187">
        <f t="shared" si="0"/>
        <v>55.666666666666657</v>
      </c>
    </row>
    <row r="14" spans="1:9">
      <c r="A14" s="156">
        <f t="shared" si="1"/>
        <v>6</v>
      </c>
      <c r="B14" s="190" t="s">
        <v>183</v>
      </c>
      <c r="C14" s="188">
        <v>12</v>
      </c>
      <c r="D14" s="187">
        <v>7</v>
      </c>
      <c r="E14" s="187">
        <v>11</v>
      </c>
      <c r="F14" s="187">
        <v>11</v>
      </c>
      <c r="G14" s="192">
        <v>0</v>
      </c>
      <c r="H14" s="204">
        <f>AVERAGE(D14:F14)</f>
        <v>9.6666666666666661</v>
      </c>
      <c r="I14" s="187">
        <f t="shared" si="0"/>
        <v>-2.3333333333333339</v>
      </c>
    </row>
    <row r="15" spans="1:9">
      <c r="A15" s="156">
        <f t="shared" si="1"/>
        <v>7</v>
      </c>
      <c r="B15" s="190" t="s">
        <v>184</v>
      </c>
      <c r="C15" s="188">
        <v>44</v>
      </c>
      <c r="D15" s="187">
        <v>47</v>
      </c>
      <c r="E15" s="187">
        <v>61</v>
      </c>
      <c r="F15" s="187">
        <v>94</v>
      </c>
      <c r="G15" s="194">
        <v>113</v>
      </c>
      <c r="H15" s="204">
        <f>AVERAGE(D15:F15)</f>
        <v>67.333333333333329</v>
      </c>
      <c r="I15" s="187">
        <f t="shared" si="0"/>
        <v>23.333333333333329</v>
      </c>
    </row>
    <row r="16" spans="1:9">
      <c r="A16" s="156">
        <f t="shared" si="1"/>
        <v>8</v>
      </c>
      <c r="B16" s="190" t="s">
        <v>21</v>
      </c>
      <c r="C16" s="188">
        <v>0</v>
      </c>
      <c r="D16" s="187">
        <v>0</v>
      </c>
      <c r="E16" s="187">
        <v>0</v>
      </c>
      <c r="F16" s="187">
        <v>0</v>
      </c>
      <c r="G16" s="194">
        <v>0</v>
      </c>
      <c r="H16" s="204">
        <f>AVERAGE(D16:F16)</f>
        <v>0</v>
      </c>
      <c r="I16" s="187">
        <f t="shared" si="0"/>
        <v>0</v>
      </c>
    </row>
    <row r="17" spans="1:9">
      <c r="A17" s="156">
        <f t="shared" si="1"/>
        <v>9</v>
      </c>
      <c r="B17" s="190" t="s">
        <v>119</v>
      </c>
      <c r="C17" s="187">
        <v>0</v>
      </c>
      <c r="D17" s="188">
        <v>17</v>
      </c>
      <c r="E17" s="187">
        <v>0</v>
      </c>
      <c r="F17" s="187">
        <v>0</v>
      </c>
      <c r="G17" s="194">
        <v>0</v>
      </c>
      <c r="H17" s="204">
        <f>AVERAGE(E17:F17,C17)</f>
        <v>0</v>
      </c>
      <c r="I17" s="187">
        <f t="shared" si="0"/>
        <v>0</v>
      </c>
    </row>
    <row r="18" spans="1:9">
      <c r="A18" s="156">
        <f t="shared" si="1"/>
        <v>10</v>
      </c>
      <c r="B18" s="190" t="s">
        <v>185</v>
      </c>
      <c r="C18" s="187">
        <v>3030</v>
      </c>
      <c r="D18" s="187">
        <v>3026</v>
      </c>
      <c r="E18" s="187">
        <v>2888</v>
      </c>
      <c r="F18" s="188">
        <v>3060</v>
      </c>
      <c r="G18" s="194">
        <v>2377</v>
      </c>
      <c r="H18" s="204">
        <f>AVERAGE(C18:E18)</f>
        <v>2981.3333333333335</v>
      </c>
      <c r="I18" s="187">
        <f t="shared" si="0"/>
        <v>-48.666666666666515</v>
      </c>
    </row>
    <row r="19" spans="1:9">
      <c r="A19" s="156">
        <f t="shared" si="1"/>
        <v>11</v>
      </c>
      <c r="B19" s="190" t="s">
        <v>186</v>
      </c>
      <c r="C19" s="188">
        <v>178</v>
      </c>
      <c r="D19" s="187">
        <v>213</v>
      </c>
      <c r="E19" s="187">
        <v>205</v>
      </c>
      <c r="F19" s="187">
        <v>263</v>
      </c>
      <c r="G19" s="194">
        <v>435</v>
      </c>
      <c r="H19" s="204">
        <f>AVERAGE(D19:F19)</f>
        <v>227</v>
      </c>
      <c r="I19" s="187">
        <f t="shared" si="0"/>
        <v>49</v>
      </c>
    </row>
    <row r="20" spans="1:9">
      <c r="A20" s="156">
        <f t="shared" si="1"/>
        <v>12</v>
      </c>
      <c r="B20" s="190" t="s">
        <v>187</v>
      </c>
      <c r="C20" s="187">
        <v>2</v>
      </c>
      <c r="D20" s="188">
        <v>0</v>
      </c>
      <c r="E20" s="188">
        <v>9</v>
      </c>
      <c r="F20" s="187">
        <v>3</v>
      </c>
      <c r="G20" s="193">
        <v>1</v>
      </c>
      <c r="H20" s="204">
        <f>AVERAGE(C20,F20:G20)</f>
        <v>2</v>
      </c>
      <c r="I20" s="187">
        <f t="shared" si="0"/>
        <v>0</v>
      </c>
    </row>
    <row r="21" spans="1:9">
      <c r="A21" s="156">
        <f t="shared" si="1"/>
        <v>13</v>
      </c>
    </row>
    <row r="22" spans="1:9">
      <c r="A22" s="156">
        <f t="shared" si="1"/>
        <v>14</v>
      </c>
      <c r="B22" s="282" t="s">
        <v>174</v>
      </c>
      <c r="C22" s="282"/>
      <c r="D22" s="282"/>
      <c r="E22" s="282"/>
      <c r="I22" s="162"/>
    </row>
    <row r="23" spans="1:9">
      <c r="A23" s="156">
        <f t="shared" si="1"/>
        <v>15</v>
      </c>
      <c r="B23" s="282" t="s">
        <v>177</v>
      </c>
      <c r="C23" s="282"/>
      <c r="D23" s="282"/>
      <c r="E23" s="282"/>
      <c r="F23" s="282"/>
      <c r="G23" s="282"/>
      <c r="H23" s="282"/>
      <c r="I23" s="282"/>
    </row>
    <row r="24" spans="1:9">
      <c r="A24" s="156">
        <f t="shared" si="1"/>
        <v>16</v>
      </c>
      <c r="C24" s="159"/>
    </row>
    <row r="25" spans="1:9">
      <c r="A25" s="156"/>
    </row>
    <row r="26" spans="1:9">
      <c r="A26" s="156"/>
    </row>
    <row r="27" spans="1:9">
      <c r="A27" s="152"/>
    </row>
  </sheetData>
  <mergeCells count="7">
    <mergeCell ref="B23:I23"/>
    <mergeCell ref="B22:E22"/>
    <mergeCell ref="A1:I1"/>
    <mergeCell ref="A2:I2"/>
    <mergeCell ref="A3:I3"/>
    <mergeCell ref="A4:I4"/>
    <mergeCell ref="C6:I6"/>
  </mergeCells>
  <pageMargins left="1" right="0.5" top="1" bottom="1" header="0.5" footer="0.5"/>
  <pageSetup scale="74" fitToHeight="0" orientation="landscape" r:id="rId1"/>
  <headerFooter>
    <oddFooter>&amp;LTestimony of Christopher T. Mickelson
Docket UE-130043&amp;RExhibit No. ___ (CTM-2)
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zoomScalePageLayoutView="70" workbookViewId="0">
      <pane xSplit="1" ySplit="5" topLeftCell="J6" activePane="bottomRight" state="frozen"/>
      <selection activeCell="M34" sqref="M34"/>
      <selection pane="topRight" activeCell="M34" sqref="M34"/>
      <selection pane="bottomLeft" activeCell="M34" sqref="M34"/>
      <selection pane="bottomRight" activeCell="M34" sqref="M34"/>
    </sheetView>
  </sheetViews>
  <sheetFormatPr defaultRowHeight="15"/>
  <cols>
    <col min="1" max="1" width="51.85546875" style="58" bestFit="1" customWidth="1"/>
    <col min="2" max="9" width="22" style="59" customWidth="1"/>
    <col min="10" max="11" width="22" style="58" customWidth="1"/>
    <col min="12" max="16384" width="9.140625" style="58"/>
  </cols>
  <sheetData>
    <row r="1" spans="1:12">
      <c r="A1" s="130" t="s">
        <v>139</v>
      </c>
    </row>
    <row r="2" spans="1:12">
      <c r="B2" s="284" t="s">
        <v>138</v>
      </c>
      <c r="C2" s="284"/>
      <c r="D2" s="284"/>
      <c r="E2" s="284"/>
      <c r="F2" s="284"/>
      <c r="G2" s="284"/>
      <c r="H2" s="284"/>
      <c r="I2" s="284"/>
      <c r="J2" s="284"/>
      <c r="K2" s="284"/>
    </row>
    <row r="3" spans="1:12">
      <c r="A3" s="288" t="s">
        <v>137</v>
      </c>
      <c r="B3" s="290" t="s">
        <v>136</v>
      </c>
      <c r="C3" s="291"/>
      <c r="D3" s="290" t="s">
        <v>135</v>
      </c>
      <c r="E3" s="291"/>
      <c r="F3" s="290" t="s">
        <v>134</v>
      </c>
      <c r="G3" s="292"/>
      <c r="H3" s="286" t="s">
        <v>133</v>
      </c>
      <c r="I3" s="293"/>
      <c r="J3" s="286" t="s">
        <v>132</v>
      </c>
      <c r="K3" s="287"/>
      <c r="L3" s="129"/>
    </row>
    <row r="4" spans="1:12">
      <c r="A4" s="289"/>
      <c r="B4" s="127" t="s">
        <v>131</v>
      </c>
      <c r="C4" s="127" t="s">
        <v>121</v>
      </c>
      <c r="D4" s="127" t="s">
        <v>131</v>
      </c>
      <c r="E4" s="127" t="s">
        <v>121</v>
      </c>
      <c r="F4" s="128" t="s">
        <v>131</v>
      </c>
      <c r="G4" s="127" t="s">
        <v>121</v>
      </c>
      <c r="H4" s="127" t="s">
        <v>131</v>
      </c>
      <c r="I4" s="127" t="s">
        <v>121</v>
      </c>
      <c r="J4" s="127" t="s">
        <v>131</v>
      </c>
      <c r="K4" s="127" t="s">
        <v>121</v>
      </c>
    </row>
    <row r="5" spans="1:12">
      <c r="A5" s="120" t="s">
        <v>130</v>
      </c>
      <c r="B5" s="115" t="s">
        <v>121</v>
      </c>
      <c r="C5" s="115" t="s">
        <v>121</v>
      </c>
      <c r="D5" s="115" t="s">
        <v>121</v>
      </c>
      <c r="E5" s="115" t="s">
        <v>121</v>
      </c>
      <c r="F5" s="117" t="s">
        <v>121</v>
      </c>
      <c r="G5" s="115" t="s">
        <v>121</v>
      </c>
      <c r="H5" s="115" t="s">
        <v>121</v>
      </c>
      <c r="I5" s="115" t="s">
        <v>121</v>
      </c>
      <c r="J5" s="116" t="s">
        <v>121</v>
      </c>
      <c r="K5" s="115" t="s">
        <v>121</v>
      </c>
    </row>
    <row r="6" spans="1:12">
      <c r="A6" s="114" t="s">
        <v>129</v>
      </c>
      <c r="B6" s="125"/>
      <c r="C6" s="125"/>
      <c r="D6" s="126"/>
      <c r="E6" s="125"/>
      <c r="F6" s="80"/>
      <c r="G6" s="125"/>
      <c r="H6" s="80"/>
      <c r="I6" s="77"/>
      <c r="J6" s="78"/>
      <c r="K6" s="77"/>
    </row>
    <row r="7" spans="1:12">
      <c r="A7" s="109" t="s">
        <v>108</v>
      </c>
      <c r="B7" s="86"/>
      <c r="C7" s="86"/>
      <c r="D7" s="124"/>
      <c r="E7" s="86"/>
      <c r="F7" s="85"/>
      <c r="G7" s="86"/>
      <c r="H7" s="85"/>
      <c r="I7" s="107"/>
      <c r="J7" s="84"/>
      <c r="K7" s="107"/>
    </row>
    <row r="8" spans="1:12">
      <c r="A8" s="113" t="s">
        <v>107</v>
      </c>
      <c r="B8" s="294" t="s">
        <v>126</v>
      </c>
      <c r="C8" s="295"/>
      <c r="D8" s="295"/>
      <c r="E8" s="296"/>
      <c r="F8" s="85" t="s">
        <v>128</v>
      </c>
      <c r="G8" s="75">
        <v>26.31</v>
      </c>
      <c r="H8" s="85" t="s">
        <v>128</v>
      </c>
      <c r="I8" s="73" t="s">
        <v>87</v>
      </c>
      <c r="J8" s="72">
        <v>0</v>
      </c>
      <c r="K8" s="147">
        <v>30.56</v>
      </c>
    </row>
    <row r="9" spans="1:12">
      <c r="A9" s="113" t="s">
        <v>106</v>
      </c>
      <c r="B9" s="294" t="s">
        <v>126</v>
      </c>
      <c r="C9" s="295"/>
      <c r="D9" s="295"/>
      <c r="E9" s="296"/>
      <c r="F9" s="74">
        <v>75</v>
      </c>
      <c r="G9" s="75">
        <v>248.81</v>
      </c>
      <c r="H9" s="74">
        <v>75</v>
      </c>
      <c r="I9" s="73" t="s">
        <v>87</v>
      </c>
      <c r="J9" s="72">
        <v>75</v>
      </c>
      <c r="K9" s="147">
        <v>283.49</v>
      </c>
    </row>
    <row r="10" spans="1:12">
      <c r="A10" s="109" t="s">
        <v>105</v>
      </c>
      <c r="B10" s="86" t="s">
        <v>127</v>
      </c>
      <c r="C10" s="86"/>
      <c r="D10" s="124"/>
      <c r="E10" s="86"/>
      <c r="F10" s="85"/>
      <c r="G10" s="86"/>
      <c r="H10" s="85"/>
      <c r="I10" s="107"/>
      <c r="J10" s="84"/>
      <c r="K10" s="147"/>
    </row>
    <row r="11" spans="1:12">
      <c r="A11" s="104" t="s">
        <v>104</v>
      </c>
      <c r="B11" s="294" t="s">
        <v>126</v>
      </c>
      <c r="C11" s="295"/>
      <c r="D11" s="295"/>
      <c r="E11" s="296"/>
      <c r="F11" s="68">
        <v>175</v>
      </c>
      <c r="G11" s="69">
        <v>320.33999999999997</v>
      </c>
      <c r="H11" s="68">
        <v>175</v>
      </c>
      <c r="I11" s="67" t="s">
        <v>87</v>
      </c>
      <c r="J11" s="66">
        <v>175</v>
      </c>
      <c r="K11" s="147">
        <v>336.26</v>
      </c>
    </row>
    <row r="12" spans="1:12" ht="25.5">
      <c r="A12" s="123" t="s">
        <v>125</v>
      </c>
      <c r="B12" s="115" t="s">
        <v>124</v>
      </c>
      <c r="C12" s="115" t="s">
        <v>124</v>
      </c>
      <c r="D12" s="115" t="s">
        <v>124</v>
      </c>
      <c r="E12" s="115" t="s">
        <v>124</v>
      </c>
      <c r="F12" s="117" t="s">
        <v>124</v>
      </c>
      <c r="G12" s="115" t="s">
        <v>124</v>
      </c>
      <c r="H12" s="115" t="s">
        <v>124</v>
      </c>
      <c r="I12" s="115" t="s">
        <v>124</v>
      </c>
      <c r="J12" s="116" t="s">
        <v>124</v>
      </c>
      <c r="K12" s="115" t="s">
        <v>124</v>
      </c>
    </row>
    <row r="13" spans="1:12">
      <c r="A13" s="120" t="s">
        <v>123</v>
      </c>
      <c r="B13" s="115" t="s">
        <v>121</v>
      </c>
      <c r="C13" s="115" t="s">
        <v>121</v>
      </c>
      <c r="D13" s="115" t="s">
        <v>121</v>
      </c>
      <c r="E13" s="115" t="s">
        <v>121</v>
      </c>
      <c r="F13" s="117" t="s">
        <v>121</v>
      </c>
      <c r="G13" s="115" t="s">
        <v>121</v>
      </c>
      <c r="H13" s="115" t="s">
        <v>121</v>
      </c>
      <c r="I13" s="115" t="s">
        <v>121</v>
      </c>
      <c r="J13" s="116" t="s">
        <v>121</v>
      </c>
      <c r="K13" s="115" t="s">
        <v>121</v>
      </c>
    </row>
    <row r="14" spans="1:12">
      <c r="A14" s="120" t="s">
        <v>122</v>
      </c>
      <c r="B14" s="115" t="s">
        <v>121</v>
      </c>
      <c r="C14" s="115" t="s">
        <v>121</v>
      </c>
      <c r="D14" s="115" t="s">
        <v>121</v>
      </c>
      <c r="E14" s="115" t="s">
        <v>121</v>
      </c>
      <c r="F14" s="117" t="s">
        <v>121</v>
      </c>
      <c r="G14" s="115" t="s">
        <v>121</v>
      </c>
      <c r="H14" s="115" t="s">
        <v>121</v>
      </c>
      <c r="I14" s="115" t="s">
        <v>121</v>
      </c>
      <c r="J14" s="116" t="s">
        <v>121</v>
      </c>
      <c r="K14" s="115" t="s">
        <v>121</v>
      </c>
    </row>
    <row r="15" spans="1:12">
      <c r="A15" s="100" t="s">
        <v>120</v>
      </c>
      <c r="B15" s="297" t="s">
        <v>118</v>
      </c>
      <c r="C15" s="298"/>
      <c r="D15" s="91">
        <v>50</v>
      </c>
      <c r="E15" s="122">
        <v>93.05</v>
      </c>
      <c r="F15" s="119">
        <v>50</v>
      </c>
      <c r="G15" s="91" t="s">
        <v>87</v>
      </c>
      <c r="H15" s="91">
        <v>50</v>
      </c>
      <c r="I15" s="91" t="s">
        <v>87</v>
      </c>
      <c r="J15" s="118">
        <v>50</v>
      </c>
      <c r="K15" s="97">
        <v>102.94</v>
      </c>
    </row>
    <row r="16" spans="1:12">
      <c r="A16" s="100" t="s">
        <v>119</v>
      </c>
      <c r="B16" s="297" t="s">
        <v>118</v>
      </c>
      <c r="C16" s="298"/>
      <c r="D16" s="115" t="s">
        <v>116</v>
      </c>
      <c r="E16" s="121" t="s">
        <v>117</v>
      </c>
      <c r="F16" s="117" t="s">
        <v>116</v>
      </c>
      <c r="G16" s="91" t="s">
        <v>87</v>
      </c>
      <c r="H16" s="115" t="s">
        <v>116</v>
      </c>
      <c r="I16" s="91" t="s">
        <v>87</v>
      </c>
      <c r="J16" s="116" t="s">
        <v>116</v>
      </c>
      <c r="K16" s="115" t="s">
        <v>115</v>
      </c>
    </row>
    <row r="17" spans="1:11" ht="25.5">
      <c r="A17" s="120" t="s">
        <v>114</v>
      </c>
      <c r="B17" s="115" t="s">
        <v>113</v>
      </c>
      <c r="C17" s="115" t="s">
        <v>113</v>
      </c>
      <c r="D17" s="115" t="s">
        <v>113</v>
      </c>
      <c r="E17" s="115" t="s">
        <v>113</v>
      </c>
      <c r="F17" s="117" t="s">
        <v>113</v>
      </c>
      <c r="G17" s="115" t="s">
        <v>113</v>
      </c>
      <c r="H17" s="115" t="s">
        <v>113</v>
      </c>
      <c r="I17" s="115" t="s">
        <v>113</v>
      </c>
      <c r="J17" s="116" t="s">
        <v>113</v>
      </c>
      <c r="K17" s="115" t="s">
        <v>113</v>
      </c>
    </row>
    <row r="18" spans="1:11" ht="25.5">
      <c r="A18" s="100" t="s">
        <v>112</v>
      </c>
      <c r="B18" s="91">
        <v>20</v>
      </c>
      <c r="C18" s="91" t="s">
        <v>87</v>
      </c>
      <c r="D18" s="91">
        <v>20</v>
      </c>
      <c r="E18" s="91" t="s">
        <v>87</v>
      </c>
      <c r="F18" s="119">
        <v>20</v>
      </c>
      <c r="G18" s="91" t="s">
        <v>87</v>
      </c>
      <c r="H18" s="91">
        <v>20</v>
      </c>
      <c r="I18" s="115" t="s">
        <v>87</v>
      </c>
      <c r="J18" s="118">
        <v>20</v>
      </c>
      <c r="K18" s="90" t="s">
        <v>86</v>
      </c>
    </row>
    <row r="19" spans="1:11" ht="25.5">
      <c r="A19" s="100" t="s">
        <v>111</v>
      </c>
      <c r="B19" s="115" t="s">
        <v>110</v>
      </c>
      <c r="C19" s="115" t="s">
        <v>110</v>
      </c>
      <c r="D19" s="115" t="s">
        <v>110</v>
      </c>
      <c r="E19" s="117" t="s">
        <v>110</v>
      </c>
      <c r="F19" s="117" t="s">
        <v>110</v>
      </c>
      <c r="G19" s="115" t="s">
        <v>110</v>
      </c>
      <c r="H19" s="115" t="s">
        <v>110</v>
      </c>
      <c r="I19" s="115" t="s">
        <v>110</v>
      </c>
      <c r="J19" s="116" t="s">
        <v>110</v>
      </c>
      <c r="K19" s="115" t="s">
        <v>110</v>
      </c>
    </row>
    <row r="20" spans="1:11">
      <c r="A20" s="114" t="s">
        <v>109</v>
      </c>
      <c r="B20" s="79"/>
      <c r="C20" s="79"/>
      <c r="D20" s="77"/>
      <c r="E20" s="79"/>
      <c r="F20" s="80"/>
      <c r="G20" s="77"/>
      <c r="H20" s="79"/>
      <c r="I20" s="77"/>
      <c r="J20" s="78"/>
      <c r="K20" s="77"/>
    </row>
    <row r="21" spans="1:11">
      <c r="A21" s="109" t="s">
        <v>108</v>
      </c>
      <c r="B21" s="83"/>
      <c r="C21" s="83"/>
      <c r="D21" s="107"/>
      <c r="E21" s="83"/>
      <c r="F21" s="85"/>
      <c r="G21" s="107"/>
      <c r="H21" s="83"/>
      <c r="I21" s="107"/>
      <c r="J21" s="84"/>
      <c r="K21" s="107"/>
    </row>
    <row r="22" spans="1:11">
      <c r="A22" s="113" t="s">
        <v>107</v>
      </c>
      <c r="B22" s="73">
        <v>20</v>
      </c>
      <c r="C22" s="73" t="s">
        <v>87</v>
      </c>
      <c r="D22" s="111">
        <v>25</v>
      </c>
      <c r="E22" s="73">
        <v>51.88</v>
      </c>
      <c r="F22" s="112">
        <v>25</v>
      </c>
      <c r="G22" s="73" t="s">
        <v>87</v>
      </c>
      <c r="H22" s="111">
        <v>25</v>
      </c>
      <c r="I22" s="73" t="s">
        <v>87</v>
      </c>
      <c r="J22" s="150">
        <v>25</v>
      </c>
      <c r="K22" s="111">
        <v>57.19</v>
      </c>
    </row>
    <row r="23" spans="1:11">
      <c r="A23" s="113" t="s">
        <v>106</v>
      </c>
      <c r="B23" s="73">
        <v>40</v>
      </c>
      <c r="C23" s="73" t="s">
        <v>87</v>
      </c>
      <c r="D23" s="111">
        <v>50</v>
      </c>
      <c r="E23" s="73">
        <v>192.16</v>
      </c>
      <c r="F23" s="112">
        <v>50</v>
      </c>
      <c r="G23" s="73" t="s">
        <v>87</v>
      </c>
      <c r="H23" s="111">
        <v>50</v>
      </c>
      <c r="I23" s="73" t="s">
        <v>87</v>
      </c>
      <c r="J23" s="110">
        <v>50</v>
      </c>
      <c r="K23" s="146">
        <v>256.89999999999998</v>
      </c>
    </row>
    <row r="24" spans="1:11">
      <c r="A24" s="109" t="s">
        <v>105</v>
      </c>
      <c r="B24" s="83"/>
      <c r="C24" s="83"/>
      <c r="D24" s="107"/>
      <c r="E24" s="83"/>
      <c r="F24" s="108"/>
      <c r="G24" s="107"/>
      <c r="H24" s="107"/>
      <c r="I24" s="107"/>
      <c r="J24" s="106"/>
      <c r="K24" s="105"/>
    </row>
    <row r="25" spans="1:11">
      <c r="A25" s="104" t="s">
        <v>104</v>
      </c>
      <c r="B25" s="67">
        <v>40</v>
      </c>
      <c r="C25" s="67" t="s">
        <v>87</v>
      </c>
      <c r="D25" s="102">
        <v>75</v>
      </c>
      <c r="E25" s="67" t="s">
        <v>87</v>
      </c>
      <c r="F25" s="103">
        <v>75</v>
      </c>
      <c r="G25" s="67" t="s">
        <v>87</v>
      </c>
      <c r="H25" s="102">
        <v>75</v>
      </c>
      <c r="I25" s="67" t="s">
        <v>87</v>
      </c>
      <c r="J25" s="101">
        <v>75</v>
      </c>
      <c r="K25" s="148">
        <v>305.18</v>
      </c>
    </row>
    <row r="26" spans="1:11">
      <c r="A26" s="100" t="s">
        <v>103</v>
      </c>
      <c r="B26" s="91">
        <v>15</v>
      </c>
      <c r="C26" s="91" t="s">
        <v>87</v>
      </c>
      <c r="D26" s="97">
        <v>15</v>
      </c>
      <c r="E26" s="91">
        <v>23.72</v>
      </c>
      <c r="F26" s="99">
        <v>15</v>
      </c>
      <c r="G26" s="91" t="s">
        <v>87</v>
      </c>
      <c r="H26" s="97">
        <v>15</v>
      </c>
      <c r="I26" s="91" t="s">
        <v>87</v>
      </c>
      <c r="J26" s="98">
        <v>15</v>
      </c>
      <c r="K26" s="97">
        <v>27.28</v>
      </c>
    </row>
    <row r="27" spans="1:11">
      <c r="A27" s="100" t="s">
        <v>102</v>
      </c>
      <c r="B27" s="91">
        <v>75</v>
      </c>
      <c r="C27" s="91" t="s">
        <v>87</v>
      </c>
      <c r="D27" s="97">
        <v>75</v>
      </c>
      <c r="E27" s="91" t="s">
        <v>87</v>
      </c>
      <c r="F27" s="99">
        <v>75</v>
      </c>
      <c r="G27" s="91" t="s">
        <v>87</v>
      </c>
      <c r="H27" s="97">
        <v>75</v>
      </c>
      <c r="I27" s="91" t="s">
        <v>87</v>
      </c>
      <c r="J27" s="98">
        <v>75</v>
      </c>
      <c r="K27" s="149">
        <v>180.15</v>
      </c>
    </row>
    <row r="28" spans="1:11">
      <c r="A28" s="96" t="s">
        <v>101</v>
      </c>
      <c r="B28" s="89"/>
      <c r="C28" s="89"/>
      <c r="D28" s="93"/>
      <c r="E28" s="89"/>
      <c r="F28" s="95"/>
      <c r="G28" s="93"/>
      <c r="H28" s="93"/>
      <c r="I28" s="77"/>
      <c r="J28" s="94"/>
      <c r="K28" s="93"/>
    </row>
    <row r="29" spans="1:11" ht="25.5">
      <c r="A29" s="92" t="s">
        <v>100</v>
      </c>
      <c r="B29" s="89">
        <v>200</v>
      </c>
      <c r="C29" s="91" t="s">
        <v>87</v>
      </c>
      <c r="D29" s="89">
        <v>200</v>
      </c>
      <c r="E29" s="91" t="s">
        <v>87</v>
      </c>
      <c r="F29" s="89">
        <v>200</v>
      </c>
      <c r="G29" s="93">
        <v>289</v>
      </c>
      <c r="H29" s="89">
        <v>200</v>
      </c>
      <c r="I29" s="91" t="s">
        <v>87</v>
      </c>
      <c r="J29" s="89">
        <v>200</v>
      </c>
      <c r="K29" s="90" t="s">
        <v>86</v>
      </c>
    </row>
    <row r="30" spans="1:11" ht="25.5">
      <c r="A30" s="92" t="s">
        <v>99</v>
      </c>
      <c r="B30" s="89">
        <v>400</v>
      </c>
      <c r="C30" s="91" t="s">
        <v>87</v>
      </c>
      <c r="D30" s="89">
        <v>400</v>
      </c>
      <c r="E30" s="91" t="s">
        <v>87</v>
      </c>
      <c r="F30" s="89">
        <v>400</v>
      </c>
      <c r="G30" s="89" t="s">
        <v>98</v>
      </c>
      <c r="H30" s="89">
        <v>400</v>
      </c>
      <c r="I30" s="91" t="s">
        <v>87</v>
      </c>
      <c r="J30" s="89">
        <v>400</v>
      </c>
      <c r="K30" s="90" t="s">
        <v>86</v>
      </c>
    </row>
    <row r="31" spans="1:11" ht="29.25" customHeight="1">
      <c r="A31" s="82" t="s">
        <v>97</v>
      </c>
      <c r="B31" s="89" t="s">
        <v>96</v>
      </c>
      <c r="C31" s="89" t="s">
        <v>96</v>
      </c>
      <c r="D31" s="89" t="s">
        <v>96</v>
      </c>
      <c r="E31" s="89" t="s">
        <v>96</v>
      </c>
      <c r="F31" s="89" t="s">
        <v>96</v>
      </c>
      <c r="G31" s="89" t="s">
        <v>96</v>
      </c>
      <c r="H31" s="89" t="s">
        <v>96</v>
      </c>
      <c r="I31" s="89" t="s">
        <v>96</v>
      </c>
      <c r="J31" s="89" t="s">
        <v>96</v>
      </c>
      <c r="K31" s="89" t="s">
        <v>96</v>
      </c>
    </row>
    <row r="32" spans="1:11">
      <c r="A32" s="88" t="s">
        <v>95</v>
      </c>
      <c r="B32" s="79"/>
      <c r="C32" s="79"/>
      <c r="D32" s="81"/>
      <c r="E32" s="79"/>
      <c r="F32" s="80"/>
      <c r="G32" s="81"/>
      <c r="H32" s="79"/>
      <c r="I32" s="77"/>
      <c r="J32" s="78"/>
      <c r="K32" s="77"/>
    </row>
    <row r="33" spans="1:11" ht="25.5">
      <c r="A33" s="87" t="s">
        <v>94</v>
      </c>
      <c r="B33" s="83" t="s">
        <v>93</v>
      </c>
      <c r="C33" s="83" t="s">
        <v>93</v>
      </c>
      <c r="D33" s="86" t="s">
        <v>93</v>
      </c>
      <c r="E33" s="83" t="s">
        <v>93</v>
      </c>
      <c r="F33" s="85" t="s">
        <v>93</v>
      </c>
      <c r="G33" s="83" t="s">
        <v>93</v>
      </c>
      <c r="H33" s="83" t="s">
        <v>93</v>
      </c>
      <c r="I33" s="83" t="s">
        <v>93</v>
      </c>
      <c r="J33" s="84" t="s">
        <v>93</v>
      </c>
      <c r="K33" s="83" t="s">
        <v>93</v>
      </c>
    </row>
    <row r="34" spans="1:11" ht="25.5">
      <c r="A34" s="87" t="s">
        <v>92</v>
      </c>
      <c r="B34" s="83" t="s">
        <v>91</v>
      </c>
      <c r="C34" s="83" t="s">
        <v>91</v>
      </c>
      <c r="D34" s="86" t="s">
        <v>91</v>
      </c>
      <c r="E34" s="83" t="s">
        <v>91</v>
      </c>
      <c r="F34" s="85" t="s">
        <v>91</v>
      </c>
      <c r="G34" s="83" t="s">
        <v>91</v>
      </c>
      <c r="H34" s="83" t="s">
        <v>91</v>
      </c>
      <c r="I34" s="83" t="s">
        <v>91</v>
      </c>
      <c r="J34" s="84" t="s">
        <v>91</v>
      </c>
      <c r="K34" s="83" t="s">
        <v>91</v>
      </c>
    </row>
    <row r="35" spans="1:11" ht="25.5">
      <c r="A35" s="82" t="s">
        <v>90</v>
      </c>
      <c r="B35" s="79"/>
      <c r="C35" s="79"/>
      <c r="D35" s="81"/>
      <c r="E35" s="79"/>
      <c r="F35" s="80"/>
      <c r="G35" s="79"/>
      <c r="H35" s="80"/>
      <c r="I35" s="79"/>
      <c r="J35" s="78"/>
      <c r="K35" s="77"/>
    </row>
    <row r="36" spans="1:11" ht="25.5">
      <c r="A36" s="76" t="s">
        <v>89</v>
      </c>
      <c r="B36" s="73">
        <v>85</v>
      </c>
      <c r="C36" s="73" t="s">
        <v>87</v>
      </c>
      <c r="D36" s="75">
        <v>85</v>
      </c>
      <c r="E36" s="73" t="s">
        <v>87</v>
      </c>
      <c r="F36" s="74">
        <v>85</v>
      </c>
      <c r="G36" s="73" t="s">
        <v>87</v>
      </c>
      <c r="H36" s="74">
        <v>85</v>
      </c>
      <c r="I36" s="73" t="s">
        <v>87</v>
      </c>
      <c r="J36" s="72">
        <v>85</v>
      </c>
      <c r="K36" s="71" t="s">
        <v>86</v>
      </c>
    </row>
    <row r="37" spans="1:11" ht="25.5">
      <c r="A37" s="70" t="s">
        <v>88</v>
      </c>
      <c r="B37" s="67">
        <v>115</v>
      </c>
      <c r="C37" s="67" t="s">
        <v>87</v>
      </c>
      <c r="D37" s="69">
        <v>115</v>
      </c>
      <c r="E37" s="67" t="s">
        <v>87</v>
      </c>
      <c r="F37" s="68">
        <v>115</v>
      </c>
      <c r="G37" s="67" t="s">
        <v>87</v>
      </c>
      <c r="H37" s="68">
        <v>115</v>
      </c>
      <c r="I37" s="67" t="s">
        <v>87</v>
      </c>
      <c r="J37" s="66">
        <v>115</v>
      </c>
      <c r="K37" s="65" t="s">
        <v>86</v>
      </c>
    </row>
    <row r="38" spans="1:11">
      <c r="A38" s="64"/>
      <c r="B38" s="61"/>
      <c r="C38" s="61"/>
      <c r="D38" s="63"/>
      <c r="E38" s="61"/>
      <c r="F38" s="61"/>
      <c r="G38" s="63"/>
      <c r="H38" s="61"/>
      <c r="I38" s="62"/>
      <c r="J38" s="61"/>
      <c r="K38" s="60"/>
    </row>
    <row r="39" spans="1:11">
      <c r="A39" s="285" t="s">
        <v>85</v>
      </c>
      <c r="B39" s="285"/>
      <c r="C39" s="285"/>
      <c r="D39" s="285"/>
      <c r="E39" s="285"/>
      <c r="F39" s="285"/>
      <c r="G39" s="285"/>
      <c r="H39" s="285"/>
      <c r="I39" s="285"/>
      <c r="J39" s="285"/>
      <c r="K39" s="285"/>
    </row>
    <row r="40" spans="1:11">
      <c r="A40" s="285" t="s">
        <v>84</v>
      </c>
      <c r="B40" s="285"/>
      <c r="C40" s="285"/>
      <c r="D40" s="285"/>
      <c r="E40" s="285"/>
      <c r="F40" s="285"/>
      <c r="G40" s="285"/>
      <c r="H40" s="285"/>
      <c r="I40" s="285"/>
      <c r="J40" s="285"/>
      <c r="K40" s="285"/>
    </row>
    <row r="41" spans="1:11" ht="11.25" customHeight="1">
      <c r="A41" s="285" t="s">
        <v>83</v>
      </c>
      <c r="B41" s="285"/>
      <c r="C41" s="285"/>
      <c r="D41" s="285"/>
      <c r="E41" s="285"/>
      <c r="F41" s="285"/>
      <c r="G41" s="285"/>
      <c r="H41" s="285"/>
      <c r="I41" s="285"/>
      <c r="J41" s="285"/>
      <c r="K41" s="285"/>
    </row>
    <row r="53" spans="1:1" ht="150">
      <c r="A53" s="59" t="s">
        <v>150</v>
      </c>
    </row>
  </sheetData>
  <mergeCells count="15">
    <mergeCell ref="B2:K2"/>
    <mergeCell ref="A39:K39"/>
    <mergeCell ref="A40:K40"/>
    <mergeCell ref="A41:K41"/>
    <mergeCell ref="J3:K3"/>
    <mergeCell ref="A3:A4"/>
    <mergeCell ref="B3:C3"/>
    <mergeCell ref="D3:E3"/>
    <mergeCell ref="F3:G3"/>
    <mergeCell ref="H3:I3"/>
    <mergeCell ref="B8:E8"/>
    <mergeCell ref="B9:E9"/>
    <mergeCell ref="B11:E11"/>
    <mergeCell ref="B15:C15"/>
    <mergeCell ref="B16:C16"/>
  </mergeCells>
  <pageMargins left="1" right="0.5" top="1" bottom="1" header="0.5" footer="0.5"/>
  <pageSetup scale="44" fitToHeight="0" orientation="landscape" r:id="rId1"/>
  <headerFooter>
    <oddFooter>&amp;LTestimony of Christopher T. Mickelson
Docket UE-130043&amp;RExhibit No. ___ (CTM-2)
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zoomScaleNormal="75" zoomScaleSheetLayoutView="100" workbookViewId="0">
      <selection activeCell="M34" sqref="M34"/>
    </sheetView>
  </sheetViews>
  <sheetFormatPr defaultRowHeight="12.75" customHeight="1"/>
  <cols>
    <col min="1" max="1" width="96" style="9" bestFit="1" customWidth="1"/>
    <col min="2" max="2" width="11.7109375" style="9" bestFit="1" customWidth="1"/>
    <col min="3" max="3" width="5.7109375" style="9" bestFit="1" customWidth="1"/>
    <col min="4" max="4" width="11.7109375" style="9" bestFit="1" customWidth="1"/>
    <col min="5" max="5" width="9.28515625" style="9" customWidth="1"/>
    <col min="6" max="6" width="12.5703125" style="9" bestFit="1" customWidth="1"/>
    <col min="7" max="7" width="7.42578125" style="9" bestFit="1" customWidth="1"/>
    <col min="8" max="16384" width="9.140625" style="9"/>
  </cols>
  <sheetData>
    <row r="1" spans="1:7" s="3" customFormat="1" ht="18.75">
      <c r="A1" s="301" t="s">
        <v>36</v>
      </c>
      <c r="B1" s="301"/>
      <c r="C1" s="301"/>
      <c r="D1" s="301"/>
      <c r="E1" s="301"/>
      <c r="F1" s="301"/>
      <c r="G1" s="301"/>
    </row>
    <row r="2" spans="1:7" s="3" customFormat="1" ht="18.75">
      <c r="A2" s="301" t="s">
        <v>0</v>
      </c>
      <c r="B2" s="301"/>
      <c r="C2" s="301"/>
      <c r="D2" s="301"/>
      <c r="E2" s="301"/>
      <c r="F2" s="301"/>
      <c r="G2" s="301"/>
    </row>
    <row r="3" spans="1:7" s="3" customFormat="1" ht="12.75" customHeight="1">
      <c r="A3" s="4"/>
      <c r="B3" s="4"/>
      <c r="C3" s="4"/>
      <c r="D3" s="4"/>
      <c r="E3" s="4"/>
      <c r="F3" s="4"/>
      <c r="G3" s="4"/>
    </row>
    <row r="4" spans="1:7" s="3" customFormat="1" ht="12.75" customHeight="1">
      <c r="A4" s="5"/>
      <c r="B4" s="6"/>
      <c r="C4" s="7"/>
      <c r="D4" s="7"/>
      <c r="E4" s="7"/>
      <c r="F4" s="4"/>
      <c r="G4" s="4"/>
    </row>
    <row r="5" spans="1:7" ht="15.75" customHeight="1">
      <c r="A5" s="8" t="s">
        <v>37</v>
      </c>
      <c r="B5" s="4"/>
      <c r="C5" s="3"/>
      <c r="D5" s="3"/>
      <c r="E5" s="3"/>
      <c r="F5" s="3"/>
      <c r="G5" s="3"/>
    </row>
    <row r="6" spans="1:7">
      <c r="A6" s="10" t="s">
        <v>38</v>
      </c>
      <c r="B6" s="11"/>
    </row>
    <row r="7" spans="1:7">
      <c r="A7" s="10"/>
      <c r="B7" s="11"/>
      <c r="D7" s="302"/>
      <c r="E7" s="302"/>
    </row>
    <row r="8" spans="1:7" s="13" customFormat="1" ht="12.75" customHeight="1">
      <c r="A8" s="12" t="s">
        <v>39</v>
      </c>
      <c r="C8" s="9"/>
      <c r="D8" s="14" t="s">
        <v>40</v>
      </c>
      <c r="E8" s="15"/>
      <c r="F8" s="9"/>
      <c r="G8" s="9"/>
    </row>
    <row r="9" spans="1:7" s="13" customFormat="1" ht="12.75" customHeight="1">
      <c r="A9" s="9" t="s">
        <v>41</v>
      </c>
      <c r="B9" s="11" t="s">
        <v>42</v>
      </c>
      <c r="C9" s="9"/>
      <c r="D9" s="16">
        <f>'WUTC 21'!D11</f>
        <v>138.95481237401222</v>
      </c>
      <c r="E9" s="17"/>
      <c r="F9" s="9"/>
      <c r="G9" s="9"/>
    </row>
    <row r="10" spans="1:7" s="13" customFormat="1" ht="12.75" customHeight="1">
      <c r="A10" s="9" t="s">
        <v>43</v>
      </c>
      <c r="B10" s="11" t="s">
        <v>42</v>
      </c>
      <c r="C10" s="9"/>
      <c r="D10" s="17">
        <f>'WUTC 21'!C11</f>
        <v>61.06815869786368</v>
      </c>
      <c r="E10" s="17"/>
      <c r="F10" s="9"/>
      <c r="G10" s="9"/>
    </row>
    <row r="11" spans="1:7" s="13" customFormat="1" ht="12.75" customHeight="1">
      <c r="A11" s="9"/>
      <c r="B11" s="18"/>
      <c r="C11" s="9"/>
      <c r="D11" s="17"/>
      <c r="E11" s="17"/>
      <c r="F11" s="9"/>
      <c r="G11" s="9"/>
    </row>
    <row r="12" spans="1:7" s="13" customFormat="1" ht="12.75" customHeight="1">
      <c r="A12" s="12" t="s">
        <v>44</v>
      </c>
      <c r="B12" s="18"/>
      <c r="C12" s="9"/>
      <c r="D12" s="14" t="s">
        <v>45</v>
      </c>
      <c r="E12" s="14" t="s">
        <v>46</v>
      </c>
      <c r="F12" s="9"/>
      <c r="G12" s="9"/>
    </row>
    <row r="13" spans="1:7" s="13" customFormat="1" ht="12.75" customHeight="1">
      <c r="A13" s="9" t="s">
        <v>47</v>
      </c>
      <c r="B13" s="11" t="s">
        <v>48</v>
      </c>
      <c r="C13" s="9"/>
      <c r="D13" s="17">
        <f>(D9*0.05)+(D10*0.95)</f>
        <v>64.9624913816711</v>
      </c>
      <c r="E13" s="17"/>
      <c r="F13" s="9"/>
      <c r="G13" s="9"/>
    </row>
    <row r="14" spans="1:7" s="13" customFormat="1" ht="12.75" customHeight="1">
      <c r="A14" s="19" t="s">
        <v>49</v>
      </c>
      <c r="B14" s="11" t="s">
        <v>48</v>
      </c>
      <c r="C14" s="9"/>
      <c r="D14" s="16">
        <f>(D9*0.13)+(D10*0.87)</f>
        <v>71.193423675762986</v>
      </c>
      <c r="E14" s="17"/>
      <c r="F14" s="9"/>
      <c r="G14" s="9"/>
    </row>
    <row r="15" spans="1:7" s="13" customFormat="1" ht="12.75" customHeight="1">
      <c r="A15" s="9" t="s">
        <v>50</v>
      </c>
      <c r="B15" s="11" t="s">
        <v>48</v>
      </c>
      <c r="C15" s="9"/>
      <c r="E15" s="17">
        <f>(D9*0.69)+(D10*0.31)</f>
        <v>114.80994973440616</v>
      </c>
      <c r="F15" s="9"/>
      <c r="G15" s="9"/>
    </row>
    <row r="16" spans="1:7" s="13" customFormat="1" ht="12.75" customHeight="1">
      <c r="A16" s="20" t="s">
        <v>51</v>
      </c>
      <c r="B16" s="21" t="s">
        <v>52</v>
      </c>
      <c r="C16" s="22"/>
      <c r="E16" s="17">
        <f>D9*1</f>
        <v>138.95481237401222</v>
      </c>
      <c r="F16" s="9"/>
      <c r="G16" s="9"/>
    </row>
    <row r="17" spans="1:7" s="13" customFormat="1" ht="12.75" customHeight="1">
      <c r="A17" s="9"/>
      <c r="B17" s="18"/>
      <c r="C17" s="9"/>
      <c r="E17" s="17"/>
      <c r="F17" s="9"/>
      <c r="G17" s="9"/>
    </row>
    <row r="18" spans="1:7" s="13" customFormat="1" ht="12.75" customHeight="1">
      <c r="A18" s="12" t="s">
        <v>53</v>
      </c>
      <c r="B18" s="18"/>
      <c r="C18" s="17"/>
      <c r="D18" s="303" t="s">
        <v>54</v>
      </c>
      <c r="E18" s="303"/>
      <c r="F18" s="304" t="s">
        <v>55</v>
      </c>
      <c r="G18" s="305"/>
    </row>
    <row r="19" spans="1:7" s="13" customFormat="1" ht="12.75" customHeight="1">
      <c r="A19" s="23" t="s">
        <v>56</v>
      </c>
      <c r="B19" s="18"/>
      <c r="C19" s="11" t="s">
        <v>57</v>
      </c>
      <c r="D19" s="24" t="s">
        <v>58</v>
      </c>
      <c r="E19" s="24" t="s">
        <v>59</v>
      </c>
      <c r="F19" s="25" t="s">
        <v>58</v>
      </c>
      <c r="G19" s="25" t="s">
        <v>59</v>
      </c>
    </row>
    <row r="20" spans="1:7" s="18" customFormat="1" ht="12.75" customHeight="1">
      <c r="A20" s="26" t="s">
        <v>60</v>
      </c>
      <c r="B20" s="21" t="s">
        <v>61</v>
      </c>
      <c r="C20" s="27">
        <v>0.42</v>
      </c>
      <c r="D20" s="28">
        <f>D13*C20</f>
        <v>27.284246380301862</v>
      </c>
      <c r="E20" s="29" t="s">
        <v>62</v>
      </c>
      <c r="F20" s="30">
        <f>D10*C20</f>
        <v>25.648626653102745</v>
      </c>
      <c r="G20" s="31" t="s">
        <v>62</v>
      </c>
    </row>
    <row r="21" spans="1:7" s="13" customFormat="1" ht="12.75" customHeight="1">
      <c r="A21" s="26" t="s">
        <v>63</v>
      </c>
      <c r="B21" s="21"/>
      <c r="C21" s="32">
        <v>0.84</v>
      </c>
      <c r="D21" s="28">
        <f>(D14*0.42)+D20</f>
        <v>57.185484324122314</v>
      </c>
      <c r="E21" s="29" t="s">
        <v>62</v>
      </c>
      <c r="F21" s="30">
        <f>(D10*0.42)+D20</f>
        <v>52.932873033404604</v>
      </c>
      <c r="G21" s="31" t="s">
        <v>62</v>
      </c>
    </row>
    <row r="22" spans="1:7" s="13" customFormat="1" ht="12.75" customHeight="1">
      <c r="A22" s="26" t="s">
        <v>64</v>
      </c>
      <c r="B22" s="21" t="s">
        <v>65</v>
      </c>
      <c r="C22" s="32">
        <v>2.42</v>
      </c>
      <c r="D22" s="29" t="s">
        <v>62</v>
      </c>
      <c r="E22" s="28">
        <f>(E15*C22)+D20</f>
        <v>305.12432473756473</v>
      </c>
      <c r="F22" s="31" t="s">
        <v>62</v>
      </c>
      <c r="G22" s="30">
        <f>(D10*C22)+F20</f>
        <v>173.43357070193287</v>
      </c>
    </row>
    <row r="23" spans="1:7" s="13" customFormat="1" ht="12.75" customHeight="1">
      <c r="A23" s="26" t="s">
        <v>66</v>
      </c>
      <c r="B23" s="21" t="s">
        <v>65</v>
      </c>
      <c r="C23" s="32">
        <v>2.42</v>
      </c>
      <c r="D23" s="29" t="s">
        <v>62</v>
      </c>
      <c r="E23" s="28">
        <f>(E16*C23)+D20</f>
        <v>363.5548923254114</v>
      </c>
      <c r="F23" s="31" t="s">
        <v>62</v>
      </c>
      <c r="G23" s="30">
        <f>(D10*C23)+F20</f>
        <v>173.43357070193287</v>
      </c>
    </row>
    <row r="24" spans="1:7" s="13" customFormat="1" ht="12.75" customHeight="1">
      <c r="A24" s="23"/>
      <c r="B24" s="18"/>
      <c r="C24" s="33"/>
      <c r="D24" s="34"/>
      <c r="E24" s="35"/>
      <c r="F24" s="9"/>
      <c r="G24" s="9"/>
    </row>
    <row r="25" spans="1:7" s="13" customFormat="1" ht="12.75" customHeight="1">
      <c r="A25" s="36" t="s">
        <v>67</v>
      </c>
      <c r="B25" s="18"/>
      <c r="C25" s="33"/>
      <c r="D25" s="34"/>
      <c r="E25" s="35"/>
      <c r="F25" s="9"/>
      <c r="G25" s="9"/>
    </row>
    <row r="26" spans="1:7" s="13" customFormat="1" ht="12.75" customHeight="1">
      <c r="A26" s="9" t="s">
        <v>68</v>
      </c>
      <c r="B26" s="11" t="s">
        <v>69</v>
      </c>
      <c r="D26" s="17"/>
      <c r="E26" s="17">
        <v>30</v>
      </c>
      <c r="F26" s="9"/>
      <c r="G26" s="9"/>
    </row>
    <row r="27" spans="1:7" s="13" customFormat="1" ht="12.75" customHeight="1">
      <c r="A27" s="23"/>
      <c r="B27" s="37"/>
      <c r="C27" s="34"/>
      <c r="D27" s="38"/>
      <c r="E27" s="9"/>
      <c r="F27" s="9"/>
      <c r="G27" s="9"/>
    </row>
    <row r="28" spans="1:7" s="13" customFormat="1" ht="12.75" customHeight="1">
      <c r="A28" s="36" t="s">
        <v>70</v>
      </c>
      <c r="B28" s="37"/>
      <c r="C28" s="34"/>
      <c r="D28" s="38"/>
      <c r="E28" s="17"/>
      <c r="F28" s="9"/>
      <c r="G28" s="9"/>
    </row>
    <row r="29" spans="1:7" s="13" customFormat="1" ht="12.75" customHeight="1">
      <c r="A29" s="10" t="s">
        <v>71</v>
      </c>
      <c r="B29" s="37"/>
      <c r="C29" s="34"/>
      <c r="D29" s="38"/>
      <c r="E29" s="9"/>
      <c r="F29" s="39"/>
      <c r="G29" s="9"/>
    </row>
    <row r="30" spans="1:7" ht="12.75" customHeight="1">
      <c r="A30" s="20" t="s">
        <v>72</v>
      </c>
    </row>
    <row r="31" spans="1:7" s="40" customFormat="1" ht="24" customHeight="1">
      <c r="A31" s="299" t="s">
        <v>73</v>
      </c>
      <c r="B31" s="299"/>
      <c r="C31" s="299"/>
      <c r="D31" s="299"/>
      <c r="E31" s="299"/>
      <c r="F31" s="299"/>
      <c r="G31" s="299"/>
    </row>
    <row r="32" spans="1:7" s="43" customFormat="1" ht="12.75" customHeight="1">
      <c r="A32" s="41" t="s">
        <v>74</v>
      </c>
      <c r="B32" s="41"/>
      <c r="C32" s="41"/>
      <c r="D32" s="41"/>
      <c r="E32" s="9"/>
      <c r="F32" s="39"/>
      <c r="G32" s="42"/>
    </row>
    <row r="33" spans="1:7" s="43" customFormat="1" ht="12.75" customHeight="1">
      <c r="A33" s="299" t="s">
        <v>75</v>
      </c>
      <c r="B33" s="299"/>
      <c r="C33" s="299"/>
      <c r="D33" s="299"/>
      <c r="E33" s="299"/>
      <c r="F33" s="39"/>
      <c r="G33" s="44"/>
    </row>
    <row r="34" spans="1:7" ht="12.75" customHeight="1">
      <c r="A34" s="9" t="s">
        <v>76</v>
      </c>
      <c r="F34" s="45"/>
      <c r="G34" s="44"/>
    </row>
    <row r="35" spans="1:7" ht="12.75" customHeight="1">
      <c r="A35" s="20"/>
    </row>
    <row r="36" spans="1:7" ht="12.75" customHeight="1">
      <c r="A36" s="46"/>
      <c r="G36" s="47"/>
    </row>
    <row r="37" spans="1:7" ht="12.75" customHeight="1">
      <c r="A37" s="48"/>
    </row>
    <row r="38" spans="1:7" ht="12.75" customHeight="1">
      <c r="A38" s="46"/>
    </row>
    <row r="39" spans="1:7">
      <c r="A39" s="49"/>
    </row>
    <row r="40" spans="1:7">
      <c r="B40" s="11"/>
    </row>
    <row r="41" spans="1:7" ht="11.25" customHeight="1">
      <c r="A41" s="300"/>
      <c r="B41" s="300"/>
      <c r="C41" s="300"/>
      <c r="D41" s="300"/>
      <c r="E41" s="300"/>
      <c r="F41" s="300"/>
    </row>
    <row r="53" spans="1:1" ht="12.75" customHeight="1">
      <c r="A53" s="45" t="s">
        <v>150</v>
      </c>
    </row>
  </sheetData>
  <mergeCells count="8">
    <mergeCell ref="A33:E33"/>
    <mergeCell ref="A41:F41"/>
    <mergeCell ref="A1:G1"/>
    <mergeCell ref="A2:G2"/>
    <mergeCell ref="D7:E7"/>
    <mergeCell ref="D18:E18"/>
    <mergeCell ref="F18:G18"/>
    <mergeCell ref="A31:G31"/>
  </mergeCells>
  <pageMargins left="1" right="0.5" top="1" bottom="1" header="0.5" footer="0.5"/>
  <pageSetup scale="78" fitToHeight="0" orientation="landscape" r:id="rId1"/>
  <headerFooter>
    <oddFooter>&amp;LTestimony of Christopher T. Mickelson
Docket UE-130043&amp;RExhibit No. ___ (CTM-2)
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election activeCell="M34" sqref="M34"/>
    </sheetView>
  </sheetViews>
  <sheetFormatPr defaultRowHeight="12.75"/>
  <cols>
    <col min="1" max="1" width="58.28515625" style="1" bestFit="1" customWidth="1"/>
    <col min="2" max="2" width="9.85546875" style="1" bestFit="1" customWidth="1"/>
    <col min="3" max="3" width="11.7109375" style="1" bestFit="1" customWidth="1"/>
    <col min="4" max="16384" width="9.140625" style="1"/>
  </cols>
  <sheetData>
    <row r="1" spans="1:9" ht="18.75">
      <c r="A1" s="306" t="s">
        <v>77</v>
      </c>
      <c r="B1" s="306"/>
      <c r="C1" s="306"/>
      <c r="D1" s="306"/>
      <c r="E1" s="50"/>
      <c r="F1" s="50"/>
      <c r="G1" s="50"/>
      <c r="H1" s="50"/>
      <c r="I1" s="50"/>
    </row>
    <row r="2" spans="1:9" ht="18.75">
      <c r="A2" s="301" t="s">
        <v>0</v>
      </c>
      <c r="B2" s="301"/>
      <c r="C2" s="301"/>
      <c r="D2" s="301"/>
      <c r="E2" s="51"/>
      <c r="F2" s="51"/>
      <c r="G2" s="51"/>
      <c r="H2" s="51"/>
      <c r="I2" s="51"/>
    </row>
    <row r="3" spans="1:9">
      <c r="A3" s="52"/>
      <c r="B3" s="52"/>
      <c r="C3" s="52"/>
      <c r="D3" s="52"/>
      <c r="E3" s="52"/>
      <c r="F3" s="52"/>
    </row>
    <row r="4" spans="1:9" ht="15">
      <c r="A4" s="5"/>
      <c r="B4" s="6"/>
      <c r="C4" s="53"/>
      <c r="D4" s="53"/>
      <c r="E4" s="53"/>
      <c r="F4" s="52"/>
    </row>
    <row r="5" spans="1:9" ht="15.75">
      <c r="A5" s="8" t="s">
        <v>78</v>
      </c>
      <c r="B5" s="12"/>
      <c r="C5" s="12"/>
      <c r="D5" s="12"/>
      <c r="E5" s="9"/>
      <c r="F5" s="9"/>
    </row>
    <row r="6" spans="1:9">
      <c r="A6" s="11"/>
      <c r="B6" s="9"/>
      <c r="C6" s="9"/>
      <c r="D6" s="9"/>
      <c r="E6" s="9"/>
      <c r="F6" s="9"/>
    </row>
    <row r="7" spans="1:9">
      <c r="A7" s="9"/>
      <c r="B7" s="9"/>
      <c r="C7" s="15" t="s">
        <v>40</v>
      </c>
      <c r="D7" s="9"/>
      <c r="E7" s="9"/>
      <c r="F7" s="9"/>
    </row>
    <row r="8" spans="1:9">
      <c r="A8" s="20" t="s">
        <v>79</v>
      </c>
      <c r="B8" s="20" t="s">
        <v>42</v>
      </c>
      <c r="C8" s="54">
        <f>'WUTC 21'!B11</f>
        <v>102.94424131627056</v>
      </c>
      <c r="D8" s="9"/>
      <c r="E8" s="9"/>
      <c r="F8" s="9"/>
    </row>
    <row r="9" spans="1:9">
      <c r="A9" s="9"/>
      <c r="B9" s="9"/>
      <c r="C9" s="55"/>
      <c r="D9" s="9"/>
      <c r="E9" s="9"/>
      <c r="F9" s="9"/>
    </row>
    <row r="10" spans="1:9">
      <c r="A10" s="26" t="s">
        <v>48</v>
      </c>
      <c r="B10" s="11" t="s">
        <v>57</v>
      </c>
      <c r="C10" s="11" t="s">
        <v>58</v>
      </c>
      <c r="D10" s="9"/>
      <c r="E10" s="9"/>
      <c r="F10" s="9"/>
    </row>
    <row r="11" spans="1:9">
      <c r="A11" s="26" t="s">
        <v>80</v>
      </c>
      <c r="B11" s="56">
        <v>1.75</v>
      </c>
      <c r="C11" s="28">
        <f>B11*C8</f>
        <v>180.15242230347349</v>
      </c>
      <c r="D11" s="9"/>
      <c r="E11" s="9"/>
      <c r="F11" s="9"/>
    </row>
    <row r="12" spans="1:9">
      <c r="A12" s="9"/>
      <c r="B12" s="9"/>
      <c r="C12" s="9"/>
      <c r="D12" s="9"/>
      <c r="E12" s="9"/>
      <c r="F12" s="9"/>
    </row>
    <row r="13" spans="1:9">
      <c r="A13" s="12" t="s">
        <v>70</v>
      </c>
      <c r="B13" s="57"/>
      <c r="C13" s="57"/>
      <c r="D13" s="34"/>
      <c r="E13" s="57"/>
      <c r="F13" s="38"/>
    </row>
    <row r="14" spans="1:9" ht="12.75" customHeight="1">
      <c r="A14" s="299" t="s">
        <v>81</v>
      </c>
      <c r="B14" s="299"/>
      <c r="C14" s="299"/>
      <c r="D14" s="299"/>
      <c r="E14" s="299"/>
      <c r="F14" s="45"/>
    </row>
    <row r="15" spans="1:9" ht="12.75" customHeight="1">
      <c r="A15" s="299" t="s">
        <v>82</v>
      </c>
      <c r="B15" s="299"/>
      <c r="C15" s="299"/>
      <c r="D15" s="299"/>
      <c r="E15" s="299"/>
      <c r="F15" s="45"/>
    </row>
    <row r="41" ht="11.25" customHeight="1"/>
    <row r="53" spans="1:1" ht="102">
      <c r="A53" s="2" t="s">
        <v>150</v>
      </c>
    </row>
  </sheetData>
  <mergeCells count="4">
    <mergeCell ref="A1:D1"/>
    <mergeCell ref="A2:D2"/>
    <mergeCell ref="A14:E14"/>
    <mergeCell ref="A15:E15"/>
  </mergeCells>
  <pageMargins left="1" right="0.5" top="1" bottom="1" header="0.5" footer="0.5"/>
  <pageSetup scale="90" fitToHeight="0" orientation="portrait" r:id="rId1"/>
  <headerFooter>
    <oddFooter>&amp;LTestimony of Christopher T. Mickelson
Docket UE-130043&amp;RExhibit No. ___ (CTM-2)
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zoomScaleNormal="100" workbookViewId="0">
      <selection activeCell="M34" sqref="M34"/>
    </sheetView>
  </sheetViews>
  <sheetFormatPr defaultRowHeight="15"/>
  <cols>
    <col min="1" max="1" width="28.28515625" bestFit="1" customWidth="1"/>
    <col min="2" max="4" width="12.7109375" customWidth="1"/>
    <col min="5" max="5" width="10.28515625" bestFit="1" customWidth="1"/>
    <col min="6" max="6" width="13.42578125" customWidth="1"/>
    <col min="7" max="7" width="11.85546875" bestFit="1" customWidth="1"/>
    <col min="9" max="9" width="12.85546875" bestFit="1" customWidth="1"/>
  </cols>
  <sheetData>
    <row r="1" spans="1:9">
      <c r="A1" s="308" t="s">
        <v>148</v>
      </c>
      <c r="B1" s="308"/>
      <c r="C1" s="308"/>
      <c r="D1" s="308"/>
      <c r="E1" s="308"/>
      <c r="F1" s="308"/>
      <c r="G1" s="145"/>
      <c r="H1" s="145"/>
      <c r="I1" s="145"/>
    </row>
    <row r="2" spans="1:9">
      <c r="A2" s="308" t="s">
        <v>39</v>
      </c>
      <c r="B2" s="308"/>
      <c r="C2" s="308"/>
      <c r="D2" s="308"/>
      <c r="E2" s="308"/>
      <c r="F2" s="308"/>
      <c r="G2" s="145"/>
      <c r="H2" s="145"/>
      <c r="I2" s="145"/>
    </row>
    <row r="3" spans="1:9">
      <c r="A3" s="144"/>
      <c r="B3" s="144"/>
      <c r="C3" s="144"/>
      <c r="D3" s="144"/>
      <c r="E3" s="144"/>
      <c r="F3" s="144"/>
      <c r="G3" s="144"/>
      <c r="H3" s="144"/>
      <c r="I3" s="144"/>
    </row>
    <row r="4" spans="1:9">
      <c r="A4" s="132"/>
      <c r="B4" s="307" t="s">
        <v>147</v>
      </c>
      <c r="C4" s="307"/>
      <c r="D4" s="307"/>
    </row>
    <row r="5" spans="1:9" s="140" customFormat="1" ht="30">
      <c r="A5" s="143"/>
      <c r="B5" s="142" t="s">
        <v>79</v>
      </c>
      <c r="C5" s="142" t="s">
        <v>146</v>
      </c>
      <c r="D5" s="141" t="s">
        <v>145</v>
      </c>
    </row>
    <row r="6" spans="1:9">
      <c r="A6" s="137" t="s">
        <v>144</v>
      </c>
      <c r="B6" s="138">
        <v>294135</v>
      </c>
      <c r="C6" s="138">
        <v>313974</v>
      </c>
      <c r="D6" s="138">
        <v>18358039.994071011</v>
      </c>
    </row>
    <row r="7" spans="1:9">
      <c r="A7" s="137" t="s">
        <v>143</v>
      </c>
      <c r="B7" s="136">
        <v>131535</v>
      </c>
      <c r="C7" s="136">
        <v>150161</v>
      </c>
      <c r="D7" s="136">
        <v>6983539.8465758003</v>
      </c>
    </row>
    <row r="8" spans="1:9">
      <c r="A8" s="137" t="s">
        <v>142</v>
      </c>
      <c r="B8" s="139">
        <v>137435</v>
      </c>
      <c r="C8" s="139">
        <v>76135</v>
      </c>
      <c r="D8" s="139">
        <v>7539073.0040449528</v>
      </c>
    </row>
    <row r="9" spans="1:9">
      <c r="A9" s="132"/>
      <c r="B9" s="138">
        <f>SUM(B6:B8)</f>
        <v>563105</v>
      </c>
      <c r="C9" s="138">
        <f>SUM(C6:C8)</f>
        <v>540270</v>
      </c>
      <c r="D9" s="138">
        <f>SUM(D6:D8)</f>
        <v>32880652.844691765</v>
      </c>
    </row>
    <row r="10" spans="1:9">
      <c r="A10" s="137" t="s">
        <v>141</v>
      </c>
      <c r="B10" s="136">
        <v>5470</v>
      </c>
      <c r="C10" s="136">
        <v>8847</v>
      </c>
      <c r="D10" s="136">
        <v>236628.38503347302</v>
      </c>
    </row>
    <row r="11" spans="1:9">
      <c r="A11" s="135" t="s">
        <v>140</v>
      </c>
      <c r="B11" s="134">
        <f>+B9/B10</f>
        <v>102.94424131627056</v>
      </c>
      <c r="C11" s="134">
        <f>+C9/C10</f>
        <v>61.06815869786368</v>
      </c>
      <c r="D11" s="134">
        <f>+D9/D10</f>
        <v>138.95481237401222</v>
      </c>
    </row>
    <row r="12" spans="1:9">
      <c r="A12" s="132"/>
      <c r="B12" s="132"/>
      <c r="C12" s="132"/>
      <c r="D12" s="132"/>
      <c r="E12" s="132"/>
      <c r="F12" s="132"/>
    </row>
    <row r="13" spans="1:9">
      <c r="A13" s="132"/>
      <c r="B13" s="132"/>
      <c r="C13" s="132"/>
      <c r="D13" s="132"/>
      <c r="E13" s="132"/>
      <c r="F13" s="132"/>
      <c r="G13" s="132"/>
      <c r="H13" s="132"/>
      <c r="I13" s="132"/>
    </row>
    <row r="14" spans="1:9" ht="30" customHeight="1">
      <c r="A14" s="133"/>
      <c r="B14" s="133"/>
      <c r="C14" s="133"/>
      <c r="D14" s="133"/>
      <c r="E14" s="133"/>
      <c r="F14" s="133"/>
      <c r="G14" s="133"/>
    </row>
    <row r="15" spans="1:9">
      <c r="A15" s="132"/>
      <c r="B15" s="132"/>
      <c r="C15" s="132"/>
      <c r="D15" s="132"/>
      <c r="E15" s="132"/>
      <c r="F15" s="132"/>
      <c r="G15" s="132"/>
    </row>
    <row r="16" spans="1:9">
      <c r="A16" s="132"/>
      <c r="B16" s="132"/>
      <c r="C16" s="132"/>
      <c r="D16" s="132"/>
      <c r="E16" s="132"/>
      <c r="F16" s="132"/>
      <c r="G16" s="132"/>
    </row>
    <row r="17" spans="1:7">
      <c r="A17" s="132"/>
      <c r="B17" s="132"/>
      <c r="C17" s="132"/>
      <c r="D17" s="132"/>
      <c r="E17" s="132"/>
      <c r="F17" s="132"/>
      <c r="G17" s="132"/>
    </row>
    <row r="18" spans="1:7">
      <c r="A18" s="132"/>
      <c r="B18" s="132"/>
      <c r="C18" s="132"/>
      <c r="D18" s="132"/>
      <c r="E18" s="132"/>
      <c r="F18" s="132"/>
      <c r="G18" s="132"/>
    </row>
    <row r="19" spans="1:7">
      <c r="A19" s="132"/>
      <c r="B19" s="132"/>
      <c r="C19" s="132"/>
      <c r="D19" s="132"/>
      <c r="E19" s="132"/>
      <c r="F19" s="132"/>
      <c r="G19" s="132"/>
    </row>
    <row r="20" spans="1:7">
      <c r="A20" s="132"/>
      <c r="B20" s="132"/>
      <c r="C20" s="132"/>
      <c r="D20" s="132"/>
      <c r="E20" s="132"/>
      <c r="F20" s="132"/>
      <c r="G20" s="132"/>
    </row>
    <row r="21" spans="1:7">
      <c r="A21" s="132"/>
      <c r="B21" s="132"/>
      <c r="C21" s="132"/>
      <c r="D21" s="132"/>
      <c r="E21" s="132"/>
      <c r="F21" s="132"/>
      <c r="G21" s="132"/>
    </row>
    <row r="23" spans="1:7">
      <c r="B23" s="131"/>
    </row>
    <row r="41" ht="11.25" customHeight="1"/>
    <row r="53" spans="1:1" ht="270">
      <c r="A53" s="151" t="s">
        <v>150</v>
      </c>
    </row>
  </sheetData>
  <mergeCells count="3">
    <mergeCell ref="B4:D4"/>
    <mergeCell ref="A1:F1"/>
    <mergeCell ref="A2:F2"/>
  </mergeCells>
  <pageMargins left="1" right="0.5" top="1" bottom="1" header="0.5" footer="0.5"/>
  <pageSetup scale="98" fitToHeight="0" orientation="portrait" r:id="rId1"/>
  <headerFooter>
    <oddFooter>&amp;LTestimony of Christopher T. Mickelson
Docket UE-130043&amp;RExhibit No. ___ (CTM-2)
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2013-06-21T07:00:00+00:00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40A6EBE-F1F6-440C-955D-3C0069EC5736}"/>
</file>

<file path=customXml/itemProps2.xml><?xml version="1.0" encoding="utf-8"?>
<ds:datastoreItem xmlns:ds="http://schemas.openxmlformats.org/officeDocument/2006/customXml" ds:itemID="{38F087EE-D1C4-41C4-8247-78F9E590E5FD}"/>
</file>

<file path=customXml/itemProps3.xml><?xml version="1.0" encoding="utf-8"?>
<ds:datastoreItem xmlns:ds="http://schemas.openxmlformats.org/officeDocument/2006/customXml" ds:itemID="{F87C5353-F975-4995-AC62-51A422168070}"/>
</file>

<file path=customXml/itemProps4.xml><?xml version="1.0" encoding="utf-8"?>
<ds:datastoreItem xmlns:ds="http://schemas.openxmlformats.org/officeDocument/2006/customXml" ds:itemID="{D60C93CC-341E-4417-8C8F-08B14DF89B08}"/>
</file>

<file path=customXml/itemProps5.xml><?xml version="1.0" encoding="utf-8"?>
<ds:datastoreItem xmlns:ds="http://schemas.openxmlformats.org/officeDocument/2006/customXml" ds:itemID="{FED93A7B-749E-4DF3-960E-1B041C058C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Page 1, 3.8 - Schedule 300</vt:lpstr>
      <vt:lpstr>Page 2, 3.8.1 - Schedule 300</vt:lpstr>
      <vt:lpstr>Page 3, 3.8.2 - Schedule 300</vt:lpstr>
      <vt:lpstr>Page 3, 3.8.2 - 3-Yr. Average</vt:lpstr>
      <vt:lpstr>WUTC 20.2</vt:lpstr>
      <vt:lpstr>Reconnection Charge</vt:lpstr>
      <vt:lpstr>Tampering</vt:lpstr>
      <vt:lpstr>WUTC 21</vt:lpstr>
      <vt:lpstr>'Reconnection Charge'!Print_Area</vt:lpstr>
      <vt:lpstr>'WUTC 20.2'!Print_Titles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No. ___ (CTM-2)</dc:title>
  <dc:subject>Schedule 300 Fee Charge</dc:subject>
  <dc:creator/>
  <cp:keywords>Schedule 300, Adjustment 3.8</cp:keywords>
  <cp:lastModifiedBy/>
  <dcterms:created xsi:type="dcterms:W3CDTF">2012-12-20T22:52:45Z</dcterms:created>
  <dcterms:modified xsi:type="dcterms:W3CDTF">2013-06-19T20:45:01Z</dcterms:modified>
  <cp:category>Schedule 300 Fee Charge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