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4.2022\"/>
    </mc:Choice>
  </mc:AlternateContent>
  <xr:revisionPtr revIDLastSave="0" documentId="13_ncr:1_{C8150619-3A54-4B5F-8E2B-4AC33F7FB0F5}" xr6:coauthVersionLast="46" xr6:coauthVersionMax="46" xr10:uidLastSave="{00000000-0000-0000-0000-000000000000}"/>
  <bookViews>
    <workbookView xWindow="-120" yWindow="-120" windowWidth="29040" windowHeight="15840" tabRatio="772" activeTab="3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191010 WA DEF" sheetId="39" r:id="rId5"/>
    <sheet name="191000 WA Amort" sheetId="41" r:id="rId6"/>
  </sheets>
  <externalReferences>
    <externalReference r:id="rId7"/>
    <externalReference r:id="rId8"/>
    <externalReference r:id="rId9"/>
  </externalReferences>
  <definedNames>
    <definedName name="Actual_Cost_Per_MMBtu" localSheetId="5">'[1]Oregon Gas Costs - 1999'!#REF!</definedName>
    <definedName name="Actual_Cost_Per_MMBtu">'[1]Oregon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Balancing_Account_Summary" localSheetId="5">#REF!</definedName>
    <definedName name="Balancing_Account_Summary">#REF!</definedName>
    <definedName name="Budgeted_Costs_Volumes" localSheetId="5">#REF!</definedName>
    <definedName name="Budgeted_Costs_Volumes">#REF!</definedName>
    <definedName name="Commodity_Costs" localSheetId="5">#REF!</definedName>
    <definedName name="Commodity_Costs">#REF!</definedName>
    <definedName name="_xlnm.Database" localSheetId="5">'[2]May 2000'!#REF!</definedName>
    <definedName name="_xlnm.Database">'[2]May 2000'!#REF!</definedName>
    <definedName name="EIA857_Report_Info" localSheetId="5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>'[1]Oregon Gas Costs - 1999'!#REF!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DecPretaxRate">[3]Start!$C$8</definedName>
    <definedName name="Notes" localSheetId="5">#REF!</definedName>
    <definedName name="Notes">#REF!</definedName>
    <definedName name="_xlnm.Print_Area" localSheetId="5">'191000 WA Amort'!$A$1:$S$45</definedName>
    <definedName name="_xlnm.Print_Area" localSheetId="4">'191010 WA DEF'!$A$1:$L$45</definedName>
    <definedName name="_xlnm.Print_Area" localSheetId="3">'Apr 22'!$B$1:$R$48</definedName>
    <definedName name="_xlnm.Print_Area" localSheetId="1">'Feb 22'!$B$1:$R$48</definedName>
    <definedName name="_xlnm.Print_Area" localSheetId="0">'Jan 22'!$B$1:$R$48</definedName>
    <definedName name="_xlnm.Print_Area" localSheetId="2">'Mar 22'!$B$1:$R$48</definedName>
    <definedName name="SPREADSHEET_DOCUMENTATION" localSheetId="5">#REF!</definedName>
    <definedName name="SPREADSHEET_DOCUMENTATION">#REF!</definedName>
    <definedName name="Summary_of_Off_system_Sales" localSheetId="5">'[1]Oregon Gas Costs - 1999'!#REF!</definedName>
    <definedName name="Summary_of_Off_system_Sales">'[1]Oregon Gas Costs - 1999'!#REF!</definedName>
    <definedName name="Transportation_Costs" localSheetId="5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41" l="1"/>
  <c r="R28" i="77"/>
  <c r="R27" i="77"/>
  <c r="R26" i="77"/>
  <c r="R25" i="77"/>
  <c r="R24" i="77"/>
  <c r="R23" i="77"/>
  <c r="D1396" i="77" l="1"/>
  <c r="L28" i="77"/>
  <c r="P27" i="77"/>
  <c r="L27" i="77"/>
  <c r="P26" i="77"/>
  <c r="L26" i="77"/>
  <c r="P25" i="77"/>
  <c r="L25" i="77"/>
  <c r="P24" i="77"/>
  <c r="M24" i="77"/>
  <c r="M25" i="77" s="1"/>
  <c r="L24" i="77"/>
  <c r="N24" i="77" s="1"/>
  <c r="P23" i="77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N17" i="77" l="1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G8" i="77" l="1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G53" i="39"/>
  <c r="G52" i="39"/>
  <c r="G50" i="39"/>
  <c r="H14" i="77" l="1"/>
  <c r="H39" i="77" s="1"/>
  <c r="N35" i="77" s="1"/>
  <c r="E39" i="77"/>
  <c r="G32" i="77"/>
  <c r="G39" i="77" s="1"/>
  <c r="M35" i="77" s="1"/>
  <c r="M28" i="77"/>
  <c r="N28" i="77" s="1"/>
  <c r="N27" i="77"/>
  <c r="P35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20" i="41"/>
  <c r="O39" i="77" l="1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P36" i="77" l="1"/>
  <c r="F22" i="39"/>
  <c r="M39" i="77"/>
  <c r="M37" i="76"/>
  <c r="F21" i="39" s="1"/>
  <c r="M39" i="76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L29" i="75" l="1"/>
  <c r="L31" i="75" s="1"/>
  <c r="R15" i="75"/>
  <c r="N36" i="75" s="1"/>
  <c r="N17" i="75"/>
  <c r="L36" i="75" s="1"/>
  <c r="I36" i="75"/>
  <c r="G35" i="75"/>
  <c r="G33" i="75"/>
  <c r="E12" i="75"/>
  <c r="E14" i="75" s="1"/>
  <c r="E32" i="75"/>
  <c r="E13" i="75"/>
  <c r="E31" i="75" s="1"/>
  <c r="I34" i="75"/>
  <c r="N25" i="75"/>
  <c r="M26" i="75"/>
  <c r="P28" i="75"/>
  <c r="P30" i="75" s="1"/>
  <c r="N24" i="75"/>
  <c r="N23" i="75"/>
  <c r="K19" i="41"/>
  <c r="F19" i="41"/>
  <c r="H19" i="41" s="1"/>
  <c r="M27" i="75" l="1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F18" i="41"/>
  <c r="E39" i="74" l="1"/>
  <c r="A23" i="39"/>
  <c r="A24" i="39" s="1"/>
  <c r="A25" i="39" s="1"/>
  <c r="A26" i="39" s="1"/>
  <c r="A27" i="39" s="1"/>
  <c r="A28" i="39" s="1"/>
  <c r="A29" i="39" s="1"/>
  <c r="A30" i="39" s="1"/>
  <c r="G32" i="74"/>
  <c r="G39" i="74" s="1"/>
  <c r="O39" i="74"/>
  <c r="F14" i="74"/>
  <c r="F39" i="74" s="1"/>
  <c r="L35" i="74" s="1"/>
  <c r="L37" i="74" s="1"/>
  <c r="G19" i="39" s="1"/>
  <c r="E42" i="74"/>
  <c r="M35" i="74" l="1"/>
  <c r="M37" i="74" s="1"/>
  <c r="F19" i="39" s="1"/>
  <c r="P35" i="74" l="1"/>
  <c r="M39" i="74"/>
  <c r="H17" i="41"/>
  <c r="F17" i="41" l="1"/>
  <c r="F16" i="41" l="1"/>
  <c r="F15" i="41" l="1"/>
  <c r="F14" i="41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H39" i="41" l="1"/>
  <c r="I39" i="41"/>
  <c r="F39" i="39" l="1"/>
  <c r="E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I8" i="39"/>
  <c r="O9" i="41"/>
  <c r="P9" i="41" s="1"/>
  <c r="S9" i="41" l="1"/>
  <c r="E10" i="41"/>
  <c r="O10" i="41" s="1"/>
  <c r="P10" i="41" s="1"/>
  <c r="L8" i="39"/>
  <c r="E9" i="39"/>
  <c r="H9" i="39" s="1"/>
  <c r="S10" i="41" l="1"/>
  <c r="E11" i="41"/>
  <c r="O11" i="41" s="1"/>
  <c r="P11" i="41" s="1"/>
  <c r="I9" i="39"/>
  <c r="S11" i="41" l="1"/>
  <c r="E12" i="41"/>
  <c r="O12" i="41" s="1"/>
  <c r="P12" i="41" s="1"/>
  <c r="L9" i="39"/>
  <c r="E10" i="39"/>
  <c r="H10" i="39" s="1"/>
  <c r="S12" i="41" l="1"/>
  <c r="E13" i="41"/>
  <c r="O13" i="41" s="1"/>
  <c r="P13" i="41" s="1"/>
  <c r="I10" i="39"/>
  <c r="E14" i="41" l="1"/>
  <c r="O14" i="41" s="1"/>
  <c r="P14" i="41" s="1"/>
  <c r="S13" i="41"/>
  <c r="L10" i="39"/>
  <c r="E11" i="39"/>
  <c r="H11" i="39" s="1"/>
  <c r="E15" i="41" l="1"/>
  <c r="O15" i="41" s="1"/>
  <c r="P15" i="41" s="1"/>
  <c r="S14" i="41"/>
  <c r="I11" i="39"/>
  <c r="E16" i="41" l="1"/>
  <c r="O16" i="41" s="1"/>
  <c r="P16" i="41" s="1"/>
  <c r="S15" i="41"/>
  <c r="L11" i="39"/>
  <c r="E12" i="39"/>
  <c r="H12" i="39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H31" i="39"/>
  <c r="P21" i="41"/>
  <c r="E23" i="39" l="1"/>
  <c r="H23" i="39" s="1"/>
  <c r="I23" i="39" s="1"/>
  <c r="E24" i="39" s="1"/>
  <c r="H24" i="39" s="1"/>
  <c r="I24" i="39" s="1"/>
  <c r="E25" i="39" s="1"/>
  <c r="H25" i="39" s="1"/>
  <c r="I25" i="39" s="1"/>
  <c r="L22" i="39"/>
  <c r="E38" i="39"/>
  <c r="F38" i="39"/>
  <c r="E37" i="39"/>
  <c r="F36" i="39"/>
  <c r="E22" i="41"/>
  <c r="O22" i="41" s="1"/>
  <c r="S21" i="41"/>
  <c r="F41" i="39" l="1"/>
  <c r="P22" i="41"/>
  <c r="O31" i="41"/>
  <c r="E26" i="39"/>
  <c r="H26" i="39" s="1"/>
  <c r="I26" i="39" s="1"/>
  <c r="E23" i="41" l="1"/>
  <c r="O23" i="41" s="1"/>
  <c r="P23" i="41" s="1"/>
  <c r="E24" i="41" s="1"/>
  <c r="O24" i="41" s="1"/>
  <c r="P24" i="41" s="1"/>
  <c r="E25" i="41" s="1"/>
  <c r="O25" i="41" s="1"/>
  <c r="P25" i="41" s="1"/>
  <c r="E26" i="41" s="1"/>
  <c r="O26" i="41" s="1"/>
  <c r="P26" i="41" s="1"/>
  <c r="E27" i="41" s="1"/>
  <c r="O27" i="41" s="1"/>
  <c r="P27" i="41" s="1"/>
  <c r="S22" i="41"/>
  <c r="I38" i="41"/>
  <c r="H38" i="41"/>
  <c r="I36" i="41"/>
  <c r="H37" i="41"/>
  <c r="E27" i="39"/>
  <c r="H27" i="39" s="1"/>
  <c r="I27" i="39" s="1"/>
  <c r="I41" i="41" l="1"/>
  <c r="E47" i="74"/>
  <c r="F47" i="74" s="1"/>
  <c r="E47" i="75"/>
  <c r="F47" i="75" s="1"/>
  <c r="E47" i="77"/>
  <c r="F47" i="77" s="1"/>
  <c r="E47" i="76"/>
  <c r="F47" i="76" s="1"/>
  <c r="E28" i="41"/>
  <c r="O28" i="41" s="1"/>
  <c r="P28" i="41" s="1"/>
  <c r="E28" i="39"/>
  <c r="H28" i="39" s="1"/>
  <c r="I28" i="39" s="1"/>
  <c r="E29" i="41" l="1"/>
  <c r="O29" i="41" s="1"/>
  <c r="P29" i="41" s="1"/>
  <c r="E29" i="39"/>
  <c r="E30" i="41" l="1"/>
  <c r="O30" i="41" s="1"/>
  <c r="P30" i="41" s="1"/>
  <c r="H29" i="39"/>
  <c r="I29" i="39" s="1"/>
  <c r="E30" i="39" l="1"/>
  <c r="H30" i="39" s="1"/>
  <c r="I30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<sst xmlns="http://schemas.openxmlformats.org/spreadsheetml/2006/main" count="712" uniqueCount="162">
  <si>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</si>
  <si>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</si>
  <si>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</si>
  <si>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</si>
  <si>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</si>
  <si>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</si>
  <si>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</si>
  <si>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</si>
  <si>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</si>
  <si>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</si>
  <si>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</si>
  <si>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</si>
  <si>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</si>
  <si>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</si>
  <si>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</si>
  <si>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</si>
  <si>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</si>
  <si>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</si>
  <si>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</si>
  <si>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</si>
  <si>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</si>
  <si>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</si>
  <si>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</si>
  <si>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</si>
  <si>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</si>
  <si>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</si>
  <si>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</si>
  <si>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</si>
  <si>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</si>
  <si>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</si>
  <si>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</si>
  <si>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</si>
  <si>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</si>
  <si>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</si>
  <si>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</si>
  <si>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</si>
  <si>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</si>
  <si>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</si>
  <si>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</si>
  <si>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</si>
  <si>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</si>
  <si>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</si>
  <si>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</si>
  <si>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</si>
  <si>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</si>
  <si>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</si>
  <si>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</si>
  <si>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</si>
  <si>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</si>
  <si>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</si>
  <si>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</si>
  <si>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</si>
  <si>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</si>
  <si>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</si>
  <si>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</si>
  <si>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</si>
  <si>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</si>
  <si>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</si>
  <si>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</si>
  <si>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</si>
  <si>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</si>
  <si>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</si>
  <si>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</si>
  <si>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</si>
  <si>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</si>
  <si>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</si>
  <si>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</si>
  <si>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</si>
  <si>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</si>
  <si>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</si>
  <si>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</si>
  <si>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</si>
  <si>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</si>
  <si>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</si>
  <si>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</si>
  <si>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</si>
  <si>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</si>
  <si>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</si>
  <si>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</si>
  <si>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</si>
  <si>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</si>
  <si>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</si>
  <si>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</si>
  <si>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</si>
  <si>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</si>
  <si>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</si>
  <si>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</si>
  <si>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</si>
  <si>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</si>
  <si>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</si>
  <si>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</si>
  <si>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</si>
  <si>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</si>
  <si>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</si>
  <si>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</si>
  <si>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</si>
  <si>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</si>
  <si>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</si>
  <si>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</si>
  <si>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</si>
  <si>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</si>
  <si>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</si>
  <si>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</si>
  <si>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</si>
  <si>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</si>
  <si>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</si>
  <si>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</si>
  <si>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</si>
  <si>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</si>
  <si>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</si>
  <si>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</si>
  <si>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</si>
  <si>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</si>
  <si>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</si>
  <si>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</si>
  <si>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</si>
  <si>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</si>
  <si>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</si>
  <si>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</si>
  <si>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</si>
  <si>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</si>
  <si>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</si>
  <si>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</si>
  <si>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</si>
  <si>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</si>
  <si>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</si>
  <si>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</si>
  <si>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</si>
  <si>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</si>
  <si>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</si>
  <si>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</si>
  <si>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</si>
  <si>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</si>
  <si>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</si>
  <si>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</si>
  <si>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</si>
  <si>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</si>
  <si>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</si>
  <si>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</si>
  <si>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</si>
  <si>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</si>
  <si>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</si>
  <si>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</si>
  <si>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202201 original:</t>
  </si>
  <si>
    <t>202201 actual:</t>
  </si>
  <si>
    <t>entry needed:</t>
  </si>
  <si>
    <t>$2.11 Jan demand rate error - fix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</si>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</sst>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9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40" fontId="34" fillId="0" borderId="18" xfId="1" applyFont="1" applyFill="1" applyBorder="1"/>
    <xf numFmtId="0" fontId="53" fillId="0" borderId="0" xfId="137" applyFont="1"/>
    <xf numFmtId="0" fontId="53" fillId="0" borderId="0" xfId="137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43" fontId="54" fillId="0" borderId="0" xfId="138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0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topLeftCell="A13"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DEF'!G52-0.01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zoomScale="60" zoomScaleNormal="60" workbookViewId="0">
      <selection activeCell="H25" sqref="H25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abSelected="1" zoomScale="60" zoomScaleNormal="60" workbookViewId="0">
      <selection activeCell="R22" sqref="R22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71"/>
      <c r="O1" s="271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72" t="s">
        <v>32</v>
      </c>
      <c r="G5" s="273"/>
      <c r="H5" s="272" t="s">
        <v>33</v>
      </c>
      <c r="I5" s="274"/>
      <c r="J5" s="31"/>
      <c r="K5" s="275" t="s">
        <v>32</v>
      </c>
      <c r="L5" s="276"/>
      <c r="M5" s="276"/>
      <c r="N5" s="277"/>
      <c r="O5" s="275" t="s">
        <v>33</v>
      </c>
      <c r="P5" s="276"/>
      <c r="Q5" s="276"/>
      <c r="R5" s="277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160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161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147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148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149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150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151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152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153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154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155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156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157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158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159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9" t="s">
        <v>111</v>
      </c>
      <c r="F45" s="270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53"/>
  <sheetViews>
    <sheetView zoomScale="90" zoomScaleNormal="90" workbookViewId="0">
      <pane ySplit="6" topLeftCell="A7" activePane="bottomLeft" state="frozen"/>
      <selection activeCell="F26" sqref="F26"/>
      <selection pane="bottomLeft" activeCell="H17" sqref="H17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9150074.7100000009</v>
      </c>
      <c r="L22" s="81">
        <f t="shared" ref="L22" si="26">K22-I22</f>
        <v>-3896842.7374109942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/>
      <c r="C23" s="57"/>
      <c r="D23" s="60">
        <v>0</v>
      </c>
      <c r="E23" s="79">
        <f t="shared" si="19"/>
        <v>13046917.447410995</v>
      </c>
      <c r="F23" s="78"/>
      <c r="G23" s="78"/>
      <c r="H23" s="58">
        <f t="shared" si="25"/>
        <v>0</v>
      </c>
      <c r="I23" s="98">
        <f t="shared" si="21"/>
        <v>13046917.447410995</v>
      </c>
      <c r="J23" s="59"/>
      <c r="K23" s="80"/>
      <c r="L23" s="81"/>
      <c r="M23" s="70"/>
      <c r="N23" s="242"/>
      <c r="O23" s="242"/>
    </row>
    <row r="24" spans="1:23" s="40" customFormat="1" ht="15.75">
      <c r="A24" s="72">
        <f t="shared" si="23"/>
        <v>202206</v>
      </c>
      <c r="B24" s="77"/>
      <c r="C24" s="57"/>
      <c r="D24" s="60">
        <v>0</v>
      </c>
      <c r="E24" s="79">
        <f t="shared" si="19"/>
        <v>13046917.447410995</v>
      </c>
      <c r="F24" s="78"/>
      <c r="G24" s="78"/>
      <c r="H24" s="58">
        <f t="shared" si="25"/>
        <v>0</v>
      </c>
      <c r="I24" s="98">
        <f t="shared" si="21"/>
        <v>13046917.447410995</v>
      </c>
      <c r="J24" s="59"/>
      <c r="K24" s="80"/>
      <c r="L24" s="81"/>
      <c r="M24" s="70"/>
      <c r="N24" s="242"/>
      <c r="O24" s="242"/>
    </row>
    <row r="25" spans="1:23" s="40" customFormat="1" ht="15.75">
      <c r="A25" s="72">
        <f t="shared" si="23"/>
        <v>202207</v>
      </c>
      <c r="B25" s="77"/>
      <c r="C25" s="57"/>
      <c r="D25" s="60">
        <v>0</v>
      </c>
      <c r="E25" s="79">
        <f t="shared" si="19"/>
        <v>13046917.447410995</v>
      </c>
      <c r="F25" s="78"/>
      <c r="G25" s="78"/>
      <c r="H25" s="58">
        <f t="shared" si="25"/>
        <v>0</v>
      </c>
      <c r="I25" s="98">
        <f>SUM(E25:H25)</f>
        <v>13046917.447410995</v>
      </c>
      <c r="J25" s="59"/>
      <c r="K25" s="80"/>
      <c r="L25" s="81"/>
      <c r="M25" s="70"/>
      <c r="N25" s="242"/>
    </row>
    <row r="26" spans="1:23" s="40" customFormat="1" ht="15.75">
      <c r="A26" s="72">
        <f t="shared" si="23"/>
        <v>202208</v>
      </c>
      <c r="B26" s="77"/>
      <c r="C26" s="57"/>
      <c r="D26" s="60">
        <v>0</v>
      </c>
      <c r="E26" s="79">
        <f t="shared" si="19"/>
        <v>13046917.447410995</v>
      </c>
      <c r="F26" s="78"/>
      <c r="G26" s="78"/>
      <c r="H26" s="58">
        <f t="shared" si="25"/>
        <v>0</v>
      </c>
      <c r="I26" s="98">
        <f>SUM(E26:H26)</f>
        <v>13046917.447410995</v>
      </c>
      <c r="J26" s="59"/>
      <c r="K26" s="80"/>
      <c r="L26" s="81"/>
      <c r="M26" s="70"/>
    </row>
    <row r="27" spans="1:23" s="40" customFormat="1" ht="15.75">
      <c r="A27" s="72">
        <f t="shared" si="23"/>
        <v>202209</v>
      </c>
      <c r="B27" s="77"/>
      <c r="C27" s="57"/>
      <c r="D27" s="60">
        <v>0</v>
      </c>
      <c r="E27" s="79">
        <f t="shared" si="19"/>
        <v>13046917.447410995</v>
      </c>
      <c r="F27" s="78"/>
      <c r="G27" s="78"/>
      <c r="H27" s="58">
        <f t="shared" si="25"/>
        <v>0</v>
      </c>
      <c r="I27" s="98">
        <f t="shared" ref="I27:I28" si="27">SUM(E27:H27)</f>
        <v>13046917.447410995</v>
      </c>
      <c r="J27" s="59"/>
      <c r="K27" s="80"/>
      <c r="L27" s="81"/>
      <c r="M27" s="70"/>
    </row>
    <row r="28" spans="1:23" s="40" customFormat="1" ht="15.75">
      <c r="A28" s="72">
        <f t="shared" si="23"/>
        <v>202210</v>
      </c>
      <c r="B28" s="77"/>
      <c r="C28" s="57"/>
      <c r="D28" s="60">
        <v>0</v>
      </c>
      <c r="E28" s="79">
        <f t="shared" si="19"/>
        <v>13046917.447410995</v>
      </c>
      <c r="F28" s="78"/>
      <c r="G28" s="78"/>
      <c r="H28" s="58">
        <f t="shared" si="25"/>
        <v>0</v>
      </c>
      <c r="I28" s="98">
        <f t="shared" si="27"/>
        <v>13046917.447410995</v>
      </c>
      <c r="J28" s="59"/>
      <c r="K28" s="80"/>
      <c r="L28" s="81"/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13046917.447410995</v>
      </c>
      <c r="F29" s="78"/>
      <c r="G29" s="78"/>
      <c r="H29" s="58">
        <f t="shared" si="25"/>
        <v>0</v>
      </c>
      <c r="I29" s="98">
        <f>SUM(E29:H29)</f>
        <v>13046917.447410995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13046917.447410995</v>
      </c>
      <c r="F30" s="62"/>
      <c r="G30" s="62"/>
      <c r="H30" s="63">
        <f t="shared" si="25"/>
        <v>0</v>
      </c>
      <c r="I30" s="107">
        <f t="shared" ref="I30" si="28">SUM(E30:H30)</f>
        <v>13046917.447410995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3922154.6497640009</v>
      </c>
      <c r="G31" s="64">
        <f>SUMIF($A$7:$A$30,$D34,G$7:G$30)</f>
        <v>-55329.702875999967</v>
      </c>
      <c r="H31" s="64">
        <f>SUMIF($A$7:$A$30,$D34,H$7:H$30)</f>
        <v>30017.78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202204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30017.78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>
        <f>IF($F$31+$G$31+H31&gt;0,ABS($F$31+$G$31+H31),"")</f>
        <v>3896842.7268880005</v>
      </c>
      <c r="F38" s="54" t="str">
        <f>IF($F$31+$G$31+H31&lt;0,ABS($F$31+$G$31+H31),"")</f>
        <v/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3866824.9468880007</v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  <row r="48" spans="1:23">
      <c r="D48" s="55"/>
      <c r="E48" s="278" t="s">
        <v>146</v>
      </c>
      <c r="F48" s="278"/>
      <c r="G48" s="278"/>
      <c r="I48" s="33"/>
      <c r="J48" s="32"/>
      <c r="L48" s="71"/>
      <c r="M48" s="32"/>
    </row>
    <row r="49" spans="4:13">
      <c r="D49" s="55"/>
      <c r="E49" s="267" t="s">
        <v>143</v>
      </c>
      <c r="F49" s="267" t="s">
        <v>144</v>
      </c>
      <c r="G49" s="268" t="s">
        <v>145</v>
      </c>
      <c r="I49" s="33"/>
      <c r="J49" s="32"/>
      <c r="L49" s="71"/>
      <c r="M49" s="32"/>
    </row>
    <row r="50" spans="4:13">
      <c r="D50" s="52" t="s">
        <v>54</v>
      </c>
      <c r="E50" s="54">
        <v>-12303.63</v>
      </c>
      <c r="F50" s="54">
        <v>-12303.63</v>
      </c>
      <c r="G50" s="266">
        <f>F50-E50</f>
        <v>0</v>
      </c>
      <c r="H50" s="265"/>
      <c r="I50" s="33"/>
      <c r="J50" s="32"/>
      <c r="L50" s="71"/>
      <c r="M50" s="32"/>
    </row>
    <row r="51" spans="4:13">
      <c r="D51" s="52" t="s">
        <v>55</v>
      </c>
      <c r="E51" s="54"/>
      <c r="F51" s="54"/>
      <c r="G51" s="266"/>
      <c r="H51" s="265"/>
      <c r="I51" s="33"/>
      <c r="J51" s="32"/>
      <c r="L51" s="71"/>
      <c r="M51" s="32"/>
    </row>
    <row r="52" spans="4:13">
      <c r="D52" s="52" t="s">
        <v>56</v>
      </c>
      <c r="E52" s="54">
        <v>3002302.58</v>
      </c>
      <c r="F52" s="54">
        <v>3002304.7</v>
      </c>
      <c r="G52" s="266">
        <f>F52-E52-0.01</f>
        <v>2.1100000001117589</v>
      </c>
      <c r="H52" s="265"/>
      <c r="I52" s="33"/>
      <c r="J52" s="32"/>
      <c r="L52" s="71"/>
      <c r="M52" s="32"/>
    </row>
    <row r="53" spans="4:13">
      <c r="D53" s="52" t="s">
        <v>57</v>
      </c>
      <c r="E53" s="54">
        <v>-2989998.95</v>
      </c>
      <c r="F53" s="54">
        <v>-2990001.07</v>
      </c>
      <c r="G53" s="266">
        <f>F53-E53+0.01</f>
        <v>-2.1099999996460976</v>
      </c>
      <c r="H53" s="265"/>
      <c r="I53" s="33"/>
      <c r="J53" s="32"/>
      <c r="L53" s="71"/>
      <c r="M53" s="32"/>
    </row>
  </sheetData>
  <mergeCells count="1">
    <mergeCell ref="E48:G48"/>
  </mergeCells>
  <printOptions horizontalCentered="1"/>
  <pageMargins left="0.25" right="0.25" top="0.5" bottom="0.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R22" sqref="R22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0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1">F20*G20</f>
        <v>-399883.68286</v>
      </c>
      <c r="I20" s="257">
        <v>7967454</v>
      </c>
      <c r="J20" s="90">
        <v>-2.9020000000000001E-2</v>
      </c>
      <c r="K20" s="101">
        <f t="shared" ref="K20:K28" si="22">I20*J20</f>
        <v>-231215.51508000001</v>
      </c>
      <c r="L20" s="99"/>
      <c r="M20" s="90"/>
      <c r="N20" s="101">
        <f t="shared" ref="N20:N28" si="23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>R20-P20</f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0"/>
        <v>7039422.3188469987</v>
      </c>
      <c r="F21" s="257">
        <f>14466885+38681</f>
        <v>14505566</v>
      </c>
      <c r="G21" s="90">
        <v>-2.0060000000000001E-2</v>
      </c>
      <c r="H21" s="101">
        <f t="shared" si="21"/>
        <v>-290981.65396000003</v>
      </c>
      <c r="I21" s="257">
        <v>6530840</v>
      </c>
      <c r="J21" s="90">
        <v>-2.9020000000000001E-2</v>
      </c>
      <c r="K21" s="101">
        <f t="shared" si="22"/>
        <v>-189524.9768</v>
      </c>
      <c r="L21" s="99"/>
      <c r="M21" s="90"/>
      <c r="N21" s="101">
        <f t="shared" si="23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>R21-P21</f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0"/>
        <v>6577330.1080869986</v>
      </c>
      <c r="F22" s="257">
        <f>12130478+33753</f>
        <v>12164231</v>
      </c>
      <c r="G22" s="90">
        <v>-2.0060000000000001E-2</v>
      </c>
      <c r="H22" s="101">
        <f t="shared" si="21"/>
        <v>-244014.47386000003</v>
      </c>
      <c r="I22" s="257">
        <v>5534897</v>
      </c>
      <c r="J22" s="90">
        <v>-2.9020000000000001E-2</v>
      </c>
      <c r="K22" s="101">
        <f t="shared" si="22"/>
        <v>-160622.71093999999</v>
      </c>
      <c r="L22" s="99"/>
      <c r="M22" s="90"/>
      <c r="N22" s="101">
        <f t="shared" si="23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6577330.0899999999</v>
      </c>
      <c r="S22" s="81">
        <f>R22-P22</f>
        <v>387371.50671300106</v>
      </c>
    </row>
    <row r="23" spans="1:23">
      <c r="A23" s="135" t="s">
        <v>133</v>
      </c>
      <c r="B23" s="89"/>
      <c r="C23" s="60">
        <v>0</v>
      </c>
      <c r="D23" s="60">
        <v>0</v>
      </c>
      <c r="E23" s="91">
        <f t="shared" si="20"/>
        <v>6189958.5832869988</v>
      </c>
      <c r="F23" s="257"/>
      <c r="G23" s="90"/>
      <c r="H23" s="101">
        <f t="shared" si="21"/>
        <v>0</v>
      </c>
      <c r="I23" s="257"/>
      <c r="J23" s="90"/>
      <c r="K23" s="101">
        <f t="shared" si="22"/>
        <v>0</v>
      </c>
      <c r="L23" s="99"/>
      <c r="M23" s="90"/>
      <c r="N23" s="101">
        <f t="shared" si="23"/>
        <v>0</v>
      </c>
      <c r="O23" s="98">
        <f t="shared" si="12"/>
        <v>0</v>
      </c>
      <c r="P23" s="58">
        <f t="shared" si="18"/>
        <v>6189958.5832869988</v>
      </c>
      <c r="Q23" s="46"/>
      <c r="R23" s="80"/>
      <c r="S23" s="81"/>
    </row>
    <row r="24" spans="1:23">
      <c r="A24" s="135" t="s">
        <v>134</v>
      </c>
      <c r="B24" s="89"/>
      <c r="C24" s="60">
        <v>0</v>
      </c>
      <c r="D24" s="60">
        <v>0</v>
      </c>
      <c r="E24" s="91">
        <f t="shared" si="20"/>
        <v>6189958.5832869988</v>
      </c>
      <c r="F24" s="257"/>
      <c r="G24" s="90"/>
      <c r="H24" s="101">
        <f t="shared" si="21"/>
        <v>0</v>
      </c>
      <c r="I24" s="257"/>
      <c r="J24" s="90"/>
      <c r="K24" s="101">
        <f t="shared" si="22"/>
        <v>0</v>
      </c>
      <c r="L24" s="99"/>
      <c r="M24" s="90"/>
      <c r="N24" s="101">
        <f t="shared" si="23"/>
        <v>0</v>
      </c>
      <c r="O24" s="98">
        <f>ROUND(((E24*(B24/12))+(H24+K24+N24)/2*(B24/12)),2)</f>
        <v>0</v>
      </c>
      <c r="P24" s="58">
        <f t="shared" si="18"/>
        <v>6189958.5832869988</v>
      </c>
      <c r="Q24" s="46"/>
      <c r="R24" s="80"/>
      <c r="S24" s="81"/>
    </row>
    <row r="25" spans="1:23">
      <c r="A25" s="135" t="s">
        <v>135</v>
      </c>
      <c r="B25" s="89"/>
      <c r="C25" s="60">
        <v>0</v>
      </c>
      <c r="D25" s="60">
        <v>0</v>
      </c>
      <c r="E25" s="91">
        <f t="shared" si="20"/>
        <v>6189958.5832869988</v>
      </c>
      <c r="F25" s="257"/>
      <c r="G25" s="90"/>
      <c r="H25" s="101">
        <f t="shared" si="21"/>
        <v>0</v>
      </c>
      <c r="I25" s="257"/>
      <c r="J25" s="90"/>
      <c r="K25" s="101">
        <f t="shared" si="22"/>
        <v>0</v>
      </c>
      <c r="L25" s="99"/>
      <c r="M25" s="90"/>
      <c r="N25" s="101">
        <f t="shared" si="23"/>
        <v>0</v>
      </c>
      <c r="O25" s="98">
        <f t="shared" ref="O25:O30" si="24">ROUND(((E25*(B25/12))+(H25+K25+N25)/2*(B25/12)),2)</f>
        <v>0</v>
      </c>
      <c r="P25" s="58">
        <f t="shared" si="18"/>
        <v>6189958.5832869988</v>
      </c>
      <c r="Q25" s="46"/>
      <c r="R25" s="80"/>
      <c r="S25" s="81"/>
    </row>
    <row r="26" spans="1:23">
      <c r="A26" s="135" t="s">
        <v>136</v>
      </c>
      <c r="B26" s="89"/>
      <c r="C26" s="60">
        <v>0</v>
      </c>
      <c r="D26" s="60">
        <v>0</v>
      </c>
      <c r="E26" s="91">
        <f t="shared" si="20"/>
        <v>6189958.5832869988</v>
      </c>
      <c r="F26" s="257"/>
      <c r="G26" s="90"/>
      <c r="H26" s="101">
        <f t="shared" si="21"/>
        <v>0</v>
      </c>
      <c r="I26" s="257"/>
      <c r="J26" s="90"/>
      <c r="K26" s="101">
        <f t="shared" si="22"/>
        <v>0</v>
      </c>
      <c r="L26" s="99"/>
      <c r="M26" s="90"/>
      <c r="N26" s="101">
        <f t="shared" si="23"/>
        <v>0</v>
      </c>
      <c r="O26" s="98">
        <f t="shared" si="24"/>
        <v>0</v>
      </c>
      <c r="P26" s="58">
        <f t="shared" si="18"/>
        <v>6189958.5832869988</v>
      </c>
      <c r="Q26" s="46"/>
      <c r="R26" s="80"/>
      <c r="S26" s="81"/>
      <c r="U26" s="148"/>
    </row>
    <row r="27" spans="1:23">
      <c r="A27" s="135" t="s">
        <v>137</v>
      </c>
      <c r="B27" s="89"/>
      <c r="C27" s="60">
        <v>0</v>
      </c>
      <c r="D27" s="60">
        <v>0</v>
      </c>
      <c r="E27" s="91">
        <f t="shared" si="20"/>
        <v>6189958.5832869988</v>
      </c>
      <c r="F27" s="257"/>
      <c r="G27" s="90"/>
      <c r="H27" s="101">
        <f t="shared" si="21"/>
        <v>0</v>
      </c>
      <c r="I27" s="257"/>
      <c r="J27" s="90"/>
      <c r="K27" s="101">
        <f t="shared" si="22"/>
        <v>0</v>
      </c>
      <c r="L27" s="99"/>
      <c r="M27" s="90"/>
      <c r="N27" s="101">
        <f t="shared" si="23"/>
        <v>0</v>
      </c>
      <c r="O27" s="98">
        <f t="shared" si="24"/>
        <v>0</v>
      </c>
      <c r="P27" s="58">
        <f t="shared" si="18"/>
        <v>6189958.5832869988</v>
      </c>
      <c r="Q27" s="46"/>
      <c r="R27" s="80"/>
      <c r="S27" s="81"/>
    </row>
    <row r="28" spans="1:23">
      <c r="A28" s="135" t="s">
        <v>138</v>
      </c>
      <c r="B28" s="89"/>
      <c r="C28" s="60">
        <v>0</v>
      </c>
      <c r="D28" s="60">
        <v>0</v>
      </c>
      <c r="E28" s="91">
        <f t="shared" si="20"/>
        <v>6189958.5832869988</v>
      </c>
      <c r="F28" s="257"/>
      <c r="G28" s="90"/>
      <c r="H28" s="101">
        <f t="shared" si="21"/>
        <v>0</v>
      </c>
      <c r="I28" s="257"/>
      <c r="J28" s="90"/>
      <c r="K28" s="101">
        <f t="shared" si="22"/>
        <v>0</v>
      </c>
      <c r="L28" s="99"/>
      <c r="M28" s="90"/>
      <c r="N28" s="101">
        <f t="shared" si="23"/>
        <v>0</v>
      </c>
      <c r="O28" s="98">
        <f t="shared" si="24"/>
        <v>0</v>
      </c>
      <c r="P28" s="58">
        <f t="shared" si="18"/>
        <v>6189958.5832869988</v>
      </c>
      <c r="Q28" s="46"/>
      <c r="R28" s="80"/>
      <c r="S28" s="81"/>
    </row>
    <row r="29" spans="1:23">
      <c r="A29" s="135" t="s">
        <v>139</v>
      </c>
      <c r="B29" s="89"/>
      <c r="C29" s="60"/>
      <c r="D29" s="60"/>
      <c r="E29" s="91">
        <f t="shared" si="20"/>
        <v>6189958.5832869988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4"/>
        <v>0</v>
      </c>
      <c r="P29" s="58">
        <f>E29+H29+K29+N29+O29</f>
        <v>6189958.5832869988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0"/>
        <v>6189958.5832869988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4"/>
        <v>0</v>
      </c>
      <c r="P30" s="63">
        <f t="shared" ref="P30" si="25">E30+H30+K30+N30+O30</f>
        <v>6189958.5832869988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-244014.47386000003</v>
      </c>
      <c r="I31" s="65"/>
      <c r="J31" s="109"/>
      <c r="K31" s="64">
        <f>SUMIF($A$7:$A$30,$G34,K$7:N$30)</f>
        <v>-160622.71093999999</v>
      </c>
      <c r="L31" s="68"/>
      <c r="M31" s="111"/>
      <c r="N31" s="64">
        <f>SUMIF($A$7:$A$18,$G34,N$7:N$18)</f>
        <v>0</v>
      </c>
      <c r="O31" s="64">
        <f>SUMIF($A$7:$A$30,$G34,O$7:O$30)</f>
        <v>17265.66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202204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17265.66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387371.52480000007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</f>
        <v>404637.18480000005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9BBC95-AEC4-4BD2-AA11-3894A3E573DD}"/>
</file>

<file path=customXml/itemProps2.xml><?xml version="1.0" encoding="utf-8"?>
<ds:datastoreItem xmlns:ds="http://schemas.openxmlformats.org/officeDocument/2006/customXml" ds:itemID="{E9C4B84D-1577-420B-A313-3D56B1BE536F}"/>
</file>

<file path=customXml/itemProps3.xml><?xml version="1.0" encoding="utf-8"?>
<ds:datastoreItem xmlns:ds="http://schemas.openxmlformats.org/officeDocument/2006/customXml" ds:itemID="{D9D259AD-79FD-456D-A690-09C0408C75CB}"/>
</file>

<file path=customXml/itemProps4.xml><?xml version="1.0" encoding="utf-8"?>
<ds:datastoreItem xmlns:ds="http://schemas.openxmlformats.org/officeDocument/2006/customXml" ds:itemID="{DEB4AF41-35A9-4EB6-A1B1-54B05615E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 22</vt:lpstr>
      <vt:lpstr>Feb 22</vt:lpstr>
      <vt:lpstr>Mar 22</vt:lpstr>
      <vt:lpstr>Apr 22</vt:lpstr>
      <vt:lpstr>191010 WA DEF</vt:lpstr>
      <vt:lpstr>191000 WA Amort</vt:lpstr>
      <vt:lpstr>'191000 WA Amort'!Print_Area</vt:lpstr>
      <vt:lpstr>'191010 WA DEF'!Print_Area</vt:lpstr>
      <vt:lpstr>'Apr 22'!Print_Area</vt:lpstr>
      <vt:lpstr>'Feb 22'!Print_Area</vt:lpstr>
      <vt:lpstr>'Jan 22'!Print_Area</vt:lpstr>
      <vt:lpstr>'Mar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2022-05-24T23:00:33Z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