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sevall\Desktop\TG-190653\"/>
    </mc:Choice>
  </mc:AlternateContent>
  <bookViews>
    <workbookView xWindow="0" yWindow="0" windowWidth="28800" windowHeight="11835"/>
  </bookViews>
  <sheets>
    <sheet name="Staff 12 Month Feasibility" sheetId="4" r:id="rId1"/>
    <sheet name="Company Financials" sheetId="2" r:id="rId2"/>
    <sheet name="Tariff Rates and Revenue" sheetId="3" r:id="rId3"/>
    <sheet name="Tonnage and Customer Calcs" sheetId="6" r:id="rId4"/>
  </sheets>
  <definedNames>
    <definedName name="_xlnm.Print_Area" localSheetId="0">'Staff 12 Month Feasibility'!$A$1:$H$20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4" l="1"/>
  <c r="G44" i="4"/>
  <c r="F44" i="4"/>
  <c r="E44" i="4"/>
  <c r="D44" i="4"/>
  <c r="D40" i="4"/>
  <c r="D41" i="4"/>
  <c r="D42" i="4"/>
  <c r="D43" i="4"/>
  <c r="D39" i="4"/>
  <c r="C43" i="4"/>
  <c r="C42" i="4"/>
  <c r="C41" i="4"/>
  <c r="C40" i="4"/>
  <c r="C39" i="4"/>
  <c r="A40" i="4"/>
  <c r="B40" i="4"/>
  <c r="A41" i="4"/>
  <c r="B41" i="4"/>
  <c r="A42" i="4"/>
  <c r="B42" i="4"/>
  <c r="A43" i="4"/>
  <c r="B43" i="4"/>
  <c r="B39" i="4"/>
  <c r="A39" i="4"/>
  <c r="K24" i="6"/>
  <c r="K19" i="6"/>
  <c r="K20" i="6"/>
  <c r="K21" i="6"/>
  <c r="K22" i="6"/>
  <c r="K18" i="6"/>
  <c r="J19" i="6"/>
  <c r="J20" i="6"/>
  <c r="J21" i="6"/>
  <c r="J22" i="6"/>
  <c r="J18" i="6"/>
  <c r="K15" i="6"/>
  <c r="J15" i="6"/>
  <c r="K13" i="6"/>
  <c r="K12" i="6"/>
  <c r="K11" i="6"/>
  <c r="H38" i="4"/>
  <c r="G38" i="4"/>
  <c r="F38" i="4"/>
  <c r="E38" i="4"/>
  <c r="D38" i="4"/>
  <c r="D34" i="4"/>
  <c r="D35" i="4"/>
  <c r="D36" i="4"/>
  <c r="D37" i="4"/>
  <c r="D33" i="4"/>
  <c r="C36" i="4"/>
  <c r="C35" i="4"/>
  <c r="C34" i="4"/>
  <c r="C33" i="4"/>
  <c r="C37" i="4"/>
  <c r="B34" i="4"/>
  <c r="B35" i="4"/>
  <c r="B36" i="4"/>
  <c r="B37" i="4"/>
  <c r="B33" i="4"/>
  <c r="A34" i="4"/>
  <c r="A35" i="4"/>
  <c r="A36" i="4"/>
  <c r="A37" i="4"/>
  <c r="A33" i="4"/>
  <c r="H24" i="6"/>
  <c r="G22" i="6"/>
  <c r="H22" i="6"/>
  <c r="H19" i="6"/>
  <c r="H20" i="6"/>
  <c r="H21" i="6"/>
  <c r="H18" i="6"/>
  <c r="G19" i="6"/>
  <c r="G20" i="6"/>
  <c r="G21" i="6"/>
  <c r="G18" i="6"/>
  <c r="H15" i="6"/>
  <c r="H12" i="6"/>
  <c r="G12" i="6"/>
  <c r="H11" i="6"/>
  <c r="H32" i="4"/>
  <c r="G32" i="4"/>
  <c r="F32" i="4"/>
  <c r="E32" i="4"/>
  <c r="D32" i="4"/>
  <c r="D31" i="4"/>
  <c r="D28" i="4"/>
  <c r="D29" i="4"/>
  <c r="D30" i="4"/>
  <c r="D27" i="4"/>
  <c r="C29" i="4"/>
  <c r="C30" i="4"/>
  <c r="C28" i="4"/>
  <c r="C31" i="4"/>
  <c r="C27" i="4"/>
  <c r="B27" i="4"/>
  <c r="B28" i="4"/>
  <c r="B29" i="4"/>
  <c r="B30" i="4"/>
  <c r="B31" i="4"/>
  <c r="A31" i="4"/>
  <c r="A28" i="4"/>
  <c r="A29" i="4"/>
  <c r="A30" i="4"/>
  <c r="A27" i="4"/>
  <c r="H26" i="4"/>
  <c r="G26" i="4"/>
  <c r="F26" i="4"/>
  <c r="E24" i="6"/>
  <c r="E22" i="6"/>
  <c r="E21" i="6"/>
  <c r="E20" i="6"/>
  <c r="D21" i="6"/>
  <c r="D20" i="6"/>
  <c r="E18" i="6"/>
  <c r="E19" i="6"/>
  <c r="D19" i="6"/>
  <c r="D18" i="6"/>
  <c r="E13" i="6"/>
  <c r="E12" i="6"/>
  <c r="E11" i="6"/>
  <c r="E15" i="6" s="1"/>
  <c r="D13" i="6"/>
  <c r="D12" i="6"/>
  <c r="D11" i="6"/>
  <c r="C24" i="4"/>
  <c r="D24" i="4" s="1"/>
  <c r="C23" i="4"/>
  <c r="D23" i="4" s="1"/>
  <c r="B24" i="4"/>
  <c r="B23" i="4"/>
  <c r="A24" i="4"/>
  <c r="A23" i="4"/>
  <c r="F8" i="2"/>
  <c r="F26" i="2"/>
  <c r="F27" i="2"/>
  <c r="F28" i="2"/>
  <c r="F29" i="2"/>
  <c r="F30" i="2"/>
  <c r="F31" i="2"/>
  <c r="F32" i="2"/>
  <c r="F33" i="2"/>
  <c r="F34" i="2"/>
  <c r="F35" i="2"/>
  <c r="F25" i="2"/>
  <c r="F17" i="2"/>
  <c r="F18" i="2"/>
  <c r="F19" i="2"/>
  <c r="F20" i="2"/>
  <c r="F21" i="2"/>
  <c r="F22" i="2"/>
  <c r="F23" i="2"/>
  <c r="F16" i="2"/>
  <c r="B17" i="6"/>
  <c r="B13" i="6"/>
  <c r="B12" i="6"/>
  <c r="A2" i="6"/>
  <c r="A3" i="6"/>
  <c r="A1" i="6"/>
  <c r="C22" i="4"/>
  <c r="D22" i="4" s="1"/>
  <c r="C21" i="4"/>
  <c r="D21" i="4" s="1"/>
  <c r="B25" i="4"/>
  <c r="B22" i="4"/>
  <c r="B21" i="4"/>
  <c r="B15" i="6" l="1"/>
  <c r="B19" i="6" s="1"/>
  <c r="C25" i="4" s="1"/>
  <c r="D25" i="4" s="1"/>
  <c r="F15" i="2" s="1"/>
  <c r="F36" i="2" s="1"/>
  <c r="E26" i="4" s="1"/>
  <c r="E38" i="2"/>
  <c r="E36" i="2"/>
  <c r="I21" i="2"/>
  <c r="D26" i="4" l="1"/>
  <c r="F7" i="2" s="1"/>
  <c r="F9" i="2" s="1"/>
  <c r="F38" i="2" s="1"/>
  <c r="E9" i="2"/>
  <c r="I14" i="2" l="1"/>
  <c r="A2" i="2" l="1"/>
  <c r="A3" i="2"/>
  <c r="A1" i="2"/>
  <c r="A2" i="3"/>
  <c r="A3" i="3"/>
  <c r="A1" i="3"/>
  <c r="I24" i="2" l="1"/>
  <c r="I11" i="2"/>
  <c r="I16" i="2" l="1"/>
  <c r="I27" i="2" s="1"/>
  <c r="I28" i="2" s="1"/>
</calcChain>
</file>

<file path=xl/comments1.xml><?xml version="1.0" encoding="utf-8"?>
<comments xmlns="http://schemas.openxmlformats.org/spreadsheetml/2006/main">
  <authors>
    <author>Sevall, Scott (UTC)</author>
  </authors>
  <commentList>
    <comment ref="H5" authorId="0" shapeId="0">
      <text>
        <r>
          <rPr>
            <b/>
            <sz val="9"/>
            <color indexed="81"/>
            <rFont val="Tahoma"/>
            <family val="2"/>
          </rPr>
          <t>Sevall, Scott (UTC):</t>
        </r>
        <r>
          <rPr>
            <sz val="9"/>
            <color indexed="81"/>
            <rFont val="Tahoma"/>
            <family val="2"/>
          </rPr>
          <t xml:space="preserve">
Came from company in a follow up filing.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Sevall, Scott (UTC):</t>
        </r>
        <r>
          <rPr>
            <sz val="9"/>
            <color indexed="81"/>
            <rFont val="Tahoma"/>
            <family val="2"/>
          </rPr>
          <t xml:space="preserve">
Came from company information filed after the intial application.</t>
        </r>
      </text>
    </comment>
  </commentList>
</comments>
</file>

<file path=xl/comments2.xml><?xml version="1.0" encoding="utf-8"?>
<comments xmlns="http://schemas.openxmlformats.org/spreadsheetml/2006/main">
  <authors>
    <author>Sevall, Scott (UTC)</author>
  </authors>
  <commentList>
    <comment ref="A4" authorId="0" shapeId="0">
      <text>
        <r>
          <rPr>
            <b/>
            <sz val="9"/>
            <color indexed="81"/>
            <rFont val="Tahoma"/>
            <family val="2"/>
          </rPr>
          <t>Sevall, Scott (UTC):</t>
        </r>
        <r>
          <rPr>
            <sz val="9"/>
            <color indexed="81"/>
            <rFont val="Tahoma"/>
            <family val="2"/>
          </rPr>
          <t xml:space="preserve">
Came from company application.</t>
        </r>
      </text>
    </comment>
    <comment ref="B15" authorId="0" shapeId="0">
      <text>
        <r>
          <rPr>
            <b/>
            <sz val="9"/>
            <color indexed="81"/>
            <rFont val="Tahoma"/>
            <family val="2"/>
          </rPr>
          <t>Sevall, Scott (UTC):</t>
        </r>
        <r>
          <rPr>
            <sz val="9"/>
            <color indexed="81"/>
            <rFont val="Tahoma"/>
            <family val="2"/>
          </rPr>
          <t xml:space="preserve">
No specific MSW disposal site listed. This is required.</t>
        </r>
      </text>
    </comment>
  </commentList>
</comments>
</file>

<file path=xl/sharedStrings.xml><?xml version="1.0" encoding="utf-8"?>
<sst xmlns="http://schemas.openxmlformats.org/spreadsheetml/2006/main" count="125" uniqueCount="112">
  <si>
    <t>Prepared by Scott Sevall</t>
  </si>
  <si>
    <t>Year</t>
  </si>
  <si>
    <t>Staff Notes:</t>
  </si>
  <si>
    <t>Company Estimated Operating Expenses</t>
  </si>
  <si>
    <t>Total</t>
  </si>
  <si>
    <t>Staff Conclusion of Operating Expense</t>
  </si>
  <si>
    <t>Company Proposed Rates</t>
  </si>
  <si>
    <t>Yearly Revenue Generated</t>
  </si>
  <si>
    <t>Yearly Operating Expense</t>
  </si>
  <si>
    <t>Net Income/Loss</t>
  </si>
  <si>
    <t>Company Balance Sheet</t>
  </si>
  <si>
    <t>Assets</t>
  </si>
  <si>
    <t>Cash &amp; Securities</t>
  </si>
  <si>
    <t>Current Assets</t>
  </si>
  <si>
    <t>Long Term Assets</t>
  </si>
  <si>
    <t>Total Assets</t>
  </si>
  <si>
    <t>Liabilities</t>
  </si>
  <si>
    <t>Accounts Payable</t>
  </si>
  <si>
    <t>Short Term Liabilities</t>
  </si>
  <si>
    <t>Long Term Liabilities</t>
  </si>
  <si>
    <t>Equity</t>
  </si>
  <si>
    <t>Cash on hand</t>
  </si>
  <si>
    <t xml:space="preserve">Coverage </t>
  </si>
  <si>
    <t>Staff 12 Month Coverage Analysis</t>
  </si>
  <si>
    <t>Staff Conclusion:</t>
  </si>
  <si>
    <t>Service</t>
  </si>
  <si>
    <t>Rate</t>
  </si>
  <si>
    <t>Dump fees</t>
  </si>
  <si>
    <t>Type of Service</t>
  </si>
  <si>
    <t>Owner provided capital</t>
  </si>
  <si>
    <t>Total Liabilities and Equity</t>
  </si>
  <si>
    <t>Yearly Customers</t>
  </si>
  <si>
    <t>Item 50</t>
  </si>
  <si>
    <t>Returned Check</t>
  </si>
  <si>
    <t>Item 52</t>
  </si>
  <si>
    <t>Redelivery</t>
  </si>
  <si>
    <t>Repickup</t>
  </si>
  <si>
    <t>Item 230</t>
  </si>
  <si>
    <t>Tire Disposal</t>
  </si>
  <si>
    <t>MSW Dispoal</t>
  </si>
  <si>
    <t>Item 260</t>
  </si>
  <si>
    <t>Delivery</t>
  </si>
  <si>
    <t>Pickup</t>
  </si>
  <si>
    <t>Tonnage</t>
  </si>
  <si>
    <t>Fuel Surcharge Delivery</t>
  </si>
  <si>
    <t>Fuel Surcharge Pickup</t>
  </si>
  <si>
    <t>Docket TG-190653</t>
  </si>
  <si>
    <t>Company Revenues 2018</t>
  </si>
  <si>
    <t>Income</t>
  </si>
  <si>
    <t>Returned Check Charges</t>
  </si>
  <si>
    <t>fuel</t>
  </si>
  <si>
    <t>Parts/Repairs</t>
  </si>
  <si>
    <t>Advertising</t>
  </si>
  <si>
    <t>Bank Fees</t>
  </si>
  <si>
    <t>Bank Service Charges</t>
  </si>
  <si>
    <t>Life Insurance</t>
  </si>
  <si>
    <t>Meals &amp; Entertainment</t>
  </si>
  <si>
    <t>Office Expenses</t>
  </si>
  <si>
    <t>Professional Fees</t>
  </si>
  <si>
    <t>B&amp;O Expense</t>
  </si>
  <si>
    <t>Tires</t>
  </si>
  <si>
    <t>Tools</t>
  </si>
  <si>
    <t>Travel Expense</t>
  </si>
  <si>
    <t>Truck Expense</t>
  </si>
  <si>
    <t>Vehicle Insurance</t>
  </si>
  <si>
    <t>Work Clothes</t>
  </si>
  <si>
    <t>Accounts Receivable</t>
  </si>
  <si>
    <t>Undeposited funds</t>
  </si>
  <si>
    <t>CSS Truck and Dumpters</t>
  </si>
  <si>
    <t>Credit Cards</t>
  </si>
  <si>
    <t>Frank Olmo Loan</t>
  </si>
  <si>
    <t>Net Income</t>
  </si>
  <si>
    <t>Accountant</t>
  </si>
  <si>
    <t>Finance Charge</t>
  </si>
  <si>
    <t>Interest Expense</t>
  </si>
  <si>
    <t>Total Expenses</t>
  </si>
  <si>
    <t>These numbers come from the company financials from a historical year which the company operated. Staff has no reason to believe these numbers are not truthful.</t>
  </si>
  <si>
    <t>The company had  to submit several financials after their initial application.</t>
  </si>
  <si>
    <t>Staff Adjusted Rate</t>
  </si>
  <si>
    <t>Notes</t>
  </si>
  <si>
    <t>Moved Disposal Rate to Item 230</t>
  </si>
  <si>
    <t>$105 is the current Disposal Fee at Snohomish County Facilities. Snohomish has Flow Control Ordinance, so Company must use those facilities.</t>
  </si>
  <si>
    <t>Disposal</t>
  </si>
  <si>
    <t>Staff Notes</t>
  </si>
  <si>
    <t>To calculate the tonnage disposed of I combine Disposal and Operating Expense then divide by 115</t>
  </si>
  <si>
    <t>Operating Expense</t>
  </si>
  <si>
    <t>Account</t>
  </si>
  <si>
    <t>Dump Fees</t>
  </si>
  <si>
    <t>Amount</t>
  </si>
  <si>
    <t>Per Ton Cost</t>
  </si>
  <si>
    <t>Tons Disposed of</t>
  </si>
  <si>
    <t>Number of Yearly Customers/Tons</t>
  </si>
  <si>
    <t>Staff Adjusted Expenses for Disposal Fee</t>
  </si>
  <si>
    <t>Staff Adjusted Revenue for Disposal Fee</t>
  </si>
  <si>
    <t>Operating Expenses</t>
  </si>
  <si>
    <t>Tariff Rate</t>
  </si>
  <si>
    <t>Customer Count Adjustment</t>
  </si>
  <si>
    <t>Tonnage Calculation</t>
  </si>
  <si>
    <t>Total of tariff rates</t>
  </si>
  <si>
    <t>Total Rev minus pass-thru</t>
  </si>
  <si>
    <t>Totals with Given Calculated</t>
  </si>
  <si>
    <t>Totals With Adjusted Customer Count</t>
  </si>
  <si>
    <t>Breakeven Customer Count</t>
  </si>
  <si>
    <t>Expenses left to cover</t>
  </si>
  <si>
    <t>Break Even Customers</t>
  </si>
  <si>
    <t>Adjusted Customer Calculation</t>
  </si>
  <si>
    <t>Totals at Breakeven</t>
  </si>
  <si>
    <t>Customer Count to eleminate cash on hand</t>
  </si>
  <si>
    <t>0 cash on hand Customers</t>
  </si>
  <si>
    <t>Totals with zero cash left</t>
  </si>
  <si>
    <t>I conclude that the financial and customer estimates are reasonable and that Westside Waste has the financial capacity to provide service for at least 12 months.</t>
  </si>
  <si>
    <t>For this analysis I test the reported customer count, an adjusted customer count,  break even customer count, and a customer count that eliminates cash on hand. This test will produce results which allow us to determine what customer changes counld occur and the company would maintain operations.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</si>
</sst>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0" fillId="0" borderId="0" xfId="0" applyBorder="1"/>
    <xf numFmtId="0" fontId="2" fillId="0" borderId="1" xfId="0" applyFont="1" applyBorder="1"/>
    <xf numFmtId="0" fontId="0" fillId="0" borderId="0" xfId="0" applyAlignment="1">
      <alignment wrapText="1"/>
    </xf>
    <xf numFmtId="165" fontId="0" fillId="0" borderId="0" xfId="0" applyNumberFormat="1"/>
    <xf numFmtId="0" fontId="0" fillId="0" borderId="0" xfId="0" applyBorder="1" applyAlignment="1">
      <alignment wrapText="1"/>
    </xf>
    <xf numFmtId="0" fontId="2" fillId="0" borderId="1" xfId="0" applyFont="1" applyFill="1" applyBorder="1" applyAlignment="1">
      <alignment horizontal="center"/>
    </xf>
    <xf numFmtId="0" fontId="2" fillId="0" borderId="3" xfId="0" applyFont="1" applyBorder="1"/>
    <xf numFmtId="0" fontId="0" fillId="0" borderId="4" xfId="0" applyBorder="1"/>
    <xf numFmtId="0" fontId="0" fillId="0" borderId="5" xfId="0" applyBorder="1"/>
    <xf numFmtId="165" fontId="0" fillId="0" borderId="0" xfId="2" applyNumberFormat="1" applyFont="1" applyBorder="1"/>
    <xf numFmtId="0" fontId="2" fillId="0" borderId="5" xfId="0" applyFont="1" applyBorder="1"/>
    <xf numFmtId="0" fontId="0" fillId="0" borderId="6" xfId="0" applyBorder="1"/>
    <xf numFmtId="0" fontId="2" fillId="0" borderId="4" xfId="0" applyFont="1" applyBorder="1"/>
    <xf numFmtId="165" fontId="0" fillId="0" borderId="6" xfId="2" applyNumberFormat="1" applyFont="1" applyBorder="1"/>
    <xf numFmtId="0" fontId="2" fillId="0" borderId="9" xfId="0" applyFont="1" applyBorder="1"/>
    <xf numFmtId="0" fontId="0" fillId="0" borderId="5" xfId="0" applyBorder="1" applyAlignment="1">
      <alignment wrapText="1"/>
    </xf>
    <xf numFmtId="0" fontId="2" fillId="0" borderId="9" xfId="0" applyFont="1" applyBorder="1" applyAlignment="1">
      <alignment wrapText="1"/>
    </xf>
    <xf numFmtId="165" fontId="2" fillId="0" borderId="10" xfId="0" applyNumberFormat="1" applyFont="1" applyBorder="1"/>
    <xf numFmtId="165" fontId="0" fillId="0" borderId="10" xfId="0" applyNumberFormat="1" applyBorder="1"/>
    <xf numFmtId="0" fontId="5" fillId="0" borderId="9" xfId="0" applyFont="1" applyBorder="1" applyAlignment="1">
      <alignment wrapText="1"/>
    </xf>
    <xf numFmtId="165" fontId="5" fillId="0" borderId="10" xfId="2" applyNumberFormat="1" applyFont="1" applyBorder="1"/>
    <xf numFmtId="0" fontId="5" fillId="0" borderId="9" xfId="0" applyFont="1" applyBorder="1"/>
    <xf numFmtId="0" fontId="0" fillId="0" borderId="9" xfId="0" applyFont="1" applyBorder="1"/>
    <xf numFmtId="0" fontId="2" fillId="2" borderId="0" xfId="0" applyFont="1" applyFill="1" applyAlignment="1">
      <alignment horizontal="center"/>
    </xf>
    <xf numFmtId="0" fontId="0" fillId="0" borderId="0" xfId="0" applyFill="1" applyBorder="1"/>
    <xf numFmtId="0" fontId="0" fillId="0" borderId="0" xfId="0" applyFont="1" applyBorder="1"/>
    <xf numFmtId="9" fontId="0" fillId="0" borderId="0" xfId="0" applyNumberFormat="1"/>
    <xf numFmtId="165" fontId="0" fillId="0" borderId="0" xfId="2" applyNumberFormat="1" applyFont="1"/>
    <xf numFmtId="0" fontId="0" fillId="0" borderId="3" xfId="0" applyBorder="1"/>
    <xf numFmtId="165" fontId="0" fillId="0" borderId="10" xfId="2" applyNumberFormat="1" applyFont="1" applyBorder="1"/>
    <xf numFmtId="0" fontId="2" fillId="0" borderId="5" xfId="0" applyFont="1" applyFill="1" applyBorder="1"/>
    <xf numFmtId="0" fontId="2" fillId="0" borderId="5" xfId="0" applyFont="1" applyBorder="1" applyAlignment="1">
      <alignment wrapText="1"/>
    </xf>
    <xf numFmtId="165" fontId="5" fillId="0" borderId="10" xfId="0" applyNumberFormat="1" applyFont="1" applyBorder="1"/>
    <xf numFmtId="0" fontId="2" fillId="0" borderId="9" xfId="0" applyFont="1" applyFill="1" applyBorder="1"/>
    <xf numFmtId="1" fontId="2" fillId="0" borderId="6" xfId="2" applyNumberFormat="1" applyFont="1" applyBorder="1"/>
    <xf numFmtId="165" fontId="0" fillId="0" borderId="6" xfId="2" applyNumberFormat="1" applyFont="1" applyFill="1" applyBorder="1"/>
    <xf numFmtId="0" fontId="2" fillId="0" borderId="11" xfId="0" applyFont="1" applyFill="1" applyBorder="1"/>
    <xf numFmtId="165" fontId="0" fillId="0" borderId="12" xfId="0" applyNumberFormat="1" applyBorder="1"/>
    <xf numFmtId="0" fontId="2" fillId="2" borderId="0" xfId="0" applyFont="1" applyFill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3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0" fillId="0" borderId="5" xfId="0" applyFill="1" applyBorder="1" applyAlignment="1">
      <alignment horizontal="center" wrapText="1"/>
    </xf>
    <xf numFmtId="0" fontId="0" fillId="0" borderId="6" xfId="0" applyFill="1" applyBorder="1" applyAlignment="1">
      <alignment horizontal="center" wrapText="1"/>
    </xf>
    <xf numFmtId="0" fontId="0" fillId="0" borderId="7" xfId="0" applyFill="1" applyBorder="1" applyAlignment="1">
      <alignment horizontal="center" wrapText="1"/>
    </xf>
    <xf numFmtId="0" fontId="0" fillId="0" borderId="8" xfId="0" applyFill="1" applyBorder="1" applyAlignment="1">
      <alignment horizontal="center" wrapText="1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Fill="1"/>
    <xf numFmtId="0" fontId="0" fillId="2" borderId="0" xfId="0" applyFill="1"/>
    <xf numFmtId="0" fontId="2" fillId="2" borderId="0" xfId="0" applyFont="1" applyFill="1"/>
    <xf numFmtId="0" fontId="0" fillId="0" borderId="3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1" fontId="0" fillId="0" borderId="0" xfId="1" applyNumberFormat="1" applyFont="1"/>
    <xf numFmtId="1" fontId="0" fillId="0" borderId="0" xfId="0" applyNumberFormat="1"/>
    <xf numFmtId="0" fontId="0" fillId="0" borderId="0" xfId="0" applyBorder="1" applyAlignment="1">
      <alignment horizontal="left" wrapText="1"/>
    </xf>
    <xf numFmtId="0" fontId="0" fillId="0" borderId="2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14" fontId="0" fillId="0" borderId="0" xfId="0" applyNumberFormat="1" applyFill="1"/>
    <xf numFmtId="0" fontId="2" fillId="2" borderId="14" xfId="0" applyFont="1" applyFill="1" applyBorder="1" applyAlignment="1">
      <alignment horizontal="center"/>
    </xf>
    <xf numFmtId="1" fontId="2" fillId="0" borderId="15" xfId="2" applyNumberFormat="1" applyFont="1" applyBorder="1"/>
    <xf numFmtId="165" fontId="0" fillId="0" borderId="15" xfId="2" applyNumberFormat="1" applyFont="1" applyBorder="1"/>
    <xf numFmtId="165" fontId="0" fillId="0" borderId="16" xfId="2" applyNumberFormat="1" applyFont="1" applyBorder="1"/>
    <xf numFmtId="0" fontId="2" fillId="0" borderId="15" xfId="0" applyFont="1" applyBorder="1"/>
    <xf numFmtId="165" fontId="0" fillId="0" borderId="15" xfId="2" applyNumberFormat="1" applyFont="1" applyFill="1" applyBorder="1"/>
    <xf numFmtId="165" fontId="0" fillId="0" borderId="16" xfId="2" applyNumberFormat="1" applyFont="1" applyFill="1" applyBorder="1"/>
    <xf numFmtId="0" fontId="2" fillId="2" borderId="13" xfId="0" applyFont="1" applyFill="1" applyBorder="1" applyAlignment="1">
      <alignment horizontal="center"/>
    </xf>
    <xf numFmtId="14" fontId="0" fillId="0" borderId="0" xfId="0" applyNumberFormat="1"/>
    <xf numFmtId="0" fontId="2" fillId="2" borderId="1" xfId="0" applyFont="1" applyFill="1" applyBorder="1"/>
    <xf numFmtId="165" fontId="2" fillId="0" borderId="1" xfId="0" applyNumberFormat="1" applyFont="1" applyBorder="1"/>
    <xf numFmtId="165" fontId="2" fillId="0" borderId="1" xfId="2" applyNumberFormat="1" applyFont="1" applyBorder="1"/>
    <xf numFmtId="1" fontId="2" fillId="0" borderId="1" xfId="0" applyNumberFormat="1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tabSelected="1" zoomScaleNormal="100" workbookViewId="0">
      <selection activeCell="A44" sqref="A44:XFD44"/>
    </sheetView>
  </sheetViews>
  <sheetFormatPr defaultRowHeight="15" x14ac:dyDescent="0.25"/>
  <cols>
    <col min="1" max="1" width="23.5703125" customWidth="1"/>
    <col min="3" max="3" width="30.5703125" customWidth="1"/>
    <col min="4" max="4" width="24" customWidth="1"/>
    <col min="5" max="5" width="24.85546875" customWidth="1"/>
    <col min="6" max="6" width="15.42578125" customWidth="1"/>
    <col min="7" max="7" width="22.7109375" customWidth="1"/>
    <col min="8" max="8" width="25.7109375" customWidth="1"/>
    <col min="9" max="9" width="30.28515625" customWidth="1"/>
    <col min="10" max="10" width="17.85546875" customWidth="1"/>
    <col min="11" max="11" width="12.7109375" bestFit="1" customWidth="1"/>
    <col min="12" max="12" width="20.140625" customWidth="1"/>
  </cols>
  <sheetData>
    <row r="1" spans="1:4" x14ac:dyDescent="0.25">
      <c r="A1" s="58" t="s">
        <v>46</v>
      </c>
    </row>
    <row r="2" spans="1:4" x14ac:dyDescent="0.25">
      <c r="A2" t="s">
        <v>0</v>
      </c>
    </row>
    <row r="3" spans="1:4" x14ac:dyDescent="0.25">
      <c r="A3" s="76">
        <v>43923</v>
      </c>
    </row>
    <row r="4" spans="1:4" x14ac:dyDescent="0.25">
      <c r="A4" s="57" t="s">
        <v>24</v>
      </c>
      <c r="B4" s="57"/>
    </row>
    <row r="5" spans="1:4" x14ac:dyDescent="0.25">
      <c r="A5" s="45" t="s">
        <v>110</v>
      </c>
      <c r="B5" s="46"/>
    </row>
    <row r="6" spans="1:4" x14ac:dyDescent="0.25">
      <c r="A6" s="47"/>
      <c r="B6" s="48"/>
    </row>
    <row r="7" spans="1:4" x14ac:dyDescent="0.25">
      <c r="A7" s="47"/>
      <c r="B7" s="48"/>
    </row>
    <row r="8" spans="1:4" x14ac:dyDescent="0.25">
      <c r="A8" s="47"/>
      <c r="B8" s="48"/>
    </row>
    <row r="9" spans="1:4" x14ac:dyDescent="0.25">
      <c r="A9" s="49"/>
      <c r="B9" s="50"/>
    </row>
    <row r="11" spans="1:4" x14ac:dyDescent="0.25">
      <c r="A11" s="57" t="s">
        <v>2</v>
      </c>
      <c r="B11" s="57"/>
      <c r="C11" s="57"/>
      <c r="D11" s="57"/>
    </row>
    <row r="12" spans="1:4" ht="15" customHeight="1" x14ac:dyDescent="0.25">
      <c r="A12" s="45" t="s">
        <v>111</v>
      </c>
      <c r="B12" s="73"/>
      <c r="C12" s="73"/>
      <c r="D12" s="46"/>
    </row>
    <row r="13" spans="1:4" x14ac:dyDescent="0.25">
      <c r="A13" s="47"/>
      <c r="B13" s="74"/>
      <c r="C13" s="74"/>
      <c r="D13" s="48"/>
    </row>
    <row r="14" spans="1:4" x14ac:dyDescent="0.25">
      <c r="A14" s="47"/>
      <c r="B14" s="74"/>
      <c r="C14" s="74"/>
      <c r="D14" s="48"/>
    </row>
    <row r="15" spans="1:4" x14ac:dyDescent="0.25">
      <c r="A15" s="47"/>
      <c r="B15" s="74"/>
      <c r="C15" s="74"/>
      <c r="D15" s="48"/>
    </row>
    <row r="16" spans="1:4" x14ac:dyDescent="0.25">
      <c r="A16" s="47"/>
      <c r="B16" s="74"/>
      <c r="C16" s="74"/>
      <c r="D16" s="48"/>
    </row>
    <row r="17" spans="1:12" x14ac:dyDescent="0.25">
      <c r="A17" s="49"/>
      <c r="B17" s="75"/>
      <c r="C17" s="75"/>
      <c r="D17" s="50"/>
    </row>
    <row r="19" spans="1:12" s="59" customFormat="1" x14ac:dyDescent="0.25">
      <c r="A19" s="57" t="s">
        <v>23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</row>
    <row r="20" spans="1:12" x14ac:dyDescent="0.25">
      <c r="A20" s="2" t="s">
        <v>28</v>
      </c>
      <c r="B20" s="2" t="s">
        <v>26</v>
      </c>
      <c r="C20" s="8" t="s">
        <v>91</v>
      </c>
      <c r="D20" s="8" t="s">
        <v>7</v>
      </c>
      <c r="E20" s="8" t="s">
        <v>8</v>
      </c>
      <c r="F20" s="8" t="s">
        <v>9</v>
      </c>
      <c r="G20" s="8" t="s">
        <v>21</v>
      </c>
      <c r="H20" s="8" t="s">
        <v>22</v>
      </c>
    </row>
    <row r="21" spans="1:12" x14ac:dyDescent="0.25">
      <c r="A21" t="s">
        <v>41</v>
      </c>
      <c r="B21" s="30">
        <f>'Tariff Rates and Revenue'!B18</f>
        <v>125</v>
      </c>
      <c r="C21">
        <f>'Tariff Rates and Revenue'!D18</f>
        <v>641</v>
      </c>
      <c r="D21" s="30">
        <f>C21*B21</f>
        <v>80125</v>
      </c>
    </row>
    <row r="22" spans="1:12" x14ac:dyDescent="0.25">
      <c r="A22" t="s">
        <v>42</v>
      </c>
      <c r="B22" s="30">
        <f>'Tariff Rates and Revenue'!B19</f>
        <v>125</v>
      </c>
      <c r="C22">
        <f>'Tariff Rates and Revenue'!D18</f>
        <v>641</v>
      </c>
      <c r="D22" s="30">
        <f>C22*B22</f>
        <v>80125</v>
      </c>
    </row>
    <row r="23" spans="1:12" x14ac:dyDescent="0.25">
      <c r="A23" t="str">
        <f>'Tariff Rates and Revenue'!A21</f>
        <v>Fuel Surcharge Delivery</v>
      </c>
      <c r="B23" s="30">
        <f>B21*'Tariff Rates and Revenue'!B21</f>
        <v>6.25</v>
      </c>
      <c r="C23">
        <f>C21</f>
        <v>641</v>
      </c>
      <c r="D23" s="30">
        <f t="shared" ref="D23:D24" si="0">C23*B23</f>
        <v>4006.25</v>
      </c>
    </row>
    <row r="24" spans="1:12" x14ac:dyDescent="0.25">
      <c r="A24" t="str">
        <f>'Tariff Rates and Revenue'!A22</f>
        <v>Fuel Surcharge Pickup</v>
      </c>
      <c r="B24" s="30">
        <f>B22*'Tariff Rates and Revenue'!B22</f>
        <v>6.25</v>
      </c>
      <c r="C24">
        <f>C21</f>
        <v>641</v>
      </c>
      <c r="D24" s="30">
        <f t="shared" si="0"/>
        <v>4006.25</v>
      </c>
    </row>
    <row r="25" spans="1:12" x14ac:dyDescent="0.25">
      <c r="A25" t="s">
        <v>82</v>
      </c>
      <c r="B25" s="30">
        <f>'Tariff Rates and Revenue'!C15</f>
        <v>105</v>
      </c>
      <c r="C25" s="71">
        <f>'Tonnage and Customer Calcs'!B19</f>
        <v>2456.7815652173913</v>
      </c>
      <c r="D25" s="6">
        <f>C25*B25</f>
        <v>257962.06434782609</v>
      </c>
    </row>
    <row r="26" spans="1:12" s="4" customFormat="1" x14ac:dyDescent="0.25">
      <c r="A26" s="86" t="s">
        <v>100</v>
      </c>
      <c r="B26" s="86"/>
      <c r="C26" s="86"/>
      <c r="D26" s="87">
        <f>SUM(D21:D25)</f>
        <v>426224.56434782606</v>
      </c>
      <c r="E26" s="88">
        <f>'Company Financials'!F36</f>
        <v>323140.81434782618</v>
      </c>
      <c r="F26" s="87">
        <f>D26-E26</f>
        <v>103083.74999999988</v>
      </c>
      <c r="G26" s="88">
        <f>'Company Financials'!I8</f>
        <v>48994.82</v>
      </c>
      <c r="H26" s="87">
        <f>F26+G26</f>
        <v>152078.56999999989</v>
      </c>
    </row>
    <row r="27" spans="1:12" x14ac:dyDescent="0.25">
      <c r="A27" t="str">
        <f>A21</f>
        <v>Delivery</v>
      </c>
      <c r="B27">
        <f>B21</f>
        <v>125</v>
      </c>
      <c r="C27" s="71">
        <f>'Tonnage and Customer Calcs'!E24</f>
        <v>509.34876190476189</v>
      </c>
      <c r="D27" s="30">
        <f>C27*B27</f>
        <v>63668.595238095237</v>
      </c>
    </row>
    <row r="28" spans="1:12" x14ac:dyDescent="0.25">
      <c r="A28" t="str">
        <f t="shared" ref="A28:B31" si="1">A22</f>
        <v>Pickup</v>
      </c>
      <c r="B28">
        <f t="shared" si="1"/>
        <v>125</v>
      </c>
      <c r="C28" s="71">
        <f>C27</f>
        <v>509.34876190476189</v>
      </c>
      <c r="D28" s="30">
        <f t="shared" ref="D28:D31" si="2">C28*B28</f>
        <v>63668.595238095237</v>
      </c>
    </row>
    <row r="29" spans="1:12" x14ac:dyDescent="0.25">
      <c r="A29" t="str">
        <f t="shared" si="1"/>
        <v>Fuel Surcharge Delivery</v>
      </c>
      <c r="B29">
        <f t="shared" si="1"/>
        <v>6.25</v>
      </c>
      <c r="C29" s="71">
        <f t="shared" ref="C29:C30" si="3">C28</f>
        <v>509.34876190476189</v>
      </c>
      <c r="D29" s="30">
        <f t="shared" si="2"/>
        <v>3183.429761904762</v>
      </c>
    </row>
    <row r="30" spans="1:12" x14ac:dyDescent="0.25">
      <c r="A30" t="str">
        <f t="shared" si="1"/>
        <v>Fuel Surcharge Pickup</v>
      </c>
      <c r="B30">
        <f t="shared" si="1"/>
        <v>6.25</v>
      </c>
      <c r="C30" s="71">
        <f t="shared" si="3"/>
        <v>509.34876190476189</v>
      </c>
      <c r="D30" s="30">
        <f t="shared" si="2"/>
        <v>3183.429761904762</v>
      </c>
    </row>
    <row r="31" spans="1:12" x14ac:dyDescent="0.25">
      <c r="A31" t="str">
        <f t="shared" si="1"/>
        <v>Disposal</v>
      </c>
      <c r="B31">
        <f t="shared" si="1"/>
        <v>105</v>
      </c>
      <c r="C31" s="71">
        <f>C25</f>
        <v>2456.7815652173913</v>
      </c>
      <c r="D31" s="30">
        <f t="shared" si="2"/>
        <v>257962.06434782609</v>
      </c>
    </row>
    <row r="32" spans="1:12" s="4" customFormat="1" x14ac:dyDescent="0.25">
      <c r="A32" s="86" t="s">
        <v>101</v>
      </c>
      <c r="B32" s="86"/>
      <c r="C32" s="86"/>
      <c r="D32" s="87">
        <f>SUM(D27:D31)</f>
        <v>391666.11434782611</v>
      </c>
      <c r="E32" s="88">
        <f>'Company Financials'!F36</f>
        <v>323140.81434782618</v>
      </c>
      <c r="F32" s="87">
        <f>D32-E32</f>
        <v>68525.29999999993</v>
      </c>
      <c r="G32" s="88">
        <f>'Company Financials'!I8</f>
        <v>48994.82</v>
      </c>
      <c r="H32" s="87">
        <f>F32+G32</f>
        <v>117520.11999999994</v>
      </c>
    </row>
    <row r="33" spans="1:8" x14ac:dyDescent="0.25">
      <c r="A33" t="str">
        <f>A27</f>
        <v>Delivery</v>
      </c>
      <c r="B33">
        <f>B27</f>
        <v>125</v>
      </c>
      <c r="C33" s="71">
        <f>'Tonnage and Customer Calcs'!H24</f>
        <v>248.30000000000032</v>
      </c>
      <c r="D33" s="30">
        <f>C33*B33</f>
        <v>31037.50000000004</v>
      </c>
    </row>
    <row r="34" spans="1:8" x14ac:dyDescent="0.25">
      <c r="A34" t="str">
        <f t="shared" ref="A34:B37" si="4">A28</f>
        <v>Pickup</v>
      </c>
      <c r="B34">
        <f t="shared" si="4"/>
        <v>125</v>
      </c>
      <c r="C34" s="71">
        <f>C33</f>
        <v>248.30000000000032</v>
      </c>
      <c r="D34" s="30">
        <f t="shared" ref="D34:D37" si="5">C34*B34</f>
        <v>31037.50000000004</v>
      </c>
    </row>
    <row r="35" spans="1:8" x14ac:dyDescent="0.25">
      <c r="A35" t="str">
        <f t="shared" si="4"/>
        <v>Fuel Surcharge Delivery</v>
      </c>
      <c r="B35">
        <f t="shared" si="4"/>
        <v>6.25</v>
      </c>
      <c r="C35" s="71">
        <f>C33</f>
        <v>248.30000000000032</v>
      </c>
      <c r="D35" s="30">
        <f t="shared" si="5"/>
        <v>1551.875000000002</v>
      </c>
    </row>
    <row r="36" spans="1:8" x14ac:dyDescent="0.25">
      <c r="A36" t="str">
        <f t="shared" si="4"/>
        <v>Fuel Surcharge Pickup</v>
      </c>
      <c r="B36">
        <f t="shared" si="4"/>
        <v>6.25</v>
      </c>
      <c r="C36" s="71">
        <f>C33</f>
        <v>248.30000000000032</v>
      </c>
      <c r="D36" s="30">
        <f t="shared" si="5"/>
        <v>1551.875000000002</v>
      </c>
    </row>
    <row r="37" spans="1:8" x14ac:dyDescent="0.25">
      <c r="A37" t="str">
        <f t="shared" si="4"/>
        <v>Disposal</v>
      </c>
      <c r="B37">
        <f t="shared" si="4"/>
        <v>105</v>
      </c>
      <c r="C37" s="71">
        <f>C31</f>
        <v>2456.7815652173913</v>
      </c>
      <c r="D37" s="30">
        <f t="shared" si="5"/>
        <v>257962.06434782609</v>
      </c>
    </row>
    <row r="38" spans="1:8" s="4" customFormat="1" x14ac:dyDescent="0.25">
      <c r="A38" s="86" t="s">
        <v>106</v>
      </c>
      <c r="B38" s="86"/>
      <c r="C38" s="86"/>
      <c r="D38" s="87">
        <f>SUM(D33:D37)</f>
        <v>323140.81434782618</v>
      </c>
      <c r="E38" s="88">
        <f>'Company Financials'!F36</f>
        <v>323140.81434782618</v>
      </c>
      <c r="F38" s="87">
        <f>D38-E38</f>
        <v>0</v>
      </c>
      <c r="G38" s="89">
        <f>'Company Financials'!I8</f>
        <v>48994.82</v>
      </c>
      <c r="H38" s="87">
        <f>F38+G38</f>
        <v>48994.82</v>
      </c>
    </row>
    <row r="39" spans="1:8" x14ac:dyDescent="0.25">
      <c r="A39" t="str">
        <f>A33</f>
        <v>Delivery</v>
      </c>
      <c r="B39">
        <f>B33</f>
        <v>125</v>
      </c>
      <c r="C39" s="71">
        <f>'Tonnage and Customer Calcs'!K24</f>
        <v>61.653066666667002</v>
      </c>
      <c r="D39" s="30">
        <f>C39*B39</f>
        <v>7706.633333333375</v>
      </c>
    </row>
    <row r="40" spans="1:8" x14ac:dyDescent="0.25">
      <c r="A40" t="str">
        <f t="shared" ref="A40:B40" si="6">A34</f>
        <v>Pickup</v>
      </c>
      <c r="B40">
        <f t="shared" si="6"/>
        <v>125</v>
      </c>
      <c r="C40" s="71">
        <f>C39</f>
        <v>61.653066666667002</v>
      </c>
      <c r="D40" s="30">
        <f t="shared" ref="D40:D43" si="7">C40*B40</f>
        <v>7706.633333333375</v>
      </c>
    </row>
    <row r="41" spans="1:8" x14ac:dyDescent="0.25">
      <c r="A41" t="str">
        <f t="shared" ref="A41:B41" si="8">A35</f>
        <v>Fuel Surcharge Delivery</v>
      </c>
      <c r="B41">
        <f t="shared" si="8"/>
        <v>6.25</v>
      </c>
      <c r="C41" s="71">
        <f>C39</f>
        <v>61.653066666667002</v>
      </c>
      <c r="D41" s="30">
        <f t="shared" si="7"/>
        <v>385.33166666666875</v>
      </c>
    </row>
    <row r="42" spans="1:8" x14ac:dyDescent="0.25">
      <c r="A42" t="str">
        <f t="shared" ref="A42:B42" si="9">A36</f>
        <v>Fuel Surcharge Pickup</v>
      </c>
      <c r="B42">
        <f t="shared" si="9"/>
        <v>6.25</v>
      </c>
      <c r="C42" s="71">
        <f>C39</f>
        <v>61.653066666667002</v>
      </c>
      <c r="D42" s="30">
        <f t="shared" si="7"/>
        <v>385.33166666666875</v>
      </c>
    </row>
    <row r="43" spans="1:8" x14ac:dyDescent="0.25">
      <c r="A43" t="str">
        <f t="shared" ref="A43:B43" si="10">A37</f>
        <v>Disposal</v>
      </c>
      <c r="B43">
        <f t="shared" si="10"/>
        <v>105</v>
      </c>
      <c r="C43" s="71">
        <f>C37</f>
        <v>2456.7815652173913</v>
      </c>
      <c r="D43" s="30">
        <f t="shared" si="7"/>
        <v>257962.06434782609</v>
      </c>
    </row>
    <row r="44" spans="1:8" s="4" customFormat="1" x14ac:dyDescent="0.25">
      <c r="A44" s="86" t="s">
        <v>109</v>
      </c>
      <c r="B44" s="86"/>
      <c r="C44" s="86"/>
      <c r="D44" s="87">
        <f>SUM(D39:D43)</f>
        <v>274145.99434782617</v>
      </c>
      <c r="E44" s="88">
        <f>'Company Financials'!F36</f>
        <v>323140.81434782618</v>
      </c>
      <c r="F44" s="87">
        <f>D44-E44</f>
        <v>-48994.820000000007</v>
      </c>
      <c r="G44" s="88">
        <f>'Company Financials'!I8</f>
        <v>48994.82</v>
      </c>
      <c r="H44" s="87">
        <f>F44+G44</f>
        <v>0</v>
      </c>
    </row>
  </sheetData>
  <mergeCells count="5">
    <mergeCell ref="A11:D11"/>
    <mergeCell ref="A19:L19"/>
    <mergeCell ref="A12:D17"/>
    <mergeCell ref="A4:B4"/>
    <mergeCell ref="A5:B9"/>
  </mergeCells>
  <pageMargins left="0.7" right="0.7" top="0.75" bottom="0.75" header="0.3" footer="0.3"/>
  <pageSetup scale="70" orientation="landscape" r:id="rId1"/>
  <colBreaks count="1" manualBreakCount="1">
    <brk id="8" max="2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zoomScaleNormal="100" workbookViewId="0">
      <selection activeCell="A3" sqref="A3"/>
    </sheetView>
  </sheetViews>
  <sheetFormatPr defaultRowHeight="15" x14ac:dyDescent="0.25"/>
  <cols>
    <col min="1" max="1" width="18.85546875" customWidth="1"/>
    <col min="2" max="2" width="21.140625" customWidth="1"/>
    <col min="4" max="4" width="22.85546875" customWidth="1"/>
    <col min="5" max="5" width="18.28515625" customWidth="1"/>
    <col min="6" max="6" width="37.7109375" bestFit="1" customWidth="1"/>
    <col min="8" max="8" width="32.5703125" customWidth="1"/>
    <col min="9" max="9" width="22.85546875" customWidth="1"/>
  </cols>
  <sheetData>
    <row r="1" spans="1:9" x14ac:dyDescent="0.25">
      <c r="A1" t="str">
        <f>'Staff 12 Month Feasibility'!A1</f>
        <v>Docket TG-190653</v>
      </c>
    </row>
    <row r="2" spans="1:9" x14ac:dyDescent="0.25">
      <c r="A2" t="str">
        <f>'Staff 12 Month Feasibility'!A2</f>
        <v>Prepared by Scott Sevall</v>
      </c>
    </row>
    <row r="3" spans="1:9" x14ac:dyDescent="0.25">
      <c r="A3" s="85">
        <f>'Staff 12 Month Feasibility'!A3</f>
        <v>43923</v>
      </c>
    </row>
    <row r="4" spans="1:9" x14ac:dyDescent="0.25">
      <c r="A4" s="44" t="s">
        <v>5</v>
      </c>
      <c r="B4" s="44"/>
    </row>
    <row r="5" spans="1:9" x14ac:dyDescent="0.25">
      <c r="A5" s="45" t="s">
        <v>76</v>
      </c>
      <c r="B5" s="46"/>
      <c r="D5" s="55" t="s">
        <v>47</v>
      </c>
      <c r="E5" s="56"/>
      <c r="F5" s="77" t="s">
        <v>93</v>
      </c>
      <c r="H5" s="51" t="s">
        <v>10</v>
      </c>
      <c r="I5" s="52"/>
    </row>
    <row r="6" spans="1:9" x14ac:dyDescent="0.25">
      <c r="A6" s="47"/>
      <c r="B6" s="48"/>
      <c r="D6" s="13" t="s">
        <v>1</v>
      </c>
      <c r="E6" s="37">
        <v>2018</v>
      </c>
      <c r="F6" s="78"/>
      <c r="H6" s="9" t="s">
        <v>1</v>
      </c>
      <c r="I6" s="15">
        <v>2019</v>
      </c>
    </row>
    <row r="7" spans="1:9" x14ac:dyDescent="0.25">
      <c r="A7" s="47"/>
      <c r="B7" s="48"/>
      <c r="D7" s="13" t="s">
        <v>48</v>
      </c>
      <c r="E7" s="16">
        <v>416233.93</v>
      </c>
      <c r="F7" s="79">
        <f>'Staff 12 Month Feasibility'!D26</f>
        <v>426224.56434782606</v>
      </c>
      <c r="H7" s="53" t="s">
        <v>11</v>
      </c>
      <c r="I7" s="54"/>
    </row>
    <row r="8" spans="1:9" x14ac:dyDescent="0.25">
      <c r="A8" s="47"/>
      <c r="B8" s="48"/>
      <c r="D8" s="13" t="s">
        <v>49</v>
      </c>
      <c r="E8" s="16">
        <v>12</v>
      </c>
      <c r="F8" s="80">
        <f>E8</f>
        <v>12</v>
      </c>
      <c r="H8" s="34" t="s">
        <v>12</v>
      </c>
      <c r="I8" s="16">
        <v>48994.82</v>
      </c>
    </row>
    <row r="9" spans="1:9" x14ac:dyDescent="0.25">
      <c r="A9" s="47"/>
      <c r="B9" s="48"/>
      <c r="D9" s="17" t="s">
        <v>4</v>
      </c>
      <c r="E9" s="32">
        <f>SUM(E7:E8)</f>
        <v>416245.93</v>
      </c>
      <c r="F9" s="32">
        <f>SUM(F7:F8)</f>
        <v>426236.56434782606</v>
      </c>
      <c r="H9" s="34" t="s">
        <v>66</v>
      </c>
      <c r="I9" s="16">
        <v>41356</v>
      </c>
    </row>
    <row r="10" spans="1:9" x14ac:dyDescent="0.25">
      <c r="A10" s="47"/>
      <c r="B10" s="48"/>
      <c r="H10" s="34" t="s">
        <v>67</v>
      </c>
      <c r="I10" s="16">
        <v>9291.75</v>
      </c>
    </row>
    <row r="11" spans="1:9" x14ac:dyDescent="0.25">
      <c r="A11" s="49"/>
      <c r="B11" s="50"/>
      <c r="H11" s="22" t="s">
        <v>13</v>
      </c>
      <c r="I11" s="23">
        <f>SUM(I8:I10)</f>
        <v>99642.57</v>
      </c>
    </row>
    <row r="12" spans="1:9" x14ac:dyDescent="0.25">
      <c r="H12" s="18"/>
      <c r="I12" s="14"/>
    </row>
    <row r="13" spans="1:9" x14ac:dyDescent="0.25">
      <c r="A13" s="41" t="s">
        <v>2</v>
      </c>
      <c r="B13" s="41"/>
      <c r="D13" s="51" t="s">
        <v>3</v>
      </c>
      <c r="E13" s="52"/>
      <c r="F13" s="84" t="s">
        <v>92</v>
      </c>
      <c r="H13" s="34" t="s">
        <v>68</v>
      </c>
      <c r="I13" s="16">
        <v>200000</v>
      </c>
    </row>
    <row r="14" spans="1:9" ht="15" customHeight="1" x14ac:dyDescent="0.25">
      <c r="A14" s="45" t="s">
        <v>77</v>
      </c>
      <c r="B14" s="46"/>
      <c r="D14" s="9" t="s">
        <v>1</v>
      </c>
      <c r="E14" s="15">
        <v>2018</v>
      </c>
      <c r="F14" s="81"/>
      <c r="H14" s="22" t="s">
        <v>14</v>
      </c>
      <c r="I14" s="23">
        <f>SUM(I13:I13)</f>
        <v>200000</v>
      </c>
    </row>
    <row r="15" spans="1:9" ht="15" customHeight="1" x14ac:dyDescent="0.25">
      <c r="A15" s="47"/>
      <c r="B15" s="48"/>
      <c r="D15" s="13" t="s">
        <v>27</v>
      </c>
      <c r="E15" s="38">
        <v>4502.62</v>
      </c>
      <c r="F15" s="82">
        <f>'Staff 12 Month Feasibility'!D25</f>
        <v>257962.06434782609</v>
      </c>
      <c r="G15" s="5"/>
      <c r="H15" s="11"/>
      <c r="I15" s="14"/>
    </row>
    <row r="16" spans="1:9" x14ac:dyDescent="0.25">
      <c r="A16" s="47"/>
      <c r="B16" s="48"/>
      <c r="D16" s="13" t="s">
        <v>50</v>
      </c>
      <c r="E16" s="38">
        <v>18224.87</v>
      </c>
      <c r="F16" s="82">
        <f>E16</f>
        <v>18224.87</v>
      </c>
      <c r="G16" s="5"/>
      <c r="H16" s="19" t="s">
        <v>15</v>
      </c>
      <c r="I16" s="20">
        <f>I14+I11</f>
        <v>299642.57</v>
      </c>
    </row>
    <row r="17" spans="1:9" x14ac:dyDescent="0.25">
      <c r="A17" s="47"/>
      <c r="B17" s="48"/>
      <c r="D17" s="13" t="s">
        <v>51</v>
      </c>
      <c r="E17" s="38">
        <v>7174.04</v>
      </c>
      <c r="F17" s="82">
        <f t="shared" ref="F17:F23" si="0">E17</f>
        <v>7174.04</v>
      </c>
      <c r="G17" s="5"/>
      <c r="H17" s="11"/>
      <c r="I17" s="14"/>
    </row>
    <row r="18" spans="1:9" x14ac:dyDescent="0.25">
      <c r="A18" s="47"/>
      <c r="B18" s="48"/>
      <c r="D18" s="13" t="s">
        <v>52</v>
      </c>
      <c r="E18" s="38">
        <v>293.49</v>
      </c>
      <c r="F18" s="82">
        <f t="shared" si="0"/>
        <v>293.49</v>
      </c>
      <c r="G18" s="5"/>
      <c r="H18" s="42" t="s">
        <v>16</v>
      </c>
      <c r="I18" s="43"/>
    </row>
    <row r="19" spans="1:9" x14ac:dyDescent="0.25">
      <c r="A19" s="49"/>
      <c r="B19" s="50"/>
      <c r="D19" s="13" t="s">
        <v>53</v>
      </c>
      <c r="E19" s="38">
        <v>13.49</v>
      </c>
      <c r="F19" s="82">
        <f t="shared" si="0"/>
        <v>13.49</v>
      </c>
      <c r="G19" s="5"/>
      <c r="H19" s="11" t="s">
        <v>17</v>
      </c>
      <c r="I19" s="16">
        <v>665.75</v>
      </c>
    </row>
    <row r="20" spans="1:9" x14ac:dyDescent="0.25">
      <c r="A20" s="5"/>
      <c r="B20" s="5"/>
      <c r="D20" s="13" t="s">
        <v>54</v>
      </c>
      <c r="E20" s="38">
        <v>12</v>
      </c>
      <c r="F20" s="82">
        <f t="shared" si="0"/>
        <v>12</v>
      </c>
      <c r="G20" s="5"/>
      <c r="H20" s="11" t="s">
        <v>69</v>
      </c>
      <c r="I20" s="16">
        <v>11228.6</v>
      </c>
    </row>
    <row r="21" spans="1:9" x14ac:dyDescent="0.25">
      <c r="A21" s="5"/>
      <c r="B21" s="5"/>
      <c r="D21" s="13" t="s">
        <v>55</v>
      </c>
      <c r="E21" s="38">
        <v>650.07000000000005</v>
      </c>
      <c r="F21" s="82">
        <f t="shared" si="0"/>
        <v>650.07000000000005</v>
      </c>
      <c r="G21" s="5"/>
      <c r="H21" s="24" t="s">
        <v>18</v>
      </c>
      <c r="I21" s="35">
        <f>SUM(I19:I20)</f>
        <v>11894.35</v>
      </c>
    </row>
    <row r="22" spans="1:9" x14ac:dyDescent="0.25">
      <c r="A22" s="5"/>
      <c r="B22" s="5"/>
      <c r="D22" s="13" t="s">
        <v>56</v>
      </c>
      <c r="E22" s="38">
        <v>2502.81</v>
      </c>
      <c r="F22" s="82">
        <f t="shared" si="0"/>
        <v>2502.81</v>
      </c>
      <c r="H22" s="11"/>
      <c r="I22" s="14"/>
    </row>
    <row r="23" spans="1:9" x14ac:dyDescent="0.25">
      <c r="D23" s="13" t="s">
        <v>57</v>
      </c>
      <c r="E23" s="38">
        <v>109.09</v>
      </c>
      <c r="F23" s="82">
        <f t="shared" si="0"/>
        <v>109.09</v>
      </c>
      <c r="H23" s="11" t="s">
        <v>70</v>
      </c>
      <c r="I23" s="16">
        <v>61354.87</v>
      </c>
    </row>
    <row r="24" spans="1:9" x14ac:dyDescent="0.25">
      <c r="A24" s="1"/>
      <c r="B24" s="6"/>
      <c r="D24" s="13" t="s">
        <v>94</v>
      </c>
      <c r="E24" s="38">
        <v>278027.26</v>
      </c>
      <c r="F24" s="82">
        <v>0</v>
      </c>
      <c r="H24" s="25" t="s">
        <v>19</v>
      </c>
      <c r="I24" s="23">
        <f>SUM(I23)</f>
        <v>61354.87</v>
      </c>
    </row>
    <row r="25" spans="1:9" x14ac:dyDescent="0.25">
      <c r="D25" s="13" t="s">
        <v>58</v>
      </c>
      <c r="E25" s="38">
        <v>1241.3399999999999</v>
      </c>
      <c r="F25" s="82">
        <f>E25</f>
        <v>1241.3399999999999</v>
      </c>
      <c r="H25" s="11"/>
      <c r="I25" s="14"/>
    </row>
    <row r="26" spans="1:9" x14ac:dyDescent="0.25">
      <c r="D26" s="33" t="s">
        <v>59</v>
      </c>
      <c r="E26" s="38">
        <v>2374.2600000000002</v>
      </c>
      <c r="F26" s="82">
        <f t="shared" ref="F26:F35" si="1">E26</f>
        <v>2374.2600000000002</v>
      </c>
      <c r="H26" s="42" t="s">
        <v>20</v>
      </c>
      <c r="I26" s="43"/>
    </row>
    <row r="27" spans="1:9" x14ac:dyDescent="0.25">
      <c r="A27" s="7"/>
      <c r="B27" s="7"/>
      <c r="D27" s="33" t="s">
        <v>60</v>
      </c>
      <c r="E27" s="38">
        <v>4810.46</v>
      </c>
      <c r="F27" s="82">
        <f t="shared" si="1"/>
        <v>4810.46</v>
      </c>
      <c r="H27" s="24" t="s">
        <v>29</v>
      </c>
      <c r="I27" s="23">
        <f>I16-(I24+I21)</f>
        <v>226393.35</v>
      </c>
    </row>
    <row r="28" spans="1:9" ht="15" customHeight="1" x14ac:dyDescent="0.25">
      <c r="D28" s="33" t="s">
        <v>61</v>
      </c>
      <c r="E28" s="16">
        <v>1904.01</v>
      </c>
      <c r="F28" s="82">
        <f t="shared" si="1"/>
        <v>1904.01</v>
      </c>
      <c r="H28" s="17" t="s">
        <v>30</v>
      </c>
      <c r="I28" s="20">
        <f>I27+I24+I21</f>
        <v>299642.57</v>
      </c>
    </row>
    <row r="29" spans="1:9" x14ac:dyDescent="0.25">
      <c r="D29" s="33" t="s">
        <v>62</v>
      </c>
      <c r="E29" s="16">
        <v>156.74</v>
      </c>
      <c r="F29" s="82">
        <f t="shared" si="1"/>
        <v>156.74</v>
      </c>
    </row>
    <row r="30" spans="1:9" x14ac:dyDescent="0.25">
      <c r="D30" s="33" t="s">
        <v>63</v>
      </c>
      <c r="E30" s="16">
        <v>4102.26</v>
      </c>
      <c r="F30" s="82">
        <f t="shared" si="1"/>
        <v>4102.26</v>
      </c>
    </row>
    <row r="31" spans="1:9" x14ac:dyDescent="0.25">
      <c r="D31" s="33" t="s">
        <v>64</v>
      </c>
      <c r="E31" s="16">
        <v>8503.25</v>
      </c>
      <c r="F31" s="82">
        <f t="shared" si="1"/>
        <v>8503.25</v>
      </c>
    </row>
    <row r="32" spans="1:9" x14ac:dyDescent="0.25">
      <c r="D32" s="33" t="s">
        <v>65</v>
      </c>
      <c r="E32" s="16">
        <v>116.39</v>
      </c>
      <c r="F32" s="82">
        <f t="shared" si="1"/>
        <v>116.39</v>
      </c>
    </row>
    <row r="33" spans="4:6" x14ac:dyDescent="0.25">
      <c r="D33" s="33" t="s">
        <v>72</v>
      </c>
      <c r="E33" s="38">
        <v>131.80000000000001</v>
      </c>
      <c r="F33" s="82">
        <f t="shared" si="1"/>
        <v>131.80000000000001</v>
      </c>
    </row>
    <row r="34" spans="4:6" x14ac:dyDescent="0.25">
      <c r="D34" s="33" t="s">
        <v>73</v>
      </c>
      <c r="E34" s="38">
        <v>138.30000000000001</v>
      </c>
      <c r="F34" s="82">
        <f t="shared" si="1"/>
        <v>138.30000000000001</v>
      </c>
    </row>
    <row r="35" spans="4:6" x14ac:dyDescent="0.25">
      <c r="D35" s="33" t="s">
        <v>74</v>
      </c>
      <c r="E35" s="38">
        <v>12720.08</v>
      </c>
      <c r="F35" s="83">
        <f t="shared" si="1"/>
        <v>12720.08</v>
      </c>
    </row>
    <row r="36" spans="4:6" x14ac:dyDescent="0.25">
      <c r="D36" s="36" t="s">
        <v>75</v>
      </c>
      <c r="E36" s="21">
        <f>SUM(E15:E35)</f>
        <v>347708.63000000006</v>
      </c>
      <c r="F36" s="21">
        <f>SUM(F15:F35)</f>
        <v>323140.81434782618</v>
      </c>
    </row>
    <row r="37" spans="4:6" x14ac:dyDescent="0.25">
      <c r="D37" s="31"/>
      <c r="E37" s="10"/>
      <c r="F37" s="3"/>
    </row>
    <row r="38" spans="4:6" ht="15.75" thickBot="1" x14ac:dyDescent="0.3">
      <c r="D38" s="39" t="s">
        <v>71</v>
      </c>
      <c r="E38" s="40">
        <f>E9-E36</f>
        <v>68537.29999999993</v>
      </c>
      <c r="F38" s="40">
        <f>F9-F36</f>
        <v>103095.74999999988</v>
      </c>
    </row>
    <row r="39" spans="4:6" ht="15.75" thickTop="1" x14ac:dyDescent="0.25"/>
  </sheetData>
  <mergeCells count="9">
    <mergeCell ref="H18:I18"/>
    <mergeCell ref="H26:I26"/>
    <mergeCell ref="A4:B4"/>
    <mergeCell ref="A5:B11"/>
    <mergeCell ref="A14:B19"/>
    <mergeCell ref="D13:E13"/>
    <mergeCell ref="H5:I5"/>
    <mergeCell ref="H7:I7"/>
    <mergeCell ref="D5:E5"/>
  </mergeCells>
  <pageMargins left="0.7" right="0.7" top="0.75" bottom="0.75" header="0.3" footer="0.3"/>
  <pageSetup scale="8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zoomScaleNormal="100" workbookViewId="0">
      <selection activeCell="A4" sqref="A4:E4"/>
    </sheetView>
  </sheetViews>
  <sheetFormatPr defaultRowHeight="15" x14ac:dyDescent="0.25"/>
  <cols>
    <col min="1" max="1" width="24.140625" customWidth="1"/>
    <col min="2" max="2" width="13.42578125" customWidth="1"/>
    <col min="3" max="3" width="18.28515625" bestFit="1" customWidth="1"/>
    <col min="4" max="4" width="18.85546875" customWidth="1"/>
  </cols>
  <sheetData>
    <row r="1" spans="1:5" x14ac:dyDescent="0.25">
      <c r="A1" t="str">
        <f>'Staff 12 Month Feasibility'!A1</f>
        <v>Docket TG-190653</v>
      </c>
    </row>
    <row r="2" spans="1:5" x14ac:dyDescent="0.25">
      <c r="A2" t="str">
        <f>'Staff 12 Month Feasibility'!A2</f>
        <v>Prepared by Scott Sevall</v>
      </c>
    </row>
    <row r="3" spans="1:5" x14ac:dyDescent="0.25">
      <c r="A3" s="85">
        <f>'Staff 12 Month Feasibility'!A3</f>
        <v>43923</v>
      </c>
    </row>
    <row r="4" spans="1:5" x14ac:dyDescent="0.25">
      <c r="A4" s="57" t="s">
        <v>6</v>
      </c>
      <c r="B4" s="57"/>
      <c r="C4" s="26"/>
      <c r="D4" s="59"/>
      <c r="E4" s="59"/>
    </row>
    <row r="5" spans="1:5" x14ac:dyDescent="0.25">
      <c r="A5" s="4" t="s">
        <v>25</v>
      </c>
      <c r="B5" s="4" t="s">
        <v>26</v>
      </c>
      <c r="C5" s="4" t="s">
        <v>78</v>
      </c>
      <c r="D5" s="4" t="s">
        <v>31</v>
      </c>
      <c r="E5" s="4" t="s">
        <v>79</v>
      </c>
    </row>
    <row r="6" spans="1:5" x14ac:dyDescent="0.25">
      <c r="A6" s="3" t="s">
        <v>32</v>
      </c>
      <c r="B6" s="12"/>
      <c r="C6" s="12"/>
      <c r="D6" s="3"/>
    </row>
    <row r="7" spans="1:5" x14ac:dyDescent="0.25">
      <c r="A7" s="3" t="s">
        <v>33</v>
      </c>
      <c r="B7" s="12">
        <v>25</v>
      </c>
      <c r="C7" s="12"/>
      <c r="D7" s="3"/>
    </row>
    <row r="8" spans="1:5" x14ac:dyDescent="0.25">
      <c r="A8" s="3"/>
      <c r="B8" s="12"/>
      <c r="C8" s="12"/>
      <c r="D8" s="3"/>
    </row>
    <row r="9" spans="1:5" x14ac:dyDescent="0.25">
      <c r="A9" s="27" t="s">
        <v>34</v>
      </c>
      <c r="B9" s="12"/>
      <c r="C9" s="12"/>
      <c r="D9" s="3"/>
    </row>
    <row r="10" spans="1:5" x14ac:dyDescent="0.25">
      <c r="A10" s="28" t="s">
        <v>35</v>
      </c>
      <c r="B10" s="12">
        <v>125</v>
      </c>
      <c r="C10" s="12"/>
      <c r="D10" s="3"/>
    </row>
    <row r="11" spans="1:5" x14ac:dyDescent="0.25">
      <c r="A11" s="27" t="s">
        <v>36</v>
      </c>
      <c r="B11" s="12">
        <v>125</v>
      </c>
      <c r="C11" s="12"/>
      <c r="D11" s="3"/>
    </row>
    <row r="12" spans="1:5" x14ac:dyDescent="0.25">
      <c r="A12" s="3"/>
      <c r="B12" s="12"/>
      <c r="C12" s="12"/>
      <c r="D12" s="3"/>
    </row>
    <row r="13" spans="1:5" x14ac:dyDescent="0.25">
      <c r="A13" s="27" t="s">
        <v>37</v>
      </c>
      <c r="B13" s="30"/>
      <c r="C13" s="30"/>
    </row>
    <row r="14" spans="1:5" x14ac:dyDescent="0.25">
      <c r="A14" s="27" t="s">
        <v>38</v>
      </c>
      <c r="B14" s="30">
        <v>10</v>
      </c>
      <c r="C14" s="30"/>
    </row>
    <row r="15" spans="1:5" x14ac:dyDescent="0.25">
      <c r="A15" s="27" t="s">
        <v>39</v>
      </c>
      <c r="C15" s="30">
        <v>105</v>
      </c>
      <c r="E15" t="s">
        <v>81</v>
      </c>
    </row>
    <row r="17" spans="1:5" x14ac:dyDescent="0.25">
      <c r="A17" t="s">
        <v>40</v>
      </c>
    </row>
    <row r="18" spans="1:5" x14ac:dyDescent="0.25">
      <c r="A18" t="s">
        <v>41</v>
      </c>
      <c r="B18" s="30">
        <v>125</v>
      </c>
      <c r="C18" s="30"/>
      <c r="D18">
        <v>641</v>
      </c>
    </row>
    <row r="19" spans="1:5" x14ac:dyDescent="0.25">
      <c r="A19" t="s">
        <v>42</v>
      </c>
      <c r="B19" s="30">
        <v>125</v>
      </c>
      <c r="C19" s="30"/>
    </row>
    <row r="20" spans="1:5" x14ac:dyDescent="0.25">
      <c r="A20" t="s">
        <v>43</v>
      </c>
      <c r="B20" s="30">
        <v>115</v>
      </c>
      <c r="C20" s="30">
        <v>0</v>
      </c>
      <c r="E20" t="s">
        <v>80</v>
      </c>
    </row>
    <row r="21" spans="1:5" x14ac:dyDescent="0.25">
      <c r="A21" t="s">
        <v>44</v>
      </c>
      <c r="B21" s="29">
        <v>0.05</v>
      </c>
      <c r="C21" s="29"/>
    </row>
    <row r="22" spans="1:5" x14ac:dyDescent="0.25">
      <c r="A22" t="s">
        <v>45</v>
      </c>
      <c r="B22" s="29">
        <v>0.05</v>
      </c>
      <c r="C22" s="29"/>
    </row>
  </sheetData>
  <mergeCells count="1">
    <mergeCell ref="A4:B4"/>
  </mergeCells>
  <pageMargins left="0.7" right="0.7" top="0.75" bottom="0.75" header="0.3" footer="0.3"/>
  <pageSetup scale="97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A3" sqref="A3"/>
    </sheetView>
  </sheetViews>
  <sheetFormatPr defaultRowHeight="15" x14ac:dyDescent="0.25"/>
  <cols>
    <col min="1" max="1" width="22.7109375" bestFit="1" customWidth="1"/>
    <col min="2" max="2" width="12.5703125" bestFit="1" customWidth="1"/>
    <col min="4" max="4" width="28.85546875" bestFit="1" customWidth="1"/>
    <col min="5" max="5" width="12.5703125" bestFit="1" customWidth="1"/>
    <col min="7" max="7" width="25.7109375" bestFit="1" customWidth="1"/>
    <col min="8" max="8" width="12.5703125" customWidth="1"/>
    <col min="10" max="10" width="25.5703125" customWidth="1"/>
    <col min="11" max="11" width="14.5703125" customWidth="1"/>
  </cols>
  <sheetData>
    <row r="1" spans="1:11" x14ac:dyDescent="0.25">
      <c r="A1" t="str">
        <f>'Staff 12 Month Feasibility'!A1</f>
        <v>Docket TG-190653</v>
      </c>
    </row>
    <row r="2" spans="1:11" x14ac:dyDescent="0.25">
      <c r="A2" t="str">
        <f>'Staff 12 Month Feasibility'!A2</f>
        <v>Prepared by Scott Sevall</v>
      </c>
    </row>
    <row r="3" spans="1:11" x14ac:dyDescent="0.25">
      <c r="A3" s="85">
        <f>'Staff 12 Month Feasibility'!A3</f>
        <v>43923</v>
      </c>
    </row>
    <row r="5" spans="1:11" x14ac:dyDescent="0.25">
      <c r="A5" s="60" t="s">
        <v>83</v>
      </c>
      <c r="B5" s="60"/>
      <c r="C5" s="60"/>
    </row>
    <row r="6" spans="1:11" x14ac:dyDescent="0.25">
      <c r="A6" s="61" t="s">
        <v>84</v>
      </c>
      <c r="B6" s="62"/>
      <c r="C6" s="63"/>
    </row>
    <row r="7" spans="1:11" x14ac:dyDescent="0.25">
      <c r="A7" s="64"/>
      <c r="B7" s="65"/>
      <c r="C7" s="66"/>
    </row>
    <row r="8" spans="1:11" x14ac:dyDescent="0.25">
      <c r="A8" s="67"/>
      <c r="B8" s="68"/>
      <c r="C8" s="69"/>
    </row>
    <row r="9" spans="1:11" x14ac:dyDescent="0.25">
      <c r="A9" s="72"/>
      <c r="B9" s="72"/>
      <c r="C9" s="72"/>
    </row>
    <row r="10" spans="1:11" x14ac:dyDescent="0.25">
      <c r="A10" s="59" t="s">
        <v>97</v>
      </c>
      <c r="B10" s="59"/>
      <c r="D10" s="59" t="s">
        <v>96</v>
      </c>
      <c r="E10" s="59"/>
      <c r="G10" s="59" t="s">
        <v>102</v>
      </c>
      <c r="H10" s="59"/>
      <c r="J10" s="59" t="s">
        <v>107</v>
      </c>
      <c r="K10" s="59"/>
    </row>
    <row r="11" spans="1:11" x14ac:dyDescent="0.25">
      <c r="A11" t="s">
        <v>86</v>
      </c>
      <c r="B11" t="s">
        <v>88</v>
      </c>
      <c r="D11" t="str">
        <f>'Company Financials'!D7</f>
        <v>Income</v>
      </c>
      <c r="E11" s="30">
        <f>'Company Financials'!E7</f>
        <v>416233.93</v>
      </c>
      <c r="G11" t="s">
        <v>75</v>
      </c>
      <c r="H11" s="30">
        <f>'Company Financials'!F36</f>
        <v>323140.81434782618</v>
      </c>
      <c r="J11" t="s">
        <v>75</v>
      </c>
      <c r="K11" s="6">
        <f>H11</f>
        <v>323140.81434782618</v>
      </c>
    </row>
    <row r="12" spans="1:11" x14ac:dyDescent="0.25">
      <c r="A12" t="s">
        <v>87</v>
      </c>
      <c r="B12" s="30">
        <f>'Company Financials'!E15</f>
        <v>4502.62</v>
      </c>
      <c r="D12" t="str">
        <f>'Company Financials'!D15</f>
        <v>Dump fees</v>
      </c>
      <c r="E12" s="30">
        <f>'Company Financials'!E15</f>
        <v>4502.62</v>
      </c>
      <c r="G12" t="str">
        <f>'Company Financials'!D15</f>
        <v>Dump fees</v>
      </c>
      <c r="H12" s="30">
        <f>'Company Financials'!F15</f>
        <v>257962.06434782609</v>
      </c>
      <c r="J12" t="s">
        <v>87</v>
      </c>
      <c r="K12" s="6">
        <f>H12</f>
        <v>257962.06434782609</v>
      </c>
    </row>
    <row r="13" spans="1:11" x14ac:dyDescent="0.25">
      <c r="A13" t="s">
        <v>85</v>
      </c>
      <c r="B13" s="30">
        <f>'Company Financials'!E24</f>
        <v>278027.26</v>
      </c>
      <c r="D13" t="str">
        <f>'Company Financials'!D24</f>
        <v>Operating Expenses</v>
      </c>
      <c r="E13" s="30">
        <f>'Company Financials'!E24</f>
        <v>278027.26</v>
      </c>
      <c r="J13" t="s">
        <v>21</v>
      </c>
      <c r="K13" s="30">
        <f>'Company Financials'!I8</f>
        <v>48994.82</v>
      </c>
    </row>
    <row r="14" spans="1:11" x14ac:dyDescent="0.25">
      <c r="E14" s="30"/>
    </row>
    <row r="15" spans="1:11" x14ac:dyDescent="0.25">
      <c r="A15" t="s">
        <v>4</v>
      </c>
      <c r="B15" s="30">
        <f>SUM(B12:B13)</f>
        <v>282529.88</v>
      </c>
      <c r="D15" t="s">
        <v>99</v>
      </c>
      <c r="E15" s="30">
        <f>E11-E12-E13</f>
        <v>133704.04999999999</v>
      </c>
      <c r="G15" t="s">
        <v>103</v>
      </c>
      <c r="H15" s="6">
        <f>H11-H12</f>
        <v>65178.750000000087</v>
      </c>
      <c r="J15" t="str">
        <f>G15</f>
        <v>Expenses left to cover</v>
      </c>
      <c r="K15" s="6">
        <f>K11-K12-K13</f>
        <v>16183.930000000088</v>
      </c>
    </row>
    <row r="17" spans="1:11" x14ac:dyDescent="0.25">
      <c r="A17" t="s">
        <v>89</v>
      </c>
      <c r="B17" s="30">
        <f>'Tariff Rates and Revenue'!B20</f>
        <v>115</v>
      </c>
      <c r="D17" s="1" t="s">
        <v>95</v>
      </c>
      <c r="G17" s="1" t="s">
        <v>95</v>
      </c>
      <c r="J17" t="s">
        <v>95</v>
      </c>
    </row>
    <row r="18" spans="1:11" x14ac:dyDescent="0.25">
      <c r="D18" t="str">
        <f>'Tariff Rates and Revenue'!A18</f>
        <v>Delivery</v>
      </c>
      <c r="E18" s="30">
        <f>'Tariff Rates and Revenue'!B18</f>
        <v>125</v>
      </c>
      <c r="G18" t="str">
        <f>D18</f>
        <v>Delivery</v>
      </c>
      <c r="H18" s="6">
        <f>E18</f>
        <v>125</v>
      </c>
      <c r="J18" t="str">
        <f>G18</f>
        <v>Delivery</v>
      </c>
      <c r="K18" s="6">
        <f>H18</f>
        <v>125</v>
      </c>
    </row>
    <row r="19" spans="1:11" x14ac:dyDescent="0.25">
      <c r="A19" t="s">
        <v>90</v>
      </c>
      <c r="B19" s="70">
        <f>B15/B17</f>
        <v>2456.7815652173913</v>
      </c>
      <c r="D19" t="str">
        <f>'Tariff Rates and Revenue'!A19</f>
        <v>Pickup</v>
      </c>
      <c r="E19" s="30">
        <f>'Tariff Rates and Revenue'!B19</f>
        <v>125</v>
      </c>
      <c r="G19" t="str">
        <f t="shared" ref="G19:G21" si="0">D19</f>
        <v>Pickup</v>
      </c>
      <c r="H19" s="6">
        <f t="shared" ref="H19:H21" si="1">E19</f>
        <v>125</v>
      </c>
      <c r="J19" t="str">
        <f t="shared" ref="J19:J22" si="2">G19</f>
        <v>Pickup</v>
      </c>
      <c r="K19" s="6">
        <f t="shared" ref="K19:K22" si="3">H19</f>
        <v>125</v>
      </c>
    </row>
    <row r="20" spans="1:11" x14ac:dyDescent="0.25">
      <c r="D20" t="str">
        <f>'Tariff Rates and Revenue'!A21</f>
        <v>Fuel Surcharge Delivery</v>
      </c>
      <c r="E20" s="6">
        <f>'Staff 12 Month Feasibility'!B23</f>
        <v>6.25</v>
      </c>
      <c r="G20" t="str">
        <f t="shared" si="0"/>
        <v>Fuel Surcharge Delivery</v>
      </c>
      <c r="H20" s="6">
        <f t="shared" si="1"/>
        <v>6.25</v>
      </c>
      <c r="J20" t="str">
        <f t="shared" si="2"/>
        <v>Fuel Surcharge Delivery</v>
      </c>
      <c r="K20" s="6">
        <f t="shared" si="3"/>
        <v>6.25</v>
      </c>
    </row>
    <row r="21" spans="1:11" x14ac:dyDescent="0.25">
      <c r="D21" t="str">
        <f>'Tariff Rates and Revenue'!A22</f>
        <v>Fuel Surcharge Pickup</v>
      </c>
      <c r="E21" s="6">
        <f>'Staff 12 Month Feasibility'!B24</f>
        <v>6.25</v>
      </c>
      <c r="G21" t="str">
        <f t="shared" si="0"/>
        <v>Fuel Surcharge Pickup</v>
      </c>
      <c r="H21" s="6">
        <f t="shared" si="1"/>
        <v>6.25</v>
      </c>
      <c r="J21" t="str">
        <f t="shared" si="2"/>
        <v>Fuel Surcharge Pickup</v>
      </c>
      <c r="K21" s="6">
        <f t="shared" si="3"/>
        <v>6.25</v>
      </c>
    </row>
    <row r="22" spans="1:11" x14ac:dyDescent="0.25">
      <c r="D22" t="s">
        <v>98</v>
      </c>
      <c r="E22" s="6">
        <f>SUM(E18:E21)</f>
        <v>262.5</v>
      </c>
      <c r="G22" t="str">
        <f>D22</f>
        <v>Total of tariff rates</v>
      </c>
      <c r="H22" s="6">
        <f>SUM(H18:H21)</f>
        <v>262.5</v>
      </c>
      <c r="J22" t="str">
        <f t="shared" si="2"/>
        <v>Total of tariff rates</v>
      </c>
      <c r="K22" s="6">
        <f t="shared" si="3"/>
        <v>262.5</v>
      </c>
    </row>
    <row r="24" spans="1:11" x14ac:dyDescent="0.25">
      <c r="D24" t="s">
        <v>105</v>
      </c>
      <c r="E24" s="71">
        <f>E15/E22</f>
        <v>509.34876190476189</v>
      </c>
      <c r="G24" t="s">
        <v>104</v>
      </c>
      <c r="H24" s="71">
        <f>H15/H22</f>
        <v>248.30000000000032</v>
      </c>
      <c r="J24" t="s">
        <v>108</v>
      </c>
      <c r="K24" s="71">
        <f>K15/K22</f>
        <v>61.653066666667002</v>
      </c>
    </row>
  </sheetData>
  <mergeCells count="1">
    <mergeCell ref="A6:C8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5403D25446B3F419CB56019556BFCCE" ma:contentTypeVersion="56" ma:contentTypeDescription="" ma:contentTypeScope="" ma:versionID="17a99e3a58af2a8f1a9727a65afb5cf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Document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Certificate</CaseType>
    <IndustryCode xmlns="dc463f71-b30c-4ab2-9473-d307f9d35888">227</IndustryCode>
    <CaseStatus xmlns="dc463f71-b30c-4ab2-9473-d307f9d35888">Formal</CaseStatus>
    <OpenedDate xmlns="dc463f71-b30c-4ab2-9473-d307f9d35888">2019-08-07T07:00:00+00:00</OpenedDate>
    <SignificantOrder xmlns="dc463f71-b30c-4ab2-9473-d307f9d35888">false</SignificantOrder>
    <Date1 xmlns="dc463f71-b30c-4ab2-9473-d307f9d35888">2020-04-03T07:00:00+00:00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Westside Waste LLC</CaseCompanyNames>
    <Nickname xmlns="http://schemas.microsoft.com/sharepoint/v3" xsi:nil="true"/>
    <DocketNumber xmlns="dc463f71-b30c-4ab2-9473-d307f9d35888">190653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DCA6A6E-697F-460F-897E-A8B215B55F8B}"/>
</file>

<file path=customXml/itemProps2.xml><?xml version="1.0" encoding="utf-8"?>
<ds:datastoreItem xmlns:ds="http://schemas.openxmlformats.org/officeDocument/2006/customXml" ds:itemID="{4F748186-A8B0-4416-9550-F90FCB8195F2}"/>
</file>

<file path=customXml/itemProps3.xml><?xml version="1.0" encoding="utf-8"?>
<ds:datastoreItem xmlns:ds="http://schemas.openxmlformats.org/officeDocument/2006/customXml" ds:itemID="{E5B20162-CFDD-4C5B-A1DB-3E04E7BFB06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669A01F-C66E-4C6B-9D5A-B3B4F07B323D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c463f71-b30c-4ab2-9473-d307f9d35888"/>
    <ds:schemaRef ds:uri="http://schemas.microsoft.com/sharepoint/v3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Staff 12 Month Feasibility</vt:lpstr>
      <vt:lpstr>Company Financials</vt:lpstr>
      <vt:lpstr>Tariff Rates and Revenue</vt:lpstr>
      <vt:lpstr>Tonnage and Customer Calcs</vt:lpstr>
      <vt:lpstr>'Staff 12 Month Feasibility'!Print_Area</vt:lpstr>
    </vt:vector>
  </TitlesOfParts>
  <Company>Washington Utilities and Transportation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Other</dc:subject>
  <dc:creator>Sevall, Scott (UTC)</dc:creator>
  <cp:lastModifiedBy>Sevall, Scott (UTC)</cp:lastModifiedBy>
  <cp:lastPrinted>2019-01-18T16:51:11Z</cp:lastPrinted>
  <dcterms:created xsi:type="dcterms:W3CDTF">2018-04-10T15:28:06Z</dcterms:created>
  <dcterms:modified xsi:type="dcterms:W3CDTF">2020-04-02T21:43:49Z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0x0101006E56B4D1795A2E4DB2F0B01679ED314A0025403D25446B3F419CB56019556BFCCE</vt:lpwstr>
  </property>
  <property fmtid="{D5CDD505-2E9C-101B-9397-08002B2CF9AE}" pid="3" name="Industry">
    <vt:lpwstr>12;#216 - Commerical Ferries|09fa7a01-ba11-4e83-89b6-ed2725447462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